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Box Sync\"/>
    </mc:Choice>
  </mc:AlternateContent>
  <bookViews>
    <workbookView xWindow="480" yWindow="1365" windowWidth="11460" windowHeight="5445" tabRatio="927" activeTab="7"/>
  </bookViews>
  <sheets>
    <sheet name="Списки участников" sheetId="52" r:id="rId1"/>
    <sheet name="гр (1-8)" sheetId="167" r:id="rId2"/>
    <sheet name="гр (9-16)" sheetId="168" r:id="rId3"/>
    <sheet name="Ф(32)" sheetId="169" r:id="rId4"/>
    <sheet name="Ф(16)" sheetId="171" r:id="rId5"/>
    <sheet name="ПРФ(16)" sheetId="172" state="hidden" r:id="rId6"/>
    <sheet name="ПРФ(32)" sheetId="170" state="hidden" r:id="rId7"/>
    <sheet name="гр (1-4)" sheetId="107" r:id="rId8"/>
    <sheet name="гр (5-8)" sheetId="135" state="hidden" r:id="rId9"/>
    <sheet name="гр (9-12)" sheetId="136" state="hidden" r:id="rId10"/>
    <sheet name="1Ф КРУГ" sheetId="86" state="hidden" r:id="rId11"/>
    <sheet name="2Ф КРУГ" sheetId="140" state="hidden" r:id="rId12"/>
    <sheet name="3Ф КРУГ" sheetId="146" state="hidden" r:id="rId13"/>
    <sheet name="4Ф КРУГ" sheetId="147" state="hidden" r:id="rId14"/>
    <sheet name="2Ф(-32)" sheetId="138" state="hidden" r:id="rId15"/>
    <sheet name="2Ф(32)" sheetId="154" state="hidden" r:id="rId16"/>
    <sheet name="1Фм" sheetId="112" state="hidden" r:id="rId17"/>
    <sheet name="16 (-2)" sheetId="113" state="hidden" r:id="rId18"/>
    <sheet name="св.прот 1ф" sheetId="115" state="hidden" r:id="rId19"/>
    <sheet name="св.прот 2ф" sheetId="141" state="hidden" r:id="rId20"/>
    <sheet name="св.прот 3ф" sheetId="144" state="hidden" r:id="rId21"/>
    <sheet name="св.прот 4ф" sheetId="145" state="hidden" r:id="rId22"/>
    <sheet name="Протокол (32)" sheetId="106" state="hidden" r:id="rId23"/>
    <sheet name="Протокол (-32)" sheetId="139" state="hidden" r:id="rId24"/>
    <sheet name="Порядок встреч 1Ф" sheetId="114" state="hidden" r:id="rId25"/>
    <sheet name="Порядок встреч 2Ф" sheetId="148" state="hidden" r:id="rId26"/>
    <sheet name="Порядок встреч 3Ф" sheetId="149" state="hidden" r:id="rId27"/>
    <sheet name="Порядок встреч 4Ф" sheetId="150" state="hidden" r:id="rId28"/>
    <sheet name="Бегунки 1Ф" sheetId="121" state="hidden" r:id="rId29"/>
    <sheet name="Лист1" sheetId="124" state="hidden" r:id="rId30"/>
    <sheet name="Бегунки 2Ф" sheetId="151" state="hidden" r:id="rId31"/>
    <sheet name="Бегунки 3Ф" sheetId="152" state="hidden" r:id="rId32"/>
    <sheet name="Бегунки 4Ф" sheetId="153" state="hidden" r:id="rId33"/>
    <sheet name="Плейофф" sheetId="133" state="hidden" r:id="rId34"/>
    <sheet name="ОФП и СФП" sheetId="109" state="hidden" r:id="rId35"/>
    <sheet name="Места в группе" sheetId="134" state="hidden" r:id="rId36"/>
    <sheet name="2Фм" sheetId="157" state="hidden" r:id="rId37"/>
    <sheet name="1фмуж" sheetId="159" state="hidden" r:id="rId38"/>
    <sheet name="2фмуж" sheetId="160" state="hidden" r:id="rId39"/>
    <sheet name="3фмуж" sheetId="161" state="hidden" r:id="rId40"/>
    <sheet name="4фмуж" sheetId="162" state="hidden" r:id="rId41"/>
    <sheet name="5фмуж" sheetId="163" state="hidden" r:id="rId42"/>
    <sheet name="1фжен" sheetId="158" state="hidden" r:id="rId43"/>
    <sheet name="2Фжен" sheetId="137" state="hidden" r:id="rId44"/>
    <sheet name="R-Муж" sheetId="77" state="hidden" r:id="rId45"/>
    <sheet name="Расчет" sheetId="156" state="hidden" r:id="rId46"/>
  </sheets>
  <externalReferences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_xlnm._FilterDatabase" localSheetId="44" hidden="1">'R-Муж'!$D$1:$D$3694</definedName>
    <definedName name="_xlnm._FilterDatabase" localSheetId="23" hidden="1">'Протокол (-32)'!$A$2:$S$97</definedName>
    <definedName name="_xlnm._FilterDatabase" localSheetId="0" hidden="1">'Списки участников'!$B$8:$N$8</definedName>
    <definedName name="GR10O" localSheetId="5">'[1]гр (9-16)'!$S$17:$T$26</definedName>
    <definedName name="GR10O" localSheetId="6">'[1]гр (9-16)'!$S$17:$T$26</definedName>
    <definedName name="GR10O" localSheetId="3">'[1]гр (9-16)'!$S$17:$T$26</definedName>
    <definedName name="GR10O">#REF!</definedName>
    <definedName name="GR11O" localSheetId="5">'[1]гр (9-16)'!$S$29:$T$38</definedName>
    <definedName name="GR11O" localSheetId="6">'[1]гр (9-16)'!$S$29:$T$38</definedName>
    <definedName name="GR11O" localSheetId="3">'[1]гр (9-16)'!$S$29:$T$38</definedName>
    <definedName name="GR11O">#REF!</definedName>
    <definedName name="GR12O" localSheetId="5">'[1]гр (9-16)'!$S$41:$T$50</definedName>
    <definedName name="GR12O" localSheetId="6">'[1]гр (9-16)'!$S$41:$T$50</definedName>
    <definedName name="GR12O" localSheetId="3">'[1]гр (9-16)'!$S$41:$T$50</definedName>
    <definedName name="GR12O">#REF!</definedName>
    <definedName name="GR13O" localSheetId="5">'[1]гр (9-16)'!$AP$5:$AQ$14</definedName>
    <definedName name="GR13O" localSheetId="6">'[1]гр (9-16)'!$AP$5:$AQ$14</definedName>
    <definedName name="GR13O" localSheetId="3">'[1]гр (9-16)'!$AP$5:$AQ$14</definedName>
    <definedName name="GR13O">#REF!</definedName>
    <definedName name="GR14O" localSheetId="5">'[1]гр (9-16)'!$AP$17:$AQ$26</definedName>
    <definedName name="GR14O" localSheetId="6">'[1]гр (9-16)'!$AP$17:$AQ$26</definedName>
    <definedName name="GR14O" localSheetId="3">'[1]гр (9-16)'!$AP$17:$AQ$26</definedName>
    <definedName name="GR14O">#REF!</definedName>
    <definedName name="GR15O" localSheetId="5">'[1]гр (9-16)'!$AP$29:$AQ$38</definedName>
    <definedName name="GR15O" localSheetId="6">'[1]гр (9-16)'!$AP$29:$AQ$38</definedName>
    <definedName name="GR15O" localSheetId="3">'[1]гр (9-16)'!$AP$29:$AQ$38</definedName>
    <definedName name="GR15O">#REF!</definedName>
    <definedName name="GR16O" localSheetId="5">'[1]гр (9-16)'!$AP$41:$AQ$50</definedName>
    <definedName name="GR16O" localSheetId="6">'[1]гр (9-16)'!$AP$41:$AQ$50</definedName>
    <definedName name="GR16O" localSheetId="3">'[1]гр (9-16)'!$AP$41:$AQ$50</definedName>
    <definedName name="GR16O">#REF!</definedName>
    <definedName name="GR17O" localSheetId="5">'[1]гр (17-24)'!$S$5:$T$14</definedName>
    <definedName name="GR17O" localSheetId="6">'[1]гр (17-24)'!$S$5:$T$14</definedName>
    <definedName name="GR17O" localSheetId="3">'[1]гр (17-24)'!$S$5:$T$14</definedName>
    <definedName name="GR17O">#REF!</definedName>
    <definedName name="GR18O" localSheetId="5">'[1]гр (17-24)'!$S$17:$T$26</definedName>
    <definedName name="GR18O" localSheetId="6">'[1]гр (17-24)'!$S$17:$T$26</definedName>
    <definedName name="GR18O" localSheetId="3">'[1]гр (17-24)'!$S$17:$T$26</definedName>
    <definedName name="GR18O">#REF!</definedName>
    <definedName name="GR19O" localSheetId="5">'[1]гр (17-24)'!$S$29:$T$38</definedName>
    <definedName name="GR19O" localSheetId="6">'[1]гр (17-24)'!$S$29:$T$38</definedName>
    <definedName name="GR19O" localSheetId="3">'[1]гр (17-24)'!$S$29:$T$38</definedName>
    <definedName name="GR19O">#REF!</definedName>
    <definedName name="GR1O" localSheetId="1">'гр (1-8)'!$V$5:$W$14</definedName>
    <definedName name="GR1O" localSheetId="2">'гр (9-16)'!$V$5:$W$14</definedName>
    <definedName name="GR1O" localSheetId="5">#REF!</definedName>
    <definedName name="GR1O">#REF!</definedName>
    <definedName name="GR20O" localSheetId="5">'[1]гр (17-24)'!$S$41:$T$50</definedName>
    <definedName name="GR20O" localSheetId="6">'[1]гр (17-24)'!$S$41:$T$50</definedName>
    <definedName name="GR20O" localSheetId="3">'[1]гр (17-24)'!$S$41:$T$50</definedName>
    <definedName name="GR20O">#REF!</definedName>
    <definedName name="GR21O" localSheetId="5">'[1]гр (17-24)'!$AP$5:$AQ$14</definedName>
    <definedName name="GR21O" localSheetId="6">'[1]гр (17-24)'!$AP$5:$AQ$14</definedName>
    <definedName name="GR21O" localSheetId="3">'[1]гр (17-24)'!$AP$5:$AQ$14</definedName>
    <definedName name="GR21O">#REF!</definedName>
    <definedName name="GR22O" localSheetId="5">'[1]гр (17-24)'!$AP$17:$AQ$26</definedName>
    <definedName name="GR22O" localSheetId="6">'[1]гр (17-24)'!$AP$17:$AQ$26</definedName>
    <definedName name="GR22O" localSheetId="3">'[1]гр (17-24)'!$AP$17:$AQ$26</definedName>
    <definedName name="GR22O">#REF!</definedName>
    <definedName name="GR23O" localSheetId="5">'[1]гр (17-24)'!$AP$29:$AQ$38</definedName>
    <definedName name="GR23O" localSheetId="6">'[1]гр (17-24)'!$AP$29:$AQ$38</definedName>
    <definedName name="GR23O" localSheetId="3">'[1]гр (17-24)'!$AP$29:$AQ$38</definedName>
    <definedName name="GR23O">#REF!</definedName>
    <definedName name="GR24O" localSheetId="5">'[1]гр (17-24)'!$AP$41:$AQ$50</definedName>
    <definedName name="GR24O" localSheetId="6">'[1]гр (17-24)'!$AP$41:$AQ$50</definedName>
    <definedName name="GR24O" localSheetId="3">'[1]гр (17-24)'!$AP$41:$AQ$50</definedName>
    <definedName name="GR24O">#REF!</definedName>
    <definedName name="GR25O" localSheetId="5">'[1]гр (25-32)'!$S$5:$T$14</definedName>
    <definedName name="GR25O" localSheetId="6">'[1]гр (25-32)'!$S$5:$T$14</definedName>
    <definedName name="GR25O" localSheetId="3">'[1]гр (25-32)'!$S$5:$T$14</definedName>
    <definedName name="GR25O">#REF!</definedName>
    <definedName name="GR26O" localSheetId="5">'[1]гр (25-32)'!$S$17:$T$26</definedName>
    <definedName name="GR26O" localSheetId="6">'[1]гр (25-32)'!$S$17:$T$26</definedName>
    <definedName name="GR26O" localSheetId="3">'[1]гр (25-32)'!$S$17:$T$26</definedName>
    <definedName name="GR26O">#REF!</definedName>
    <definedName name="GR27O" localSheetId="5">'[1]гр (25-32)'!$S$29:$T$38</definedName>
    <definedName name="GR27O" localSheetId="6">'[1]гр (25-32)'!$S$29:$T$38</definedName>
    <definedName name="GR27O" localSheetId="3">'[1]гр (25-32)'!$S$29:$T$38</definedName>
    <definedName name="GR27O">#REF!</definedName>
    <definedName name="GR28O" localSheetId="5">'[1]гр (25-32)'!$S$41:$T$50</definedName>
    <definedName name="GR28O" localSheetId="6">'[1]гр (25-32)'!$S$41:$T$50</definedName>
    <definedName name="GR28O" localSheetId="3">'[1]гр (25-32)'!$S$41:$T$50</definedName>
    <definedName name="GR28O">#REF!</definedName>
    <definedName name="GR29O" localSheetId="5">'[1]гр (25-32)'!$AP$5:$AQ$14</definedName>
    <definedName name="GR29O" localSheetId="6">'[1]гр (25-32)'!$AP$5:$AQ$14</definedName>
    <definedName name="GR29O" localSheetId="3">'[1]гр (25-32)'!$AP$5:$AQ$14</definedName>
    <definedName name="GR29O">#REF!</definedName>
    <definedName name="GR2O" localSheetId="1">'гр (1-8)'!$V$19:$W$28</definedName>
    <definedName name="GR2O" localSheetId="2">'гр (9-16)'!$V$19:$W$28</definedName>
    <definedName name="GR2O" localSheetId="5">#REF!</definedName>
    <definedName name="GR2O">#REF!</definedName>
    <definedName name="GR30O" localSheetId="5">'[1]гр (25-32)'!$AP$17:$AQ$26</definedName>
    <definedName name="GR30O" localSheetId="6">'[1]гр (25-32)'!$AP$17:$AQ$26</definedName>
    <definedName name="GR30O" localSheetId="3">'[1]гр (25-32)'!$AP$17:$AQ$26</definedName>
    <definedName name="GR30O">#REF!</definedName>
    <definedName name="GR31O" localSheetId="5">'[1]гр (25-32)'!$AP$29:$AQ$38</definedName>
    <definedName name="GR31O" localSheetId="6">'[1]гр (25-32)'!$AP$29:$AQ$38</definedName>
    <definedName name="GR31O" localSheetId="3">'[1]гр (25-32)'!$AP$29:$AQ$38</definedName>
    <definedName name="GR31O">#REF!</definedName>
    <definedName name="GR32O" localSheetId="5">'[1]гр (25-32)'!$AP$41:$AQ$50</definedName>
    <definedName name="GR32O" localSheetId="6">'[1]гр (25-32)'!$AP$41:$AQ$50</definedName>
    <definedName name="GR32O" localSheetId="3">'[1]гр (25-32)'!$AP$41:$AQ$50</definedName>
    <definedName name="GR32O">#REF!</definedName>
    <definedName name="GR3O" localSheetId="1">'гр (1-8)'!$V$31:$W$40</definedName>
    <definedName name="GR3O" localSheetId="2">'гр (9-16)'!$V$31:$W$40</definedName>
    <definedName name="GR3O" localSheetId="5">#REF!</definedName>
    <definedName name="GR3O">#REF!</definedName>
    <definedName name="GR4O" localSheetId="1">'гр (1-8)'!$V$43:$W$52</definedName>
    <definedName name="GR4O" localSheetId="2">'гр (9-16)'!$V$43:$W$52</definedName>
    <definedName name="GR4O" localSheetId="5">#REF!</definedName>
    <definedName name="GR4O">#REF!</definedName>
    <definedName name="GR5O" localSheetId="1">'гр (1-8)'!$AS$5:$AT$14</definedName>
    <definedName name="GR5O" localSheetId="2">'гр (9-16)'!$AS$5:$AT$14</definedName>
    <definedName name="GR5O" localSheetId="5">'[1]гр (1-8)'!$AP$5:$AQ$14</definedName>
    <definedName name="GR5O" localSheetId="6">'[1]гр (1-8)'!$AP$5:$AQ$14</definedName>
    <definedName name="GR5O" localSheetId="3">'[1]гр (1-8)'!$AP$5:$AQ$14</definedName>
    <definedName name="GR5O">#REF!</definedName>
    <definedName name="GR6O" localSheetId="1">'гр (1-8)'!$AS$19:$AT$28</definedName>
    <definedName name="GR6O" localSheetId="2">'гр (9-16)'!$AS$19:$AT$28</definedName>
    <definedName name="GR6O" localSheetId="5">'[1]гр (1-8)'!$AP$17:$AQ$26</definedName>
    <definedName name="GR6O" localSheetId="6">'[1]гр (1-8)'!$AP$17:$AQ$26</definedName>
    <definedName name="GR6O" localSheetId="3">'[1]гр (1-8)'!$AP$17:$AQ$26</definedName>
    <definedName name="GR6O">#REF!</definedName>
    <definedName name="GR7O" localSheetId="1">'гр (1-8)'!$AS$31:$AT$40</definedName>
    <definedName name="GR7O" localSheetId="2">'гр (9-16)'!$AS$31:$AT$40</definedName>
    <definedName name="GR7O" localSheetId="5">'[1]гр (1-8)'!$AP$29:$AQ$38</definedName>
    <definedName name="GR7O" localSheetId="6">'[1]гр (1-8)'!$AP$29:$AQ$38</definedName>
    <definedName name="GR7O" localSheetId="3">'[1]гр (1-8)'!$AP$29:$AQ$38</definedName>
    <definedName name="GR7O">#REF!</definedName>
    <definedName name="GR8O" localSheetId="1">'гр (1-8)'!$AS$43:$AT$52</definedName>
    <definedName name="GR8O" localSheetId="2">'гр (9-16)'!$AS$43:$AT$52</definedName>
    <definedName name="GR8O" localSheetId="5">'[1]гр (1-8)'!$AP$41:$AQ$50</definedName>
    <definedName name="GR8O" localSheetId="6">'[1]гр (1-8)'!$AP$41:$AQ$50</definedName>
    <definedName name="GR8O" localSheetId="3">'[1]гр (1-8)'!$AP$41:$AQ$50</definedName>
    <definedName name="GR8O">#REF!</definedName>
    <definedName name="GR9O" localSheetId="5">'[1]гр (9-16)'!$S$5:$T$14</definedName>
    <definedName name="GR9O" localSheetId="6">'[1]гр (9-16)'!$S$5:$T$14</definedName>
    <definedName name="GR9O" localSheetId="3">'[1]гр (9-16)'!$S$5:$T$14</definedName>
    <definedName name="GR9O">#REF!</definedName>
    <definedName name="h" localSheetId="42">#REF!</definedName>
    <definedName name="h" localSheetId="37">#REF!</definedName>
    <definedName name="h" localSheetId="11">#REF!</definedName>
    <definedName name="h" localSheetId="14">#REF!</definedName>
    <definedName name="h" localSheetId="43">#REF!</definedName>
    <definedName name="h" localSheetId="36">#REF!</definedName>
    <definedName name="h" localSheetId="38">#REF!</definedName>
    <definedName name="h" localSheetId="12">#REF!</definedName>
    <definedName name="h" localSheetId="39">#REF!</definedName>
    <definedName name="h" localSheetId="13">#REF!</definedName>
    <definedName name="h" localSheetId="40">#REF!</definedName>
    <definedName name="h" localSheetId="41">#REF!</definedName>
    <definedName name="h" localSheetId="28">#REF!</definedName>
    <definedName name="h" localSheetId="30">#REF!</definedName>
    <definedName name="h" localSheetId="31">#REF!</definedName>
    <definedName name="h" localSheetId="32">#REF!</definedName>
    <definedName name="h" localSheetId="8">#REF!</definedName>
    <definedName name="h" localSheetId="9">#REF!</definedName>
    <definedName name="h" localSheetId="25">#REF!</definedName>
    <definedName name="h" localSheetId="26">#REF!</definedName>
    <definedName name="h" localSheetId="27">#REF!</definedName>
    <definedName name="h" localSheetId="23">#REF!</definedName>
    <definedName name="h" localSheetId="6">#REF!</definedName>
    <definedName name="h" localSheetId="19">#REF!</definedName>
    <definedName name="h" localSheetId="20">#REF!</definedName>
    <definedName name="h" localSheetId="21">#REF!</definedName>
    <definedName name="h" localSheetId="3">#REF!</definedName>
    <definedName name="h">#REF!</definedName>
    <definedName name="№ГР1" localSheetId="1">'гр (1-8)'!$A$5:$A$14</definedName>
    <definedName name="№ГР1" localSheetId="2">'гр (9-16)'!$A$5:$A$14</definedName>
    <definedName name="№ГР1" localSheetId="6">#REF!</definedName>
    <definedName name="№ГР1" localSheetId="3">#REF!</definedName>
    <definedName name="№ГР1">'гр (1-4)'!$A$5:$A$22</definedName>
    <definedName name="№ГР2" localSheetId="1">'гр (1-8)'!$A$19:$A$28</definedName>
    <definedName name="№ГР2" localSheetId="2">'гр (9-16)'!$A$19:$A$28</definedName>
    <definedName name="№ГР2" localSheetId="6">#REF!</definedName>
    <definedName name="№ГР2" localSheetId="3">#REF!</definedName>
    <definedName name="№ГР2">'гр (1-4)'!$A$25:$A$42</definedName>
    <definedName name="№ГР3" localSheetId="1">'гр (1-8)'!$A$31:$A$40</definedName>
    <definedName name="№ГР3" localSheetId="2">'гр (9-16)'!$A$31:$A$40</definedName>
    <definedName name="№ГР3" localSheetId="6">#REF!</definedName>
    <definedName name="№ГР3" localSheetId="3">#REF!</definedName>
    <definedName name="№ГР3">'гр (1-4)'!$A$45:$A$62</definedName>
    <definedName name="№ГР4" localSheetId="1">'гр (1-8)'!$A$43:$A$52</definedName>
    <definedName name="№ГР4" localSheetId="2">'гр (9-16)'!$A$43:$A$52</definedName>
    <definedName name="№ГР4" localSheetId="6">#REF!</definedName>
    <definedName name="№ГР4" localSheetId="3">#REF!</definedName>
    <definedName name="№ГР4">'гр (1-4)'!$A$65:$A$82</definedName>
    <definedName name="№ГР5">'гр (5-8)'!$A$5:$A$22</definedName>
    <definedName name="№ГР6">'гр (5-8)'!$A$25:$A$42</definedName>
    <definedName name="№ГР7">'гр (5-8)'!$A$45:$A$62</definedName>
    <definedName name="№ГР8">'гр (5-8)'!$A$65:$A$82</definedName>
    <definedName name="№ИГР">'2Фжен'!$B$45:$B$62</definedName>
    <definedName name="№ИГР1" localSheetId="15">'[2]гр (1-4)'!$B$5:$B$22</definedName>
    <definedName name="№ИГР1" localSheetId="6">#REF!</definedName>
    <definedName name="№ИГР1" localSheetId="45">'[3]гр (1-4)'!$B$5:$B$22</definedName>
    <definedName name="№ИГР1" localSheetId="3">#REF!</definedName>
    <definedName name="№ИГР1">'гр (1-4)'!$B$5:$B$22</definedName>
    <definedName name="№ИГР1_5">'[4]гр (1-8)'!$B$5:$B$14</definedName>
    <definedName name="№ИГР1_9">'[4]гр (1-4)'!$B$5:$B$22</definedName>
    <definedName name="№ИГР10" localSheetId="15">'[2]гр (9-12)'!$B$25:$B$42</definedName>
    <definedName name="№ИГР10" localSheetId="6">'[5]гр (9-12)'!$B$25:$B$42</definedName>
    <definedName name="№ИГР10" localSheetId="45">'[3]гр (9-12)'!$B$25:$B$42</definedName>
    <definedName name="№ИГР10" localSheetId="3">'[5]гр (9-12)'!$B$25:$B$42</definedName>
    <definedName name="№ИГР10">'гр (9-12)'!$B$25:$B$42</definedName>
    <definedName name="№ИГР10_5">'[4]гр (9-16)'!$B$17:$B$26</definedName>
    <definedName name="№ИГР10_9">'[4]гр (9-12)'!$B$25:$B$42</definedName>
    <definedName name="№ИГР11" localSheetId="15">'[2]гр (9-12)'!$B$45:$B$62</definedName>
    <definedName name="№ИГР11" localSheetId="6">'[5]гр (9-12)'!$B$45:$B$62</definedName>
    <definedName name="№ИГР11" localSheetId="45">'[3]гр (9-12)'!$B$45:$B$62</definedName>
    <definedName name="№ИГР11" localSheetId="3">'[5]гр (9-12)'!$B$45:$B$62</definedName>
    <definedName name="№ИГР11">'гр (9-12)'!$B$45:$B$62</definedName>
    <definedName name="№ИГР11_5">'[4]гр (9-16)'!$B$29:$B$38</definedName>
    <definedName name="№ИГР11_9">'[4]гр (9-12)'!$B$45:$B$62</definedName>
    <definedName name="№ИГР12" localSheetId="15">'[2]гр (9-12)'!$B$65:$B$82</definedName>
    <definedName name="№ИГР12" localSheetId="6">'[5]гр (9-12)'!$B$65:$B$82</definedName>
    <definedName name="№ИГР12" localSheetId="45">'[3]гр (9-12)'!$B$65:$B$82</definedName>
    <definedName name="№ИГР12" localSheetId="3">'[5]гр (9-12)'!$B$65:$B$82</definedName>
    <definedName name="№ИГР12">'гр (9-12)'!$B$65:$B$82</definedName>
    <definedName name="№ИГР12_5">'[4]гр (9-16)'!$B$41:$B$50</definedName>
    <definedName name="№ИГР12_9">'[4]гр (9-12)'!$B$65:$B$82</definedName>
    <definedName name="№ИГР13" localSheetId="15">'[2]гр (13-16)'!$B$5:$B$22</definedName>
    <definedName name="№ИГР13" localSheetId="6">'[5]гр (13-16)'!$B$5:$B$22</definedName>
    <definedName name="№ИГР13" localSheetId="45">'[3]гр (13-16)'!$B$5:$B$22</definedName>
    <definedName name="№ИГР13" localSheetId="3">'[5]гр (13-16)'!$B$5:$B$22</definedName>
    <definedName name="№ИГР13">'2Фжен'!$B$5:$B$22</definedName>
    <definedName name="№ИГР13_5">'[4]гр (9-16)'!$O$5:$O$14</definedName>
    <definedName name="№ИГР13_9">'[4]гр (13-16)'!$B$5:$B$22</definedName>
    <definedName name="№ИГР14" localSheetId="15">'[2]гр (13-16)'!$B$25:$B$42</definedName>
    <definedName name="№ИГР14" localSheetId="6">'[5]гр (13-16)'!$B$25:$B$42</definedName>
    <definedName name="№ИГР14" localSheetId="45">'[3]гр (13-16)'!$B$25:$B$42</definedName>
    <definedName name="№ИГР14" localSheetId="3">'[5]гр (13-16)'!$B$25:$B$42</definedName>
    <definedName name="№ИГР14">'2Фжен'!$B$25:$B$42</definedName>
    <definedName name="№ИГР14_5">'[4]гр (9-16)'!$O$17:$O$26</definedName>
    <definedName name="№ИГР14_9">'[4]гр (13-16)'!$B$25:$B$42</definedName>
    <definedName name="№ИГР15" localSheetId="15">'[2]гр (13-16)'!$B$45:$B$62</definedName>
    <definedName name="№ИГР15" localSheetId="6">'[5]гр (13-16)'!$B$45:$B$62</definedName>
    <definedName name="№ИГР15" localSheetId="45">'[3]гр (13-16)'!$B$45:$B$62</definedName>
    <definedName name="№ИГР15" localSheetId="3">'[5]гр (13-16)'!$B$45:$B$62</definedName>
    <definedName name="№ИГР15">'2Фжен'!$B$45:$B$62</definedName>
    <definedName name="№ИГР15_5">'[4]гр (9-16)'!$O$29:$O$38</definedName>
    <definedName name="№ИГР15_9">'[4]гр (13-16)'!$B$45:$B$62</definedName>
    <definedName name="№ИГР16" localSheetId="15">'[2]гр (13-16)'!$B$65:$B$82</definedName>
    <definedName name="№ИГР16" localSheetId="6">'[5]гр (13-16)'!$B$65:$B$82</definedName>
    <definedName name="№ИГР16" localSheetId="45">'[3]гр (13-16)'!$B$65:$B$82</definedName>
    <definedName name="№ИГР16" localSheetId="3">'[5]гр (13-16)'!$B$65:$B$82</definedName>
    <definedName name="№ИГР16">'2Фжен'!$B$65:$B$82</definedName>
    <definedName name="№ИГР16_5">'[4]гр (9-16)'!$O$41:$O$50</definedName>
    <definedName name="№ИГР16_9">'[4]гр (13-16)'!$B$65:$B$82</definedName>
    <definedName name="№ИГР17_5">'[4]гр (17-24)'!$B$5:$B$14</definedName>
    <definedName name="№ИГР18_5">'[4]гр (17-24)'!$B$17:$B$26</definedName>
    <definedName name="№ИГР19_5">'[4]гр (17-24)'!$B$29:$B$38</definedName>
    <definedName name="№ИГР2" localSheetId="15">'[2]гр (1-4)'!$B$25:$B$42</definedName>
    <definedName name="№ИГР2" localSheetId="6">#REF!</definedName>
    <definedName name="№ИГР2" localSheetId="45">'[3]гр (1-4)'!$B$25:$B$42</definedName>
    <definedName name="№ИГР2" localSheetId="3">#REF!</definedName>
    <definedName name="№ИГР2">'гр (1-4)'!$B$25:$B$42</definedName>
    <definedName name="№ИГР2_5">'[4]гр (1-8)'!$B$17:$B$26</definedName>
    <definedName name="№ИГР2_9">'[4]гр (1-4)'!$B$25:$B$42</definedName>
    <definedName name="№ИГР20_5">'[4]гр (17-24)'!$B$41:$B$50</definedName>
    <definedName name="№ИГР21_5">'[4]гр (17-24)'!$O$5:$O$14</definedName>
    <definedName name="№ИГР22_5">'[4]гр (17-24)'!$O$17:$O$26</definedName>
    <definedName name="№ИГР23_5">'[4]гр (17-24)'!$O$29:$O$38</definedName>
    <definedName name="№ИГР24_5">'[4]гр (17-24)'!$O$41:$O$50</definedName>
    <definedName name="№ИГР25_5">'[4]гр (25-32)'!$B$5:$B$14</definedName>
    <definedName name="№ИГР26_5">'[4]гр (25-32)'!$B$17:$B$26</definedName>
    <definedName name="№ИГР27_5">'[4]гр (25-32)'!$B$29:$B$38</definedName>
    <definedName name="№ИГР28_5">'[4]гр (25-32)'!$B$41:$B$50</definedName>
    <definedName name="№ИГР29_5">'[4]гр (25-32)'!$O$5:$O$14</definedName>
    <definedName name="№ИГР3" localSheetId="15">'[2]гр (1-4)'!$B$45:$B$62</definedName>
    <definedName name="№ИГР3" localSheetId="6">#REF!</definedName>
    <definedName name="№ИГР3" localSheetId="45">'[3]гр (1-4)'!$B$45:$B$62</definedName>
    <definedName name="№ИГР3" localSheetId="3">#REF!</definedName>
    <definedName name="№ИГР3">'гр (1-4)'!$B$45:$B$62</definedName>
    <definedName name="№ИГР3_5">'[4]гр (1-8)'!$B$29:$B$38</definedName>
    <definedName name="№ИГР3_9">'[4]гр (1-4)'!$B$45:$B$62</definedName>
    <definedName name="№ИГР30_5">'[4]гр (25-32)'!$O$17:$O$26</definedName>
    <definedName name="№ИГР31_5">'[4]гр (25-32)'!$O$29:$O$38</definedName>
    <definedName name="№ИГР32_5">'[4]гр (25-32)'!$O$41:$O$50</definedName>
    <definedName name="№ИГР4" localSheetId="15">'[2]гр (1-4)'!$B$65:$B$82</definedName>
    <definedName name="№ИГР4" localSheetId="6">#REF!</definedName>
    <definedName name="№ИГР4" localSheetId="45">'[3]гр (1-4)'!$B$65:$B$82</definedName>
    <definedName name="№ИГР4" localSheetId="3">#REF!</definedName>
    <definedName name="№ИГР4">'гр (1-4)'!$B$65:$B$82</definedName>
    <definedName name="№ИГР4_5">'[4]гр (1-8)'!$B$41:$B$50</definedName>
    <definedName name="№ИГР4_9">'[4]гр (1-4)'!$B$65:$B$82</definedName>
    <definedName name="№ИГР5" localSheetId="15">'[2]гр (5-8)'!$B$5:$B$22</definedName>
    <definedName name="№ИГР5" localSheetId="6">'[5]гр (5-8)'!$B$5:$B$22</definedName>
    <definedName name="№ИГР5" localSheetId="45">'[3]гр (5-8)'!$B$5:$B$22</definedName>
    <definedName name="№ИГР5" localSheetId="3">'[5]гр (5-8)'!$B$5:$B$22</definedName>
    <definedName name="№ИГР5">'гр (5-8)'!$B$5:$B$22</definedName>
    <definedName name="№ИГР5_5">'[4]гр (1-8)'!$O$5:$O$14</definedName>
    <definedName name="№ИГР5_9">'[4]гр (5-8)'!$B$5:$B$22</definedName>
    <definedName name="№ИГР6" localSheetId="15">'[2]гр (5-8)'!$B$25:$B$42</definedName>
    <definedName name="№ИГР6" localSheetId="6">'[5]гр (5-8)'!$B$25:$B$42</definedName>
    <definedName name="№ИГР6" localSheetId="45">'[3]гр (5-8)'!$B$25:$B$42</definedName>
    <definedName name="№ИГР6" localSheetId="3">'[5]гр (5-8)'!$B$25:$B$42</definedName>
    <definedName name="№ИГР6">'гр (5-8)'!$B$25:$B$42</definedName>
    <definedName name="№ИГР6_5">'[4]гр (1-8)'!$O$17:$O$26</definedName>
    <definedName name="№ИГР6_9">'[4]гр (5-8)'!$B$25:$B$42</definedName>
    <definedName name="№ИГР7" localSheetId="15">'[2]гр (5-8)'!$B$45:$B$62</definedName>
    <definedName name="№ИГР7" localSheetId="6">'[5]гр (5-8)'!$B$45:$B$62</definedName>
    <definedName name="№ИГР7" localSheetId="45">'[3]гр (5-8)'!$B$45:$B$62</definedName>
    <definedName name="№ИГР7" localSheetId="3">'[5]гр (5-8)'!$B$45:$B$62</definedName>
    <definedName name="№ИГР7">'гр (5-8)'!$B$45:$B$62</definedName>
    <definedName name="№ИГР7_5">'[4]гр (1-8)'!$O$29:$O$38</definedName>
    <definedName name="№ИГР7_9">'[4]гр (5-8)'!$B$45:$B$62</definedName>
    <definedName name="№ИГР8" localSheetId="15">'[2]гр (5-8)'!$B$65:$B$82</definedName>
    <definedName name="№ИГР8" localSheetId="6">'[5]гр (5-8)'!$B$65:$B$82</definedName>
    <definedName name="№ИГР8" localSheetId="45">'[3]гр (5-8)'!$B$65:$B$82</definedName>
    <definedName name="№ИГР8" localSheetId="3">'[5]гр (5-8)'!$B$65:$B$82</definedName>
    <definedName name="№ИГР8">'гр (5-8)'!$B$65:$B$82</definedName>
    <definedName name="№ИГР8_5">'[4]гр (1-8)'!$O$41:$O$50</definedName>
    <definedName name="№ИГР8_9">'[4]гр (5-8)'!$B$65:$B$82</definedName>
    <definedName name="№ИГР9" localSheetId="15">'[2]гр (9-12)'!$B$5:$B$22</definedName>
    <definedName name="№ИГР9" localSheetId="6">'[5]гр (9-12)'!$B$5:$B$22</definedName>
    <definedName name="№ИГР9" localSheetId="45">'[3]гр (9-12)'!$B$5:$B$22</definedName>
    <definedName name="№ИГР9" localSheetId="3">'[5]гр (9-12)'!$B$5:$B$22</definedName>
    <definedName name="№ИГР9">'гр (9-12)'!$B$5:$B$22</definedName>
    <definedName name="№ИГР9_5">'[4]гр (9-16)'!$B$5:$B$14</definedName>
    <definedName name="№ИГР9_9">'[4]гр (9-12)'!$B$5:$B$22</definedName>
    <definedName name="Z_4C88A418_0CDB_4E0D_88E3_A2526FF3F750_.wvu.Cols" localSheetId="10" hidden="1">'1Ф КРУГ'!$AN:$AY</definedName>
    <definedName name="Z_4C88A418_0CDB_4E0D_88E3_A2526FF3F750_.wvu.Cols" localSheetId="11" hidden="1">'2Ф КРУГ'!$AN:$AY</definedName>
    <definedName name="Z_4C88A418_0CDB_4E0D_88E3_A2526FF3F750_.wvu.Cols" localSheetId="12" hidden="1">'3Ф КРУГ'!$AN:$AY</definedName>
    <definedName name="Z_4C88A418_0CDB_4E0D_88E3_A2526FF3F750_.wvu.Cols" localSheetId="13" hidden="1">'4Ф КРУГ'!$AN:$AY</definedName>
    <definedName name="Z_4C88A418_0CDB_4E0D_88E3_A2526FF3F750_.wvu.Rows" localSheetId="10" hidden="1">'1Ф КРУГ'!$29:$36</definedName>
    <definedName name="Z_4C88A418_0CDB_4E0D_88E3_A2526FF3F750_.wvu.Rows" localSheetId="11" hidden="1">'2Ф КРУГ'!$29:$36</definedName>
    <definedName name="Z_4C88A418_0CDB_4E0D_88E3_A2526FF3F750_.wvu.Rows" localSheetId="12" hidden="1">'3Ф КРУГ'!$29:$36</definedName>
    <definedName name="Z_4C88A418_0CDB_4E0D_88E3_A2526FF3F750_.wvu.Rows" localSheetId="13" hidden="1">'4Ф КРУГ'!$29:$36</definedName>
    <definedName name="Zuordnung">[6]Verknüpfungen!$C$1:$C$48</definedName>
    <definedName name="_xlnm.Database" localSheetId="42">#REF!</definedName>
    <definedName name="_xlnm.Database" localSheetId="37">#REF!</definedName>
    <definedName name="_xlnm.Database" localSheetId="11">#REF!</definedName>
    <definedName name="_xlnm.Database" localSheetId="14">#REF!</definedName>
    <definedName name="_xlnm.Database" localSheetId="43">#REF!</definedName>
    <definedName name="_xlnm.Database" localSheetId="36">#REF!</definedName>
    <definedName name="_xlnm.Database" localSheetId="38">#REF!</definedName>
    <definedName name="_xlnm.Database" localSheetId="12">#REF!</definedName>
    <definedName name="_xlnm.Database" localSheetId="39">#REF!</definedName>
    <definedName name="_xlnm.Database" localSheetId="13">#REF!</definedName>
    <definedName name="_xlnm.Database" localSheetId="40">#REF!</definedName>
    <definedName name="_xlnm.Database" localSheetId="41">#REF!</definedName>
    <definedName name="_xlnm.Database" localSheetId="28">#REF!</definedName>
    <definedName name="_xlnm.Database" localSheetId="30">#REF!</definedName>
    <definedName name="_xlnm.Database" localSheetId="31">#REF!</definedName>
    <definedName name="_xlnm.Database" localSheetId="32">#REF!</definedName>
    <definedName name="_xlnm.Database" localSheetId="1">#REF!</definedName>
    <definedName name="_xlnm.Database" localSheetId="8">#REF!</definedName>
    <definedName name="_xlnm.Database" localSheetId="9">#REF!</definedName>
    <definedName name="_xlnm.Database" localSheetId="2">#REF!</definedName>
    <definedName name="_xlnm.Database" localSheetId="33">#REF!</definedName>
    <definedName name="_xlnm.Database" localSheetId="25">#REF!</definedName>
    <definedName name="_xlnm.Database" localSheetId="26">#REF!</definedName>
    <definedName name="_xlnm.Database" localSheetId="27">#REF!</definedName>
    <definedName name="_xlnm.Database" localSheetId="23">#REF!</definedName>
    <definedName name="_xlnm.Database" localSheetId="5">#REF!</definedName>
    <definedName name="_xlnm.Database" localSheetId="6">#REF!</definedName>
    <definedName name="_xlnm.Database" localSheetId="19">#REF!</definedName>
    <definedName name="_xlnm.Database" localSheetId="20">#REF!</definedName>
    <definedName name="_xlnm.Database" localSheetId="21">#REF!</definedName>
    <definedName name="_xlnm.Database" localSheetId="3">#REF!</definedName>
    <definedName name="_xlnm.Database">#REF!</definedName>
    <definedName name="БЕГ" localSheetId="34">'ОФП и СФП'!$H$9:$H$105</definedName>
    <definedName name="ГР10М" localSheetId="15">'[2]гр (9-12)'!$AH$25:$AH$42</definedName>
    <definedName name="ГР10М" localSheetId="6">'[5]гр (9-12)'!$AH$25:$AH$42</definedName>
    <definedName name="ГР10М" localSheetId="45">'[3]гр (9-12)'!$AH$25:$AH$42</definedName>
    <definedName name="ГР10М" localSheetId="3">'[5]гр (9-12)'!$AH$25:$AH$42</definedName>
    <definedName name="ГР10М">'гр (9-12)'!$AH$25:$AH$42</definedName>
    <definedName name="ГР10М_5">'[4]гр (9-16)'!$L$17:$L$26</definedName>
    <definedName name="ГР10М_9">'[4]гр (9-12)'!$P$25:$P$42</definedName>
    <definedName name="ГР10О" localSheetId="15">'[2]гр (9-12)'!$AE$25:$AF$42</definedName>
    <definedName name="ГР10О" localSheetId="1">#REF!</definedName>
    <definedName name="ГР10О" localSheetId="2">#REF!</definedName>
    <definedName name="ГР10О" localSheetId="5">'[7]гр (9-12)'!$AE$25:$AF$42</definedName>
    <definedName name="ГР10О" localSheetId="6">'[7]гр (9-12)'!$AE$25:$AF$42</definedName>
    <definedName name="ГР10О" localSheetId="45">'[3]гр (9-12)'!$AE$25:$AF$42</definedName>
    <definedName name="ГР10О" localSheetId="3">'[8]гр (9-12)'!$AE$25:$AF$42</definedName>
    <definedName name="ГР10О">'гр (9-12)'!$AE$25:$AF$42</definedName>
    <definedName name="ГР11М" localSheetId="15">'[2]гр (9-12)'!$AH$45:$AH$62</definedName>
    <definedName name="ГР11М" localSheetId="6">'[5]гр (9-12)'!$AH$45:$AH$62</definedName>
    <definedName name="ГР11М" localSheetId="45">'[3]гр (9-12)'!$AH$45:$AH$62</definedName>
    <definedName name="ГР11М" localSheetId="3">'[5]гр (9-12)'!$AH$45:$AH$62</definedName>
    <definedName name="ГР11М">'гр (9-12)'!$AH$45:$AH$62</definedName>
    <definedName name="ГР11М_5">'[4]гр (9-16)'!$L$29:$L$38</definedName>
    <definedName name="ГР11М_9">'[4]гр (9-12)'!$P$45:$P$62</definedName>
    <definedName name="ГР11О" localSheetId="15">'[2]гр (9-12)'!$AE$45:$AF$62</definedName>
    <definedName name="ГР11О" localSheetId="1">#REF!</definedName>
    <definedName name="ГР11О" localSheetId="2">#REF!</definedName>
    <definedName name="ГР11О" localSheetId="5">'[7]гр (9-12)'!$AE$45:$AF$62</definedName>
    <definedName name="ГР11О" localSheetId="6">'[7]гр (9-12)'!$AE$45:$AF$62</definedName>
    <definedName name="ГР11О" localSheetId="45">'[3]гр (9-12)'!$AE$45:$AF$62</definedName>
    <definedName name="ГР11О" localSheetId="3">'[8]гр (9-12)'!$AE$45:$AF$62</definedName>
    <definedName name="ГР11О">'гр (9-12)'!$AE$45:$AF$62</definedName>
    <definedName name="ГР12М" localSheetId="15">'[2]гр (9-12)'!$AH$65:$AH$82</definedName>
    <definedName name="ГР12М" localSheetId="6">'[5]гр (9-12)'!$AH$65:$AH$82</definedName>
    <definedName name="ГР12М" localSheetId="45">'[3]гр (9-12)'!$AH$65:$AH$82</definedName>
    <definedName name="ГР12М" localSheetId="3">'[5]гр (9-12)'!$AH$65:$AH$82</definedName>
    <definedName name="ГР12М">'гр (9-12)'!$AH$65:$AH$82</definedName>
    <definedName name="ГР12М_5">'[4]гр (9-16)'!$L$41:$L$50</definedName>
    <definedName name="ГР12М_9">'[4]гр (9-12)'!$P$65:$P$82</definedName>
    <definedName name="ГР12О" localSheetId="15">'[2]гр (9-12)'!$AE$65:$AF$82</definedName>
    <definedName name="ГР12О" localSheetId="1">#REF!</definedName>
    <definedName name="ГР12О" localSheetId="2">#REF!</definedName>
    <definedName name="ГР12О" localSheetId="5">'[7]гр (9-12)'!$AE$65:$AF$82</definedName>
    <definedName name="ГР12О" localSheetId="6">'[7]гр (9-12)'!$AE$65:$AF$82</definedName>
    <definedName name="ГР12О" localSheetId="45">'[3]гр (9-12)'!$AE$65:$AF$82</definedName>
    <definedName name="ГР12О" localSheetId="3">'[8]гр (9-12)'!$AE$65:$AF$82</definedName>
    <definedName name="ГР12О">'гр (9-12)'!$AE$65:$AF$82</definedName>
    <definedName name="ГР13М" localSheetId="15">'[2]гр (13-16)'!$AH$5:$AH$22</definedName>
    <definedName name="ГР13М" localSheetId="6">'[5]гр (13-16)'!$AH$5:$AH$22</definedName>
    <definedName name="ГР13М" localSheetId="45">'[3]гр (13-16)'!$AH$5:$AH$22</definedName>
    <definedName name="ГР13М" localSheetId="3">'[5]гр (13-16)'!$AH$5:$AH$22</definedName>
    <definedName name="ГР13М">'2Фжен'!$AH$5:$AH$22</definedName>
    <definedName name="ГР13М_5">'[4]гр (9-16)'!$Y$5:$Y$14</definedName>
    <definedName name="ГР13М_9">'[4]гр (13-16)'!$P$5:$P$22</definedName>
    <definedName name="ГР13О" localSheetId="15">'[2]гр (13-16)'!$AE$5:$AF$22</definedName>
    <definedName name="ГР13О" localSheetId="1">#REF!</definedName>
    <definedName name="ГР13О" localSheetId="2">#REF!</definedName>
    <definedName name="ГР13О" localSheetId="5">'[7]гр (13-16)'!$AE$5:$AF$22</definedName>
    <definedName name="ГР13О" localSheetId="6">'[7]гр (13-16)'!$AE$5:$AF$22</definedName>
    <definedName name="ГР13О" localSheetId="45">'[3]гр (13-16)'!$AE$5:$AF$22</definedName>
    <definedName name="ГР13О" localSheetId="3">'[8]гр (13-16)'!$AE$5:$AF$22</definedName>
    <definedName name="ГР13О">'2Фжен'!$AE$5:$AF$22</definedName>
    <definedName name="ГР14М" localSheetId="15">'[2]гр (13-16)'!$AH$25:$AH$42</definedName>
    <definedName name="ГР14М" localSheetId="6">'[5]гр (13-16)'!$AH$25:$AH$42</definedName>
    <definedName name="ГР14М" localSheetId="45">'[3]гр (13-16)'!$AH$25:$AH$42</definedName>
    <definedName name="ГР14М" localSheetId="3">'[5]гр (13-16)'!$AH$25:$AH$42</definedName>
    <definedName name="ГР14М">'2Фжен'!$AH$25:$AH$42</definedName>
    <definedName name="ГР14М_5">'[4]гр (9-16)'!$Y$17:$Y$26</definedName>
    <definedName name="ГР14М_9">'[4]гр (13-16)'!$P$25:$P$42</definedName>
    <definedName name="ГР14О" localSheetId="15">'[2]гр (13-16)'!$AE$25:$AF$42</definedName>
    <definedName name="ГР14О" localSheetId="1">#REF!</definedName>
    <definedName name="ГР14О" localSheetId="2">#REF!</definedName>
    <definedName name="ГР14О" localSheetId="5">'[7]гр (13-16)'!$AE$25:$AF$42</definedName>
    <definedName name="ГР14О" localSheetId="6">'[7]гр (13-16)'!$AE$25:$AF$42</definedName>
    <definedName name="ГР14О" localSheetId="45">'[3]гр (13-16)'!$AE$25:$AF$42</definedName>
    <definedName name="ГР14О" localSheetId="3">'[8]гр (13-16)'!$AE$25:$AF$42</definedName>
    <definedName name="ГР14О">'2Фжен'!$AE$25:$AF$42</definedName>
    <definedName name="ГР15М" localSheetId="15">'[2]гр (13-16)'!$AH$45:$AH$62</definedName>
    <definedName name="ГР15М" localSheetId="6">'[5]гр (13-16)'!$AH$45:$AH$62</definedName>
    <definedName name="ГР15М" localSheetId="45">'[3]гр (13-16)'!$AH$45:$AH$62</definedName>
    <definedName name="ГР15М" localSheetId="3">'[5]гр (13-16)'!$AH$45:$AH$62</definedName>
    <definedName name="ГР15М">'2Фжен'!$AH$45:$AH$62</definedName>
    <definedName name="ГР15М_5">'[4]гр (9-16)'!$Y$29:$Y$38</definedName>
    <definedName name="ГР15М_9">'[4]гр (13-16)'!$P$45:$P$62</definedName>
    <definedName name="ГР15О" localSheetId="15">'[2]гр (13-16)'!$AE$45:$AF$62</definedName>
    <definedName name="ГР15О" localSheetId="1">#REF!</definedName>
    <definedName name="ГР15О" localSheetId="2">#REF!</definedName>
    <definedName name="ГР15О" localSheetId="5">'[7]гр (13-16)'!$AE$45:$AF$62</definedName>
    <definedName name="ГР15О" localSheetId="6">'[7]гр (13-16)'!$AE$45:$AF$62</definedName>
    <definedName name="ГР15О" localSheetId="45">'[3]гр (13-16)'!$AE$45:$AF$62</definedName>
    <definedName name="ГР15О" localSheetId="3">'[8]гр (13-16)'!$AE$45:$AF$62</definedName>
    <definedName name="ГР15О">'2Фжен'!$AE$45:$AF$62</definedName>
    <definedName name="ГР16М" localSheetId="15">'[2]гр (13-16)'!$AH$65:$AH$82</definedName>
    <definedName name="ГР16М" localSheetId="6">'[5]гр (13-16)'!$AH$65:$AH$82</definedName>
    <definedName name="ГР16М" localSheetId="45">'[3]гр (13-16)'!$AH$65:$AH$82</definedName>
    <definedName name="ГР16М" localSheetId="3">'[5]гр (13-16)'!$AH$65:$AH$82</definedName>
    <definedName name="ГР16М">'2Фжен'!$AH$65:$AH$82</definedName>
    <definedName name="ГР16М_5">'[4]гр (9-16)'!$Y$41:$Y$50</definedName>
    <definedName name="ГР16М_9">'[4]гр (13-16)'!$P$65:$P$82</definedName>
    <definedName name="ГР16О" localSheetId="15">'[2]гр (13-16)'!$AE$65:$AF$82</definedName>
    <definedName name="ГР16О" localSheetId="1">#REF!</definedName>
    <definedName name="ГР16О" localSheetId="2">#REF!</definedName>
    <definedName name="ГР16О" localSheetId="5">'[7]гр (13-16)'!$AE$65:$AF$82</definedName>
    <definedName name="ГР16О" localSheetId="6">'[7]гр (13-16)'!$AE$65:$AF$82</definedName>
    <definedName name="ГР16О" localSheetId="45">'[3]гр (13-16)'!$AE$65:$AF$82</definedName>
    <definedName name="ГР16О" localSheetId="3">'[8]гр (13-16)'!$AE$65:$AF$82</definedName>
    <definedName name="ГР16О">'2Фжен'!$AE$65:$AF$82</definedName>
    <definedName name="ГР17М_5">'[4]гр (17-24)'!$L$5:$L$14</definedName>
    <definedName name="ГР18М_5">'[4]гр (17-24)'!$L$17:$L$26</definedName>
    <definedName name="ГР19М_5">'[4]гр (17-24)'!$L$29:$L$38</definedName>
    <definedName name="ГР1М" localSheetId="15">'[2]гр (1-4)'!$AH$5:$AH$22</definedName>
    <definedName name="ГР1М" localSheetId="43">'2Фжен'!$AH$5:$AH$22</definedName>
    <definedName name="ГР1М" localSheetId="9">'гр (9-12)'!$AH$5:$AH$22</definedName>
    <definedName name="ГР1М" localSheetId="6">#REF!</definedName>
    <definedName name="ГР1М" localSheetId="45">'[3]гр (1-4)'!$AH$5:$AH$22</definedName>
    <definedName name="ГР1М" localSheetId="3">#REF!</definedName>
    <definedName name="ГР1М">'гр (1-4)'!$AH$5:$AH$22</definedName>
    <definedName name="ГР1М_5">'[4]гр (1-8)'!$L$5:$L$14</definedName>
    <definedName name="ГР1М_9">'[4]гр (1-4)'!$P$5:$P$22</definedName>
    <definedName name="ГР1О" localSheetId="7">'гр (1-4)'!$AE$5:$AF$22</definedName>
    <definedName name="ГР1О" localSheetId="6">'[9]гр (1-4)'!$AH$5:$AI$24</definedName>
    <definedName name="ГР1О" localSheetId="3">'[9]гр (1-4)'!$AH$5:$AI$24</definedName>
    <definedName name="ГР1О">'[10]гр (1-4)'!$AH$5:$AI$24</definedName>
    <definedName name="ГР20М_5">'[4]гр (17-24)'!$L$41:$L$50</definedName>
    <definedName name="ГР21М_5">'[4]гр (17-24)'!$Y$5:$Y$14</definedName>
    <definedName name="ГР22М_5">'[4]гр (17-24)'!$Y$17:$Y$26</definedName>
    <definedName name="ГР23М_5">'[4]гр (17-24)'!$Y$29:$Y$38</definedName>
    <definedName name="ГР24М_5">'[4]гр (17-24)'!$Y$41:$Y$50</definedName>
    <definedName name="ГР25М_5">'[4]гр (25-32)'!$L$5:$L$14</definedName>
    <definedName name="ГР26М_5">'[4]гр (25-32)'!$L$17:$L$26</definedName>
    <definedName name="ГР27М_5">'[4]гр (25-32)'!$L$29:$L$38</definedName>
    <definedName name="ГР28М_5">'[4]гр (25-32)'!$L$41:$L$50</definedName>
    <definedName name="ГР29М_5">'[4]гр (25-32)'!$Y$5:$Y$14</definedName>
    <definedName name="ГР2М" localSheetId="15">'[2]гр (1-4)'!$AH$25:$AH$42</definedName>
    <definedName name="ГР2М" localSheetId="6">#REF!</definedName>
    <definedName name="ГР2М" localSheetId="45">'[3]гр (1-4)'!$AH$25:$AH$42</definedName>
    <definedName name="ГР2М" localSheetId="3">#REF!</definedName>
    <definedName name="ГР2М">'гр (1-4)'!$AH$25:$AH$42</definedName>
    <definedName name="ГР2М_5">'[4]гр (1-8)'!$L$17:$L$26</definedName>
    <definedName name="ГР2М_9">'[4]гр (1-4)'!$P$25:$P$42</definedName>
    <definedName name="ГР2О" localSheetId="7">'гр (1-4)'!$AE$25:$AF$42</definedName>
    <definedName name="ГР2О" localSheetId="1">'гр (1-8)'!$V$19:$W$28</definedName>
    <definedName name="ГР2О" localSheetId="2">'гр (9-16)'!$V$19:$W$28</definedName>
    <definedName name="ГР2О" localSheetId="5">'[9]гр (1-4)'!$AH$27:$AI$46</definedName>
    <definedName name="ГР2О" localSheetId="6">'[9]гр (1-4)'!$AH$27:$AI$46</definedName>
    <definedName name="ГР2О" localSheetId="3">'[9]гр (1-4)'!$AH$27:$AI$46</definedName>
    <definedName name="ГР2О">'[10]гр (1-4)'!$AH$27:$AI$46</definedName>
    <definedName name="ГР30М_5">'[4]гр (25-32)'!$Y$17:$Y$26</definedName>
    <definedName name="ГР31М_5">'[4]гр (25-32)'!$Y$29:$Y$38</definedName>
    <definedName name="ГР32М_5">'[4]гр (25-32)'!$Y$41:$Y$50</definedName>
    <definedName name="ГР3М" localSheetId="15">'[2]гр (1-4)'!$AH$45:$AH$62</definedName>
    <definedName name="ГР3М" localSheetId="6">#REF!</definedName>
    <definedName name="ГР3М" localSheetId="45">'[3]гр (1-4)'!$AH$45:$AH$62</definedName>
    <definedName name="ГР3М" localSheetId="3">#REF!</definedName>
    <definedName name="ГР3М">'гр (1-4)'!$AH$45:$AH$62</definedName>
    <definedName name="ГР3М_5">'[4]гр (1-8)'!$L$29:$L$38</definedName>
    <definedName name="ГР3М_9">'[4]гр (1-4)'!$P$45:$P$62</definedName>
    <definedName name="ГР3О" localSheetId="7">'гр (1-4)'!$AE$45:$AF$62</definedName>
    <definedName name="ГР3О" localSheetId="1">'гр (1-8)'!$V$31:$W$40</definedName>
    <definedName name="ГР3О" localSheetId="2">'гр (9-16)'!$V$31:$W$40</definedName>
    <definedName name="ГР3О" localSheetId="5">'[9]гр (1-4)'!$AH$49:$AI$68</definedName>
    <definedName name="ГР3О" localSheetId="6">'[9]гр (1-4)'!$AH$49:$AI$68</definedName>
    <definedName name="ГР3О" localSheetId="3">'[9]гр (1-4)'!$AH$49:$AI$68</definedName>
    <definedName name="ГР3О">'[10]гр (1-4)'!$AH$49:$AI$68</definedName>
    <definedName name="ГР4М" localSheetId="15">'[2]гр (1-4)'!$AH$65:$AH$82</definedName>
    <definedName name="ГР4М" localSheetId="6">#REF!</definedName>
    <definedName name="ГР4М" localSheetId="45">'[3]гр (1-4)'!$AH$65:$AH$82</definedName>
    <definedName name="ГР4М" localSheetId="3">#REF!</definedName>
    <definedName name="ГР4М">'гр (1-4)'!$AH$65:$AH$82</definedName>
    <definedName name="ГР4М_5">'[4]гр (1-8)'!$L$41:$L$50</definedName>
    <definedName name="ГР4М_9">'[4]гр (1-4)'!$P$65:$P$82</definedName>
    <definedName name="ГР4О" localSheetId="7">'гр (1-4)'!$AE$65:$AF$82</definedName>
    <definedName name="ГР4О" localSheetId="1">'гр (1-8)'!$V$43:$W$52</definedName>
    <definedName name="ГР4О" localSheetId="2">'гр (9-16)'!$V$43:$W$52</definedName>
    <definedName name="ГР4О" localSheetId="5">'[9]гр (1-4)'!$AH$71:$AI$90</definedName>
    <definedName name="ГР4О" localSheetId="6">'[9]гр (1-4)'!$AH$71:$AI$90</definedName>
    <definedName name="ГР4О" localSheetId="3">'[9]гр (1-4)'!$AH$71:$AI$90</definedName>
    <definedName name="ГР4О">'[10]гр (1-4)'!$AH$71:$AI$90</definedName>
    <definedName name="ГР5М" localSheetId="15">'[2]гр (5-8)'!$AH$5:$AH$22</definedName>
    <definedName name="ГР5М" localSheetId="6">'[5]гр (5-8)'!$AH$5:$AH$22</definedName>
    <definedName name="ГР5М" localSheetId="45">'[3]гр (5-8)'!$AH$5:$AH$22</definedName>
    <definedName name="ГР5М" localSheetId="3">'[5]гр (5-8)'!$AH$5:$AH$22</definedName>
    <definedName name="ГР5М">'гр (5-8)'!$AH$5:$AH$22</definedName>
    <definedName name="ГР5М_5">'[4]гр (1-8)'!$Y$5:$Y$14</definedName>
    <definedName name="ГР5М_9">'[4]гр (5-8)'!$P$5:$P$22</definedName>
    <definedName name="ГР5О" localSheetId="15">'[2]гр (5-8)'!$AE$5:$AF$22</definedName>
    <definedName name="ГР5О" localSheetId="1">#REF!</definedName>
    <definedName name="ГР5О" localSheetId="2">#REF!</definedName>
    <definedName name="ГР5О" localSheetId="5">'[7]гр (5-8)'!$AE$5:$AF$22</definedName>
    <definedName name="ГР5О" localSheetId="6">'[7]гр (5-8)'!$AE$5:$AF$22</definedName>
    <definedName name="ГР5О" localSheetId="45">'[3]гр (5-8)'!$AE$5:$AF$22</definedName>
    <definedName name="ГР5О" localSheetId="3">'[8]гр (5-8)'!$AE$5:$AF$22</definedName>
    <definedName name="ГР5О">'гр (5-8)'!$AE$5:$AF$22</definedName>
    <definedName name="ГР6М" localSheetId="15">'[2]гр (5-8)'!$AH$25:$AH$42</definedName>
    <definedName name="ГР6М" localSheetId="6">'[5]гр (5-8)'!$AH$25:$AH$42</definedName>
    <definedName name="ГР6М" localSheetId="45">'[3]гр (5-8)'!$AH$25:$AH$42</definedName>
    <definedName name="ГР6М" localSheetId="3">'[5]гр (5-8)'!$AH$25:$AH$42</definedName>
    <definedName name="ГР6М">'гр (5-8)'!$AH$25:$AH$42</definedName>
    <definedName name="ГР6М_5">'[4]гр (1-8)'!$Y$17:$Y$26</definedName>
    <definedName name="ГР6М_9">'[4]гр (5-8)'!$P$25:$P$42</definedName>
    <definedName name="ГР6О" localSheetId="15">'[2]гр (5-8)'!$AE$25:$AF$42</definedName>
    <definedName name="ГР6О" localSheetId="1">#REF!</definedName>
    <definedName name="ГР6О" localSheetId="2">#REF!</definedName>
    <definedName name="ГР6О" localSheetId="5">'[7]гр (5-8)'!$AE$25:$AF$42</definedName>
    <definedName name="ГР6О" localSheetId="6">'[7]гр (5-8)'!$AE$25:$AF$42</definedName>
    <definedName name="ГР6О" localSheetId="45">'[3]гр (5-8)'!$AE$25:$AF$42</definedName>
    <definedName name="ГР6О" localSheetId="3">'[8]гр (5-8)'!$AE$25:$AF$42</definedName>
    <definedName name="ГР6О">'гр (5-8)'!$AE$25:$AF$42</definedName>
    <definedName name="ГР7М" localSheetId="15">'[2]гр (5-8)'!$AH$45:$AH$62</definedName>
    <definedName name="ГР7М" localSheetId="6">'[5]гр (5-8)'!$AH$45:$AH$62</definedName>
    <definedName name="ГР7М" localSheetId="45">'[3]гр (5-8)'!$AH$45:$AH$62</definedName>
    <definedName name="ГР7М" localSheetId="3">'[5]гр (5-8)'!$AH$45:$AH$62</definedName>
    <definedName name="ГР7М">'гр (5-8)'!$AH$45:$AH$62</definedName>
    <definedName name="ГР7М_5">'[4]гр (1-8)'!$Y$29:$Y$38</definedName>
    <definedName name="ГР7М_9">'[4]гр (5-8)'!$P$45:$P$62</definedName>
    <definedName name="ГР7О" localSheetId="15">'[2]гр (5-8)'!$AE$45:$AF$62</definedName>
    <definedName name="ГР7О" localSheetId="1">#REF!</definedName>
    <definedName name="ГР7О" localSheetId="2">#REF!</definedName>
    <definedName name="ГР7О" localSheetId="5">'[7]гр (5-8)'!$AE$45:$AF$62</definedName>
    <definedName name="ГР7О" localSheetId="6">'[7]гр (5-8)'!$AE$45:$AF$62</definedName>
    <definedName name="ГР7О" localSheetId="45">'[3]гр (5-8)'!$AE$45:$AF$62</definedName>
    <definedName name="ГР7О" localSheetId="3">'[8]гр (5-8)'!$AE$45:$AF$62</definedName>
    <definedName name="ГР7О">'гр (5-8)'!$AE$45:$AF$62</definedName>
    <definedName name="ГР8М" localSheetId="15">'[2]гр (5-8)'!$AH$65:$AH$82</definedName>
    <definedName name="ГР8М" localSheetId="6">'[5]гр (5-8)'!$AH$65:$AH$82</definedName>
    <definedName name="ГР8М" localSheetId="45">'[3]гр (5-8)'!$AH$65:$AH$82</definedName>
    <definedName name="ГР8М" localSheetId="3">'[5]гр (5-8)'!$AH$65:$AH$82</definedName>
    <definedName name="ГР8М">'гр (5-8)'!$AH$65:$AH$82</definedName>
    <definedName name="ГР8М_5">'[4]гр (1-8)'!$Y$41:$Y$50</definedName>
    <definedName name="ГР8М_9">'[4]гр (5-8)'!$P$65:$P$82</definedName>
    <definedName name="ГР8О" localSheetId="15">'[2]гр (5-8)'!$AE$65:$AF$82</definedName>
    <definedName name="ГР8О" localSheetId="1">#REF!</definedName>
    <definedName name="ГР8О" localSheetId="2">#REF!</definedName>
    <definedName name="ГР8О" localSheetId="5">'[7]гр (5-8)'!$AE$65:$AF$82</definedName>
    <definedName name="ГР8О" localSheetId="6">'[7]гр (5-8)'!$AE$65:$AF$82</definedName>
    <definedName name="ГР8О" localSheetId="45">'[3]гр (5-8)'!$AE$65:$AF$82</definedName>
    <definedName name="ГР8О" localSheetId="3">'[8]гр (5-8)'!$AE$65:$AF$82</definedName>
    <definedName name="ГР8О">'гр (5-8)'!$AE$65:$AF$82</definedName>
    <definedName name="ГР9М" localSheetId="15">'[2]гр (9-12)'!$AH$5:$AH$22</definedName>
    <definedName name="ГР9М" localSheetId="6">'[5]гр (9-12)'!$AH$5:$AH$22</definedName>
    <definedName name="ГР9М" localSheetId="45">'[3]гр (9-12)'!$AH$5:$AH$22</definedName>
    <definedName name="ГР9М" localSheetId="3">'[5]гр (9-12)'!$AH$5:$AH$22</definedName>
    <definedName name="ГР9М">'гр (9-12)'!$AH$5:$AH$22</definedName>
    <definedName name="ГР9М_5">'[4]гр (9-16)'!$L$5:$L$14</definedName>
    <definedName name="ГР9М_9">'[4]гр (9-12)'!$P$5:$P$22</definedName>
    <definedName name="ГР9О" localSheetId="15">'[2]гр (9-12)'!$AE$5:$AF$22</definedName>
    <definedName name="ГР9О" localSheetId="1">#REF!</definedName>
    <definedName name="ГР9О" localSheetId="2">#REF!</definedName>
    <definedName name="ГР9О" localSheetId="5">'[7]гр (9-12)'!$AE$5:$AF$22</definedName>
    <definedName name="ГР9О" localSheetId="6">'[7]гр (9-12)'!$AE$5:$AF$22</definedName>
    <definedName name="ГР9О" localSheetId="45">'[3]гр (9-12)'!$AE$5:$AF$22</definedName>
    <definedName name="ГР9О" localSheetId="3">'[8]гр (9-12)'!$AE$5:$AF$22</definedName>
    <definedName name="ГР9О">'гр (9-12)'!$AE$5:$AF$22</definedName>
    <definedName name="ДЛИНА" localSheetId="34">'ОФП и СФП'!$J$9:$J$105</definedName>
    <definedName name="жереб" localSheetId="1">#REF!</definedName>
    <definedName name="жереб" localSheetId="2">#REF!</definedName>
    <definedName name="жереб" localSheetId="5">#REF!</definedName>
    <definedName name="жереб" localSheetId="6">#REF!</definedName>
    <definedName name="жереб" localSheetId="3">#REF!</definedName>
    <definedName name="жереб">#REF!</definedName>
    <definedName name="КВАДР" localSheetId="34">'ОФП и СФП'!$R$9:$R$105</definedName>
    <definedName name="_xlnm.Print_Area" localSheetId="10">'1Ф КРУГ'!$A$1:$BC$38</definedName>
    <definedName name="_xlnm.Print_Area" localSheetId="12">'3Ф КРУГ'!$A$1:$BC$38</definedName>
    <definedName name="_xlnm.Print_Area" localSheetId="28">'Бегунки 1Ф'!$A$1:$AB$32</definedName>
    <definedName name="_xlnm.Print_Area" localSheetId="30">'Бегунки 2Ф'!$A$1:$AB$32</definedName>
    <definedName name="_xlnm.Print_Area" localSheetId="31">'Бегунки 3Ф'!$A$1:$AB$32</definedName>
    <definedName name="_xlnm.Print_Area" localSheetId="32">'Бегунки 4Ф'!$A$1:$AB$32</definedName>
    <definedName name="_xlnm.Print_Area" localSheetId="1">'гр (1-8)'!$A$1:$AY$60</definedName>
    <definedName name="_xlnm.Print_Area" localSheetId="2">'гр (9-16)'!$A$1:$AY$60</definedName>
    <definedName name="_xlnm.Print_Area" localSheetId="35">'Места в группе'!$A$1:$F$174</definedName>
    <definedName name="_xlnm.Print_Area" localSheetId="24">'Порядок встреч 1Ф'!$A$1:$P$68</definedName>
    <definedName name="_xlnm.Print_Area" localSheetId="25">'Порядок встреч 2Ф'!$A$1:$P$68</definedName>
    <definedName name="_xlnm.Print_Area" localSheetId="26">'Порядок встреч 3Ф'!$A$1:$P$68</definedName>
    <definedName name="_xlnm.Print_Area" localSheetId="27">'Порядок встреч 4Ф'!$A$1:$P$68</definedName>
    <definedName name="_xlnm.Print_Area" localSheetId="18">'св.прот 1ф'!$A$1:$P$124</definedName>
    <definedName name="_xlnm.Print_Area" localSheetId="19">'св.прот 2ф'!$A$1:$P$124</definedName>
    <definedName name="_xlnm.Print_Area" localSheetId="20">'св.прот 3ф'!$A$1:$P$124</definedName>
    <definedName name="_xlnm.Print_Area" localSheetId="21">'св.прот 4ф'!$A$1:$P$124</definedName>
    <definedName name="_xlnm.Print_Area" localSheetId="0">'Списки участников'!$A$1:$N$64</definedName>
    <definedName name="ОТЖИМ" localSheetId="34">'ОФП и СФП'!$N$9:$N$101</definedName>
    <definedName name="ПРЕСС" localSheetId="34">'ОФП и СФП'!$P$9:$P$105</definedName>
    <definedName name="СКАК" localSheetId="15">'[2]ОФП и СФП'!$L$9:$L$105</definedName>
    <definedName name="СКАК" localSheetId="6">'[11]ОФП и СФП'!$L$9:$L$105</definedName>
    <definedName name="СКАК" localSheetId="45">'[3]ОФП и СФП'!$L$9:$L$105</definedName>
    <definedName name="СКАК" localSheetId="3">'[11]ОФП и СФП'!$L$9:$L$105</definedName>
    <definedName name="СКАК">'ОФП и СФП'!$L$9:$L$105</definedName>
    <definedName name="Сумма_мест" localSheetId="15">'[2]ОФП и СФП'!$T$9:$T$105</definedName>
    <definedName name="Сумма_мест" localSheetId="6">'[11]ОФП и СФП'!$T$9:$T$158</definedName>
    <definedName name="Сумма_мест" localSheetId="45">'[3]ОФП и СФП'!$T$9:$T$105</definedName>
    <definedName name="Сумма_мест" localSheetId="3">'[11]ОФП и СФП'!$T$9:$T$158</definedName>
    <definedName name="Сумма_мест">'ОФП и СФП'!$T$9:$T$105</definedName>
    <definedName name="Ф1Оч" localSheetId="15">'[2]1Ф КРУГ'!$AZ$5:$BA$36</definedName>
    <definedName name="Ф1Оч" localSheetId="6">#REF!</definedName>
    <definedName name="Ф1Оч" localSheetId="45">'[3]1Ф КРУГ'!$AZ$5:$BA$36</definedName>
    <definedName name="Ф1Оч" localSheetId="3">#REF!</definedName>
    <definedName name="Ф1Оч">'1Ф КРУГ'!$AZ$5:$BA$36</definedName>
    <definedName name="Ф2Оч" localSheetId="11">'2Ф КРУГ'!$AZ$5:$BA$36</definedName>
    <definedName name="Ф2Оч" localSheetId="6">'[9]Юноши 2ф'!$AZ$5:$BA$36</definedName>
    <definedName name="Ф2Оч" localSheetId="3">'[9]Юноши 2ф'!$AZ$5:$BA$36</definedName>
    <definedName name="Ф2Оч">'[10]Юноши 2ф'!$AZ$5:$BA$36</definedName>
    <definedName name="Ф3Оч" localSheetId="12">'3Ф КРУГ'!$AZ$5:$BA$36</definedName>
    <definedName name="Ф3Оч" localSheetId="6">'[9]Юноши 3ф'!$AZ$5:$BA$36</definedName>
    <definedName name="Ф3Оч" localSheetId="3">'[9]Юноши 3ф'!$AZ$5:$BA$36</definedName>
    <definedName name="Ф3Оч">'[10]Юноши 3ф'!$AZ$5:$BA$36</definedName>
    <definedName name="Ф4Оч" localSheetId="13">'4Ф КРУГ'!$AZ$5:$BA$36</definedName>
    <definedName name="Ф4Оч" localSheetId="6">'[9]Юноши 4ф'!$AZ$5:$BA$36</definedName>
    <definedName name="Ф4Оч" localSheetId="3">'[9]Юноши 4ф'!$AZ$5:$BA$36</definedName>
    <definedName name="Ф4Оч">'[10]Юноши 4ф'!$AZ$5:$BA$36</definedName>
  </definedNames>
  <calcPr calcId="162913"/>
  <fileRecoveryPr autoRecover="0"/>
</workbook>
</file>

<file path=xl/calcChain.xml><?xml version="1.0" encoding="utf-8"?>
<calcChain xmlns="http://schemas.openxmlformats.org/spreadsheetml/2006/main">
  <c r="AH84" i="107" l="1"/>
  <c r="D84" i="107"/>
  <c r="D32" i="171" l="1"/>
  <c r="D30" i="171"/>
  <c r="D28" i="171"/>
  <c r="D26" i="171"/>
  <c r="D24" i="171"/>
  <c r="D22" i="171"/>
  <c r="D18" i="171"/>
  <c r="D16" i="171"/>
  <c r="D14" i="171"/>
  <c r="D12" i="171"/>
  <c r="D10" i="171"/>
  <c r="D8" i="171"/>
  <c r="D6" i="171"/>
  <c r="D4" i="171"/>
  <c r="H77" i="171" l="1"/>
  <c r="H75" i="171"/>
  <c r="C34" i="171"/>
  <c r="C32" i="171"/>
  <c r="C30" i="171"/>
  <c r="C28" i="171"/>
  <c r="C26" i="171"/>
  <c r="C24" i="171"/>
  <c r="C22" i="171"/>
  <c r="C20" i="171"/>
  <c r="C18" i="171"/>
  <c r="C16" i="171"/>
  <c r="C14" i="171"/>
  <c r="C12" i="171"/>
  <c r="C10" i="171"/>
  <c r="C8" i="171"/>
  <c r="C6" i="171"/>
  <c r="C4" i="171"/>
  <c r="M3" i="171"/>
  <c r="A3" i="171"/>
  <c r="A2" i="171"/>
  <c r="A1" i="171"/>
  <c r="S35" i="172"/>
  <c r="R35" i="172"/>
  <c r="O72" i="171" s="1"/>
  <c r="I35" i="172"/>
  <c r="G35" i="172"/>
  <c r="D35" i="172"/>
  <c r="F35" i="172" s="1"/>
  <c r="C35" i="172"/>
  <c r="E35" i="172" s="1"/>
  <c r="S34" i="172"/>
  <c r="R34" i="172"/>
  <c r="O67" i="171" s="1"/>
  <c r="I34" i="172"/>
  <c r="G34" i="172"/>
  <c r="N66" i="171" s="1"/>
  <c r="O66" i="171" s="1"/>
  <c r="D34" i="172"/>
  <c r="F34" i="172" s="1"/>
  <c r="C34" i="172"/>
  <c r="E34" i="172" s="1"/>
  <c r="S33" i="172"/>
  <c r="R33" i="172"/>
  <c r="I33" i="172"/>
  <c r="G33" i="172"/>
  <c r="K68" i="171" s="1"/>
  <c r="L68" i="171" s="1"/>
  <c r="S32" i="172"/>
  <c r="R32" i="172"/>
  <c r="L65" i="171" s="1"/>
  <c r="I32" i="172"/>
  <c r="G32" i="172"/>
  <c r="K64" i="171" s="1"/>
  <c r="K70" i="171" s="1"/>
  <c r="L70" i="171" s="1"/>
  <c r="S31" i="172"/>
  <c r="R31" i="172"/>
  <c r="O62" i="171" s="1"/>
  <c r="I31" i="172"/>
  <c r="G31" i="172"/>
  <c r="N61" i="171" s="1"/>
  <c r="O61" i="171" s="1"/>
  <c r="S30" i="172"/>
  <c r="R30" i="172"/>
  <c r="O54" i="171" s="1"/>
  <c r="S29" i="172"/>
  <c r="R29" i="172"/>
  <c r="L58" i="171" s="1"/>
  <c r="S28" i="172"/>
  <c r="R28" i="172"/>
  <c r="S27" i="172"/>
  <c r="R27" i="172"/>
  <c r="I60" i="171" s="1"/>
  <c r="S26" i="172"/>
  <c r="R26" i="172"/>
  <c r="I56" i="171" s="1"/>
  <c r="S25" i="172"/>
  <c r="R25" i="172"/>
  <c r="I52" i="171" s="1"/>
  <c r="S24" i="172"/>
  <c r="R24" i="172"/>
  <c r="I48" i="171" s="1"/>
  <c r="S23" i="172"/>
  <c r="R23" i="172"/>
  <c r="O45" i="171" s="1"/>
  <c r="S22" i="172"/>
  <c r="R22" i="172"/>
  <c r="O40" i="171" s="1"/>
  <c r="S21" i="172"/>
  <c r="R21" i="172"/>
  <c r="L42" i="171" s="1"/>
  <c r="S20" i="172"/>
  <c r="R20" i="172"/>
  <c r="L38" i="171" s="1"/>
  <c r="S19" i="172"/>
  <c r="R19" i="172"/>
  <c r="O35" i="171" s="1"/>
  <c r="S18" i="172"/>
  <c r="R18" i="172"/>
  <c r="O20" i="171" s="1"/>
  <c r="S17" i="172"/>
  <c r="R17" i="172"/>
  <c r="S16" i="172"/>
  <c r="R16" i="172"/>
  <c r="S15" i="172"/>
  <c r="R15" i="172"/>
  <c r="I32" i="171" s="1"/>
  <c r="S14" i="172"/>
  <c r="R14" i="172"/>
  <c r="I24" i="171" s="1"/>
  <c r="S13" i="172"/>
  <c r="R13" i="172"/>
  <c r="I16" i="171" s="1"/>
  <c r="S12" i="172"/>
  <c r="R12" i="172"/>
  <c r="I8" i="171" s="1"/>
  <c r="S11" i="172"/>
  <c r="R11" i="172"/>
  <c r="D11" i="172"/>
  <c r="F11" i="172" s="1"/>
  <c r="C11" i="172"/>
  <c r="E11" i="172" s="1"/>
  <c r="S10" i="172"/>
  <c r="R10" i="172"/>
  <c r="F30" i="171" s="1"/>
  <c r="D10" i="172"/>
  <c r="F10" i="172" s="1"/>
  <c r="C10" i="172"/>
  <c r="E10" i="172" s="1"/>
  <c r="S9" i="172"/>
  <c r="R9" i="172"/>
  <c r="F26" i="171" s="1"/>
  <c r="D9" i="172"/>
  <c r="F9" i="172" s="1"/>
  <c r="C9" i="172"/>
  <c r="E9" i="172" s="1"/>
  <c r="D26" i="172" s="1"/>
  <c r="F26" i="172" s="1"/>
  <c r="S8" i="172"/>
  <c r="R8" i="172"/>
  <c r="F22" i="171" s="1"/>
  <c r="D8" i="172"/>
  <c r="F8" i="172" s="1"/>
  <c r="C8" i="172"/>
  <c r="E8" i="172" s="1"/>
  <c r="S7" i="172"/>
  <c r="R7" i="172"/>
  <c r="F18" i="171" s="1"/>
  <c r="D7" i="172"/>
  <c r="F7" i="172" s="1"/>
  <c r="C7" i="172"/>
  <c r="E7" i="172" s="1"/>
  <c r="I7" i="172" s="1"/>
  <c r="S6" i="172"/>
  <c r="R6" i="172"/>
  <c r="F14" i="171" s="1"/>
  <c r="D6" i="172"/>
  <c r="F6" i="172" s="1"/>
  <c r="C6" i="172"/>
  <c r="E6" i="172" s="1"/>
  <c r="S5" i="172"/>
  <c r="R5" i="172"/>
  <c r="F10" i="171" s="1"/>
  <c r="G5" i="172"/>
  <c r="E9" i="171" s="1"/>
  <c r="F9" i="171" s="1"/>
  <c r="D5" i="172"/>
  <c r="F5" i="172" s="1"/>
  <c r="C5" i="172"/>
  <c r="E5" i="172" s="1"/>
  <c r="D24" i="172" s="1"/>
  <c r="F24" i="172" s="1"/>
  <c r="S4" i="172"/>
  <c r="R4" i="172"/>
  <c r="D4" i="172"/>
  <c r="F4" i="172" s="1"/>
  <c r="C4" i="172"/>
  <c r="E4" i="172" s="1"/>
  <c r="G4" i="172" s="1"/>
  <c r="E5" i="171" s="1"/>
  <c r="Q73" i="171"/>
  <c r="Q71" i="171"/>
  <c r="N71" i="171"/>
  <c r="O71" i="171" s="1"/>
  <c r="Q69" i="171"/>
  <c r="L69" i="171"/>
  <c r="Q66" i="171"/>
  <c r="Q63" i="171"/>
  <c r="Q61" i="171"/>
  <c r="Q58" i="171"/>
  <c r="Q53" i="171"/>
  <c r="L50" i="171"/>
  <c r="Q46" i="171"/>
  <c r="Q44" i="171"/>
  <c r="Q42" i="171"/>
  <c r="Q39" i="171"/>
  <c r="Q36" i="171"/>
  <c r="Q34" i="171"/>
  <c r="F34" i="171"/>
  <c r="Q31" i="171"/>
  <c r="L28" i="171"/>
  <c r="Q19" i="171"/>
  <c r="L12" i="171"/>
  <c r="F6" i="171"/>
  <c r="AJ46" i="169"/>
  <c r="D69" i="169"/>
  <c r="D67" i="169"/>
  <c r="D65" i="169"/>
  <c r="D63" i="169"/>
  <c r="D61" i="169"/>
  <c r="D59" i="169"/>
  <c r="D57" i="169"/>
  <c r="D53" i="169"/>
  <c r="D51" i="169"/>
  <c r="D49" i="169"/>
  <c r="D47" i="169"/>
  <c r="D45" i="169"/>
  <c r="D43" i="169"/>
  <c r="D41" i="169"/>
  <c r="D39" i="169"/>
  <c r="D37" i="169"/>
  <c r="D35" i="169"/>
  <c r="D33" i="169"/>
  <c r="D31" i="169"/>
  <c r="D27" i="169"/>
  <c r="D25" i="169"/>
  <c r="D23" i="169"/>
  <c r="D21" i="169"/>
  <c r="D19" i="169"/>
  <c r="D17" i="169"/>
  <c r="D15" i="169"/>
  <c r="D13" i="169"/>
  <c r="D11" i="169"/>
  <c r="D9" i="169"/>
  <c r="D7" i="169"/>
  <c r="D19" i="170"/>
  <c r="F19" i="170" s="1"/>
  <c r="C19" i="170"/>
  <c r="E19" i="170" s="1"/>
  <c r="D18" i="170"/>
  <c r="C18" i="170"/>
  <c r="E18" i="170" s="1"/>
  <c r="I18" i="170" s="1"/>
  <c r="D17" i="170"/>
  <c r="F17" i="170" s="1"/>
  <c r="C17" i="170"/>
  <c r="E17" i="170" s="1"/>
  <c r="D16" i="170"/>
  <c r="F16" i="170" s="1"/>
  <c r="C16" i="170"/>
  <c r="E16" i="170" s="1"/>
  <c r="C26" i="170" s="1"/>
  <c r="E26" i="170" s="1"/>
  <c r="D15" i="170"/>
  <c r="F15" i="170" s="1"/>
  <c r="C15" i="170"/>
  <c r="E15" i="170" s="1"/>
  <c r="D25" i="170" s="1"/>
  <c r="F25" i="170" s="1"/>
  <c r="D14" i="170"/>
  <c r="C14" i="170"/>
  <c r="E14" i="170" s="1"/>
  <c r="C57" i="170" s="1"/>
  <c r="E57" i="170" s="1"/>
  <c r="D13" i="170"/>
  <c r="F13" i="170" s="1"/>
  <c r="C13" i="170"/>
  <c r="E13" i="170" s="1"/>
  <c r="D24" i="170" s="1"/>
  <c r="F24" i="170" s="1"/>
  <c r="D12" i="170"/>
  <c r="C12" i="170"/>
  <c r="E12" i="170" s="1"/>
  <c r="G12" i="170" s="1"/>
  <c r="D11" i="170"/>
  <c r="F11" i="170" s="1"/>
  <c r="C11" i="170"/>
  <c r="E11" i="170" s="1"/>
  <c r="D23" i="170" s="1"/>
  <c r="F23" i="170" s="1"/>
  <c r="D10" i="170"/>
  <c r="C10" i="170"/>
  <c r="E10" i="170" s="1"/>
  <c r="I10" i="170" s="1"/>
  <c r="D9" i="170"/>
  <c r="F9" i="170" s="1"/>
  <c r="C9" i="170"/>
  <c r="E9" i="170" s="1"/>
  <c r="D22" i="170" s="1"/>
  <c r="F22" i="170" s="1"/>
  <c r="D8" i="170"/>
  <c r="C8" i="170"/>
  <c r="E8" i="170" s="1"/>
  <c r="C22" i="170" s="1"/>
  <c r="E22" i="170" s="1"/>
  <c r="D7" i="170"/>
  <c r="F7" i="170" s="1"/>
  <c r="C7" i="170"/>
  <c r="E7" i="170" s="1"/>
  <c r="D21" i="170" s="1"/>
  <c r="F21" i="170" s="1"/>
  <c r="D6" i="170"/>
  <c r="C6" i="170"/>
  <c r="E6" i="170" s="1"/>
  <c r="C53" i="170" s="1"/>
  <c r="E53" i="170" s="1"/>
  <c r="D5" i="170"/>
  <c r="F5" i="170" s="1"/>
  <c r="C5" i="170"/>
  <c r="E5" i="170" s="1"/>
  <c r="D20" i="170" s="1"/>
  <c r="F20" i="170" s="1"/>
  <c r="D4" i="170"/>
  <c r="C4" i="170"/>
  <c r="E4" i="170" s="1"/>
  <c r="G4" i="170" s="1"/>
  <c r="AK69" i="169"/>
  <c r="C69" i="169"/>
  <c r="C68" i="169"/>
  <c r="AK67" i="169"/>
  <c r="C67" i="169"/>
  <c r="C65" i="169"/>
  <c r="C63" i="169"/>
  <c r="AS61" i="169"/>
  <c r="C61" i="169"/>
  <c r="AP59" i="169"/>
  <c r="C59" i="169"/>
  <c r="C57" i="169"/>
  <c r="AS55" i="169"/>
  <c r="C55" i="169"/>
  <c r="C53" i="169"/>
  <c r="C51" i="169"/>
  <c r="AM50" i="169"/>
  <c r="C49" i="169"/>
  <c r="C47" i="169"/>
  <c r="AP45" i="169"/>
  <c r="C45" i="169"/>
  <c r="AM44" i="169"/>
  <c r="C43" i="169"/>
  <c r="F41" i="169"/>
  <c r="C41" i="169"/>
  <c r="C39" i="169"/>
  <c r="C37" i="169"/>
  <c r="C35" i="169"/>
  <c r="C33" i="169"/>
  <c r="C31" i="169"/>
  <c r="C29" i="169"/>
  <c r="C27" i="169"/>
  <c r="F25" i="169"/>
  <c r="AF12" i="169" s="1"/>
  <c r="AG12" i="169" s="1"/>
  <c r="C25" i="169"/>
  <c r="C23" i="169"/>
  <c r="C21" i="169"/>
  <c r="AJ20" i="169"/>
  <c r="AI48" i="169" s="1"/>
  <c r="AJ48" i="169" s="1"/>
  <c r="C19" i="169"/>
  <c r="C17" i="169"/>
  <c r="C15" i="169"/>
  <c r="C13" i="169"/>
  <c r="C11" i="169"/>
  <c r="AM9" i="169"/>
  <c r="C9" i="169"/>
  <c r="C7" i="169"/>
  <c r="I4" i="169"/>
  <c r="R2" i="169"/>
  <c r="D2" i="169"/>
  <c r="C2" i="169"/>
  <c r="A1" i="169"/>
  <c r="S83" i="170"/>
  <c r="R83" i="170"/>
  <c r="AS67" i="169" s="1"/>
  <c r="I83" i="170"/>
  <c r="G83" i="170"/>
  <c r="AR66" i="169" s="1"/>
  <c r="D83" i="170"/>
  <c r="F83" i="170" s="1"/>
  <c r="C83" i="170"/>
  <c r="E83" i="170" s="1"/>
  <c r="S82" i="170"/>
  <c r="R82" i="170"/>
  <c r="I82" i="170"/>
  <c r="G82" i="170"/>
  <c r="AR60" i="169" s="1"/>
  <c r="D82" i="170"/>
  <c r="F82" i="170" s="1"/>
  <c r="C82" i="170"/>
  <c r="E82" i="170" s="1"/>
  <c r="S81" i="170"/>
  <c r="R81" i="170"/>
  <c r="AP63" i="169" s="1"/>
  <c r="I81" i="170"/>
  <c r="G81" i="170"/>
  <c r="AO62" i="169" s="1"/>
  <c r="D81" i="170"/>
  <c r="F81" i="170" s="1"/>
  <c r="C81" i="170"/>
  <c r="E81" i="170" s="1"/>
  <c r="S80" i="170"/>
  <c r="R80" i="170"/>
  <c r="I80" i="170"/>
  <c r="G80" i="170"/>
  <c r="D80" i="170"/>
  <c r="F80" i="170" s="1"/>
  <c r="C80" i="170"/>
  <c r="E80" i="170" s="1"/>
  <c r="S79" i="170"/>
  <c r="R79" i="170"/>
  <c r="I79" i="170"/>
  <c r="G79" i="170"/>
  <c r="AR54" i="169" s="1"/>
  <c r="D79" i="170"/>
  <c r="F79" i="170" s="1"/>
  <c r="C79" i="170"/>
  <c r="E79" i="170" s="1"/>
  <c r="S78" i="170"/>
  <c r="R78" i="170"/>
  <c r="AS48" i="169" s="1"/>
  <c r="AS52" i="169" s="1"/>
  <c r="I78" i="170"/>
  <c r="G78" i="170"/>
  <c r="D78" i="170"/>
  <c r="F78" i="170" s="1"/>
  <c r="C78" i="170"/>
  <c r="E78" i="170" s="1"/>
  <c r="S77" i="170"/>
  <c r="R77" i="170"/>
  <c r="AP52" i="169" s="1"/>
  <c r="I77" i="170"/>
  <c r="G77" i="170"/>
  <c r="AO51" i="169" s="1"/>
  <c r="D77" i="170"/>
  <c r="F77" i="170" s="1"/>
  <c r="C77" i="170"/>
  <c r="E77" i="170" s="1"/>
  <c r="S76" i="170"/>
  <c r="R76" i="170"/>
  <c r="I76" i="170"/>
  <c r="G76" i="170"/>
  <c r="D76" i="170"/>
  <c r="F76" i="170" s="1"/>
  <c r="C76" i="170"/>
  <c r="E76" i="170" s="1"/>
  <c r="S75" i="170"/>
  <c r="R75" i="170"/>
  <c r="AM53" i="169" s="1"/>
  <c r="I75" i="170"/>
  <c r="G75" i="170"/>
  <c r="AL52" i="169" s="1"/>
  <c r="S74" i="170"/>
  <c r="R74" i="170"/>
  <c r="I74" i="170"/>
  <c r="G74" i="170"/>
  <c r="AL49" i="169" s="1"/>
  <c r="S73" i="170"/>
  <c r="R73" i="170"/>
  <c r="AM47" i="169" s="1"/>
  <c r="I73" i="170"/>
  <c r="G73" i="170"/>
  <c r="AL46" i="169" s="1"/>
  <c r="S72" i="170"/>
  <c r="R72" i="170"/>
  <c r="I72" i="170"/>
  <c r="G72" i="170"/>
  <c r="AL43" i="169" s="1"/>
  <c r="S71" i="170"/>
  <c r="R71" i="170"/>
  <c r="AS41" i="169" s="1"/>
  <c r="S70" i="170"/>
  <c r="R70" i="170"/>
  <c r="AS36" i="169" s="1"/>
  <c r="S69" i="170"/>
  <c r="R69" i="170"/>
  <c r="AP38" i="169" s="1"/>
  <c r="S68" i="170"/>
  <c r="R68" i="170"/>
  <c r="AP34" i="169" s="1"/>
  <c r="S67" i="170"/>
  <c r="R67" i="170"/>
  <c r="AS30" i="169" s="1"/>
  <c r="S66" i="170"/>
  <c r="R66" i="170"/>
  <c r="AS19" i="169" s="1"/>
  <c r="S65" i="170"/>
  <c r="R65" i="170"/>
  <c r="AP25" i="169" s="1"/>
  <c r="S64" i="170"/>
  <c r="R64" i="170"/>
  <c r="AP12" i="169" s="1"/>
  <c r="S63" i="170"/>
  <c r="R63" i="170"/>
  <c r="AM28" i="169" s="1"/>
  <c r="S62" i="170"/>
  <c r="R62" i="170"/>
  <c r="AM21" i="169" s="1"/>
  <c r="S61" i="170"/>
  <c r="R61" i="170"/>
  <c r="AM16" i="169" s="1"/>
  <c r="S60" i="170"/>
  <c r="R60" i="170"/>
  <c r="S59" i="170"/>
  <c r="R59" i="170"/>
  <c r="AJ29" i="169" s="1"/>
  <c r="AI53" i="169" s="1"/>
  <c r="AJ53" i="169" s="1"/>
  <c r="D59" i="170"/>
  <c r="F59" i="170" s="1"/>
  <c r="C59" i="170"/>
  <c r="E59" i="170" s="1"/>
  <c r="G59" i="170" s="1"/>
  <c r="AI28" i="169" s="1"/>
  <c r="S58" i="170"/>
  <c r="R58" i="170"/>
  <c r="AJ26" i="169" s="1"/>
  <c r="D58" i="170"/>
  <c r="F58" i="170" s="1"/>
  <c r="S57" i="170"/>
  <c r="R57" i="170"/>
  <c r="AJ23" i="169" s="1"/>
  <c r="D57" i="170"/>
  <c r="S56" i="170"/>
  <c r="R56" i="170"/>
  <c r="D56" i="170"/>
  <c r="F56" i="170" s="1"/>
  <c r="S55" i="170"/>
  <c r="R55" i="170"/>
  <c r="AJ17" i="169" s="1"/>
  <c r="AI47" i="169" s="1"/>
  <c r="AJ47" i="169" s="1"/>
  <c r="D55" i="170"/>
  <c r="F55" i="170" s="1"/>
  <c r="S54" i="170"/>
  <c r="R54" i="170"/>
  <c r="AJ14" i="169" s="1"/>
  <c r="AI45" i="169" s="1"/>
  <c r="AJ45" i="169" s="1"/>
  <c r="D54" i="170"/>
  <c r="F54" i="170" s="1"/>
  <c r="S53" i="170"/>
  <c r="R53" i="170"/>
  <c r="AJ11" i="169" s="1"/>
  <c r="D53" i="170"/>
  <c r="F53" i="170" s="1"/>
  <c r="S52" i="170"/>
  <c r="R52" i="170"/>
  <c r="AJ8" i="169" s="1"/>
  <c r="AI42" i="169" s="1"/>
  <c r="AJ42" i="169" s="1"/>
  <c r="D52" i="170"/>
  <c r="F52" i="170" s="1"/>
  <c r="S51" i="170"/>
  <c r="R51" i="170"/>
  <c r="AD64" i="169" s="1"/>
  <c r="S50" i="170"/>
  <c r="R50" i="170"/>
  <c r="AD56" i="169" s="1"/>
  <c r="S49" i="170"/>
  <c r="R49" i="170"/>
  <c r="AA58" i="169" s="1"/>
  <c r="S48" i="170"/>
  <c r="R48" i="170"/>
  <c r="AA54" i="169" s="1"/>
  <c r="S47" i="170"/>
  <c r="R47" i="170"/>
  <c r="AD48" i="169" s="1"/>
  <c r="S46" i="170"/>
  <c r="R46" i="170"/>
  <c r="AD38" i="169" s="1"/>
  <c r="S45" i="170"/>
  <c r="R45" i="170"/>
  <c r="AA42" i="169" s="1"/>
  <c r="S44" i="170"/>
  <c r="R44" i="170"/>
  <c r="AA34" i="169" s="1"/>
  <c r="S43" i="170"/>
  <c r="R43" i="170"/>
  <c r="X44" i="169" s="1"/>
  <c r="S42" i="170"/>
  <c r="R42" i="170"/>
  <c r="X40" i="169" s="1"/>
  <c r="S41" i="170"/>
  <c r="R41" i="170"/>
  <c r="X36" i="169" s="1"/>
  <c r="S40" i="170"/>
  <c r="R40" i="170"/>
  <c r="X32" i="169" s="1"/>
  <c r="S39" i="170"/>
  <c r="R39" i="170"/>
  <c r="AD26" i="169" s="1"/>
  <c r="S38" i="170"/>
  <c r="R38" i="170"/>
  <c r="AD18" i="169" s="1"/>
  <c r="S37" i="170"/>
  <c r="R37" i="170"/>
  <c r="AA20" i="169" s="1"/>
  <c r="S36" i="170"/>
  <c r="R36" i="170"/>
  <c r="AA16" i="169" s="1"/>
  <c r="S35" i="170"/>
  <c r="R35" i="170"/>
  <c r="AD10" i="169" s="1"/>
  <c r="S34" i="170"/>
  <c r="R34" i="170"/>
  <c r="R39" i="169" s="1"/>
  <c r="S33" i="170"/>
  <c r="R33" i="170"/>
  <c r="O55" i="169" s="1"/>
  <c r="S32" i="170"/>
  <c r="R32" i="170"/>
  <c r="O23" i="169" s="1"/>
  <c r="S31" i="170"/>
  <c r="R31" i="170"/>
  <c r="L63" i="169" s="1"/>
  <c r="S30" i="170"/>
  <c r="R30" i="170"/>
  <c r="L47" i="169" s="1"/>
  <c r="S29" i="170"/>
  <c r="R29" i="170"/>
  <c r="L31" i="169" s="1"/>
  <c r="S28" i="170"/>
  <c r="R28" i="170"/>
  <c r="L15" i="169" s="1"/>
  <c r="S27" i="170"/>
  <c r="R27" i="170"/>
  <c r="I67" i="169" s="1"/>
  <c r="D27" i="170"/>
  <c r="F27" i="170" s="1"/>
  <c r="S26" i="170"/>
  <c r="R26" i="170"/>
  <c r="I59" i="169" s="1"/>
  <c r="D26" i="170"/>
  <c r="F26" i="170" s="1"/>
  <c r="S25" i="170"/>
  <c r="R25" i="170"/>
  <c r="I51" i="169" s="1"/>
  <c r="S24" i="170"/>
  <c r="R24" i="170"/>
  <c r="I43" i="169" s="1"/>
  <c r="S23" i="170"/>
  <c r="R23" i="170"/>
  <c r="I35" i="169" s="1"/>
  <c r="S22" i="170"/>
  <c r="R22" i="170"/>
  <c r="I27" i="169" s="1"/>
  <c r="S21" i="170"/>
  <c r="R21" i="170"/>
  <c r="I19" i="169" s="1"/>
  <c r="S20" i="170"/>
  <c r="R20" i="170"/>
  <c r="I11" i="169" s="1"/>
  <c r="S19" i="170"/>
  <c r="R19" i="170"/>
  <c r="F69" i="169" s="1"/>
  <c r="I19" i="170"/>
  <c r="G19" i="170"/>
  <c r="S18" i="170"/>
  <c r="R18" i="170"/>
  <c r="F65" i="169" s="1"/>
  <c r="S17" i="170"/>
  <c r="R17" i="170"/>
  <c r="F61" i="169" s="1"/>
  <c r="I17" i="170"/>
  <c r="G17" i="170"/>
  <c r="S16" i="170"/>
  <c r="R16" i="170"/>
  <c r="F57" i="169" s="1"/>
  <c r="G16" i="170"/>
  <c r="S15" i="170"/>
  <c r="R15" i="170"/>
  <c r="F53" i="169" s="1"/>
  <c r="AF23" i="169" s="1"/>
  <c r="AG23" i="169" s="1"/>
  <c r="G15" i="170"/>
  <c r="E52" i="169" s="1"/>
  <c r="S14" i="170"/>
  <c r="R14" i="170"/>
  <c r="F49" i="169" s="1"/>
  <c r="S13" i="170"/>
  <c r="R13" i="170"/>
  <c r="F45" i="169" s="1"/>
  <c r="I13" i="170"/>
  <c r="S12" i="170"/>
  <c r="R12" i="170"/>
  <c r="S11" i="170"/>
  <c r="R11" i="170"/>
  <c r="F37" i="169" s="1"/>
  <c r="G11" i="170"/>
  <c r="S10" i="170"/>
  <c r="R10" i="170"/>
  <c r="F33" i="169" s="1"/>
  <c r="S9" i="170"/>
  <c r="R9" i="170"/>
  <c r="F29" i="169" s="1"/>
  <c r="I9" i="170"/>
  <c r="S8" i="170"/>
  <c r="R8" i="170"/>
  <c r="G8" i="170"/>
  <c r="S7" i="170"/>
  <c r="R7" i="170"/>
  <c r="F21" i="169" s="1"/>
  <c r="AF11" i="169" s="1"/>
  <c r="AG11" i="169" s="1"/>
  <c r="G7" i="170"/>
  <c r="S6" i="170"/>
  <c r="R6" i="170"/>
  <c r="F17" i="169" s="1"/>
  <c r="S5" i="170"/>
  <c r="R5" i="170"/>
  <c r="F13" i="169" s="1"/>
  <c r="I5" i="170"/>
  <c r="S4" i="170"/>
  <c r="R4" i="170"/>
  <c r="F9" i="169" s="1"/>
  <c r="AR69" i="169"/>
  <c r="AS69" i="169" s="1"/>
  <c r="AF29" i="169"/>
  <c r="AG29" i="169" s="1"/>
  <c r="AS68" i="169"/>
  <c r="AS65" i="169"/>
  <c r="AD65" i="169"/>
  <c r="AR64" i="169"/>
  <c r="AO67" i="169"/>
  <c r="AP67" i="169" s="1"/>
  <c r="AL63" i="169"/>
  <c r="AM63" i="169" s="1"/>
  <c r="AS62" i="169"/>
  <c r="AR63" i="169"/>
  <c r="AS63" i="169" s="1"/>
  <c r="AL61" i="169"/>
  <c r="AM61" i="169" s="1"/>
  <c r="AD61" i="169"/>
  <c r="AC60" i="169"/>
  <c r="AS59" i="169"/>
  <c r="AO65" i="169"/>
  <c r="AP65" i="169" s="1"/>
  <c r="AL59" i="169"/>
  <c r="AM59" i="169" s="1"/>
  <c r="AL57" i="169"/>
  <c r="AM57" i="169" s="1"/>
  <c r="AD57" i="169"/>
  <c r="R57" i="169"/>
  <c r="AS56" i="169"/>
  <c r="AS53" i="169"/>
  <c r="AD53" i="169"/>
  <c r="AS51" i="169"/>
  <c r="AD49" i="169"/>
  <c r="AS46" i="169"/>
  <c r="AD45" i="169"/>
  <c r="AS42" i="169"/>
  <c r="AD41" i="169"/>
  <c r="AS39" i="169"/>
  <c r="AS37" i="169"/>
  <c r="AD35" i="169"/>
  <c r="R35" i="169"/>
  <c r="AS34" i="169"/>
  <c r="AS31" i="169"/>
  <c r="AS28" i="169"/>
  <c r="AD27" i="169"/>
  <c r="AI51" i="169"/>
  <c r="AJ51" i="169" s="1"/>
  <c r="AS24" i="169"/>
  <c r="AF24" i="169"/>
  <c r="AG24" i="169" s="1"/>
  <c r="AI50" i="169"/>
  <c r="AJ50" i="169" s="1"/>
  <c r="AD23" i="169"/>
  <c r="AC22" i="169"/>
  <c r="AD19" i="169"/>
  <c r="AF18" i="169"/>
  <c r="AG18" i="169" s="1"/>
  <c r="AS17" i="169"/>
  <c r="AF17" i="169"/>
  <c r="AG17" i="169" s="1"/>
  <c r="AD15" i="169"/>
  <c r="AI44" i="169"/>
  <c r="AJ44" i="169" s="1"/>
  <c r="AD11" i="169"/>
  <c r="AD7" i="169"/>
  <c r="AE4" i="169"/>
  <c r="S4" i="169"/>
  <c r="AE2" i="169"/>
  <c r="S1" i="169"/>
  <c r="AM2" i="168"/>
  <c r="AJ60" i="168"/>
  <c r="J60" i="168"/>
  <c r="AM2" i="167"/>
  <c r="AJ60" i="167"/>
  <c r="J60" i="167"/>
  <c r="C58" i="168"/>
  <c r="C56" i="168"/>
  <c r="C54" i="168"/>
  <c r="C52" i="168"/>
  <c r="C50" i="168"/>
  <c r="C48" i="168"/>
  <c r="C44" i="168"/>
  <c r="C42" i="168"/>
  <c r="C40" i="168"/>
  <c r="C38" i="168"/>
  <c r="C36" i="168"/>
  <c r="C34" i="168"/>
  <c r="C30" i="168"/>
  <c r="C28" i="168"/>
  <c r="C26" i="168"/>
  <c r="C24" i="168"/>
  <c r="C20" i="168"/>
  <c r="C58" i="167"/>
  <c r="C56" i="167"/>
  <c r="C54" i="167"/>
  <c r="C52" i="167"/>
  <c r="C50" i="167"/>
  <c r="C48" i="167"/>
  <c r="C44" i="167"/>
  <c r="C42" i="167"/>
  <c r="C40" i="167"/>
  <c r="C38" i="167"/>
  <c r="C36" i="167"/>
  <c r="C34" i="167"/>
  <c r="C30" i="167"/>
  <c r="C28" i="167"/>
  <c r="C26" i="167"/>
  <c r="C22" i="167"/>
  <c r="C20" i="167"/>
  <c r="AC58" i="168"/>
  <c r="AC56" i="168"/>
  <c r="AC54" i="168"/>
  <c r="AC52" i="168"/>
  <c r="AC50" i="168"/>
  <c r="AC48" i="168"/>
  <c r="AC44" i="168"/>
  <c r="AC42" i="168"/>
  <c r="AC40" i="168"/>
  <c r="AC38" i="168"/>
  <c r="AC36" i="168"/>
  <c r="AC34" i="168"/>
  <c r="AC30" i="168"/>
  <c r="AC28" i="168"/>
  <c r="AC26" i="168"/>
  <c r="AC24" i="168"/>
  <c r="AC22" i="168"/>
  <c r="AC20" i="168"/>
  <c r="AC16" i="168"/>
  <c r="C16" i="168"/>
  <c r="AC14" i="168"/>
  <c r="C14" i="168"/>
  <c r="AC12" i="168"/>
  <c r="C12" i="168"/>
  <c r="AC10" i="168"/>
  <c r="C10" i="168"/>
  <c r="AC8" i="168"/>
  <c r="C8" i="168"/>
  <c r="AC6" i="168"/>
  <c r="C6" i="168"/>
  <c r="AC58" i="167"/>
  <c r="AC56" i="167"/>
  <c r="AC54" i="167"/>
  <c r="AC52" i="167"/>
  <c r="AC48" i="167"/>
  <c r="AC44" i="167"/>
  <c r="AC42" i="167"/>
  <c r="AC40" i="167"/>
  <c r="AC38" i="167"/>
  <c r="AC36" i="167"/>
  <c r="AC34" i="167"/>
  <c r="AC30" i="167"/>
  <c r="AC28" i="167"/>
  <c r="AC26" i="167"/>
  <c r="AC24" i="167"/>
  <c r="AC22" i="167"/>
  <c r="AC20" i="167"/>
  <c r="AC16" i="167"/>
  <c r="C16" i="167"/>
  <c r="AC14" i="167"/>
  <c r="C14" i="167"/>
  <c r="AC12" i="167"/>
  <c r="C12" i="167"/>
  <c r="AC10" i="167"/>
  <c r="C10" i="167"/>
  <c r="AC8" i="167"/>
  <c r="C8" i="167"/>
  <c r="AC6" i="167"/>
  <c r="C6" i="167"/>
  <c r="AC57" i="167"/>
  <c r="C57" i="167"/>
  <c r="AC55" i="167"/>
  <c r="C55" i="167"/>
  <c r="AC53" i="167"/>
  <c r="C53" i="167"/>
  <c r="AC51" i="167"/>
  <c r="C51" i="167"/>
  <c r="AC49" i="167"/>
  <c r="C49" i="167"/>
  <c r="AC47" i="167"/>
  <c r="C47" i="167"/>
  <c r="AC43" i="167"/>
  <c r="C43" i="167"/>
  <c r="AC41" i="167"/>
  <c r="C41" i="167"/>
  <c r="AC39" i="167"/>
  <c r="C39" i="167"/>
  <c r="AC37" i="167"/>
  <c r="C37" i="167"/>
  <c r="AC35" i="167"/>
  <c r="C35" i="167"/>
  <c r="AC33" i="167"/>
  <c r="C33" i="167"/>
  <c r="AC29" i="167"/>
  <c r="C29" i="167"/>
  <c r="AC27" i="167"/>
  <c r="C27" i="167"/>
  <c r="AC25" i="167"/>
  <c r="C25" i="167"/>
  <c r="AC23" i="167"/>
  <c r="C23" i="167"/>
  <c r="AC21" i="167"/>
  <c r="C21" i="167"/>
  <c r="AC19" i="167"/>
  <c r="C19" i="167"/>
  <c r="AC15" i="167"/>
  <c r="C15" i="167"/>
  <c r="AC13" i="167"/>
  <c r="C13" i="167"/>
  <c r="AC11" i="167"/>
  <c r="C11" i="167"/>
  <c r="AC9" i="167"/>
  <c r="C9" i="167"/>
  <c r="AC7" i="167"/>
  <c r="C7" i="167"/>
  <c r="AC5" i="167"/>
  <c r="C5" i="167"/>
  <c r="AC57" i="168"/>
  <c r="C57" i="168"/>
  <c r="AC55" i="168"/>
  <c r="C55" i="168"/>
  <c r="AC53" i="168"/>
  <c r="C53" i="168"/>
  <c r="AC51" i="168"/>
  <c r="C51" i="168"/>
  <c r="AC49" i="168"/>
  <c r="C49" i="168"/>
  <c r="AC47" i="168"/>
  <c r="C47" i="168"/>
  <c r="AC43" i="168"/>
  <c r="C43" i="168"/>
  <c r="AC41" i="168"/>
  <c r="C41" i="168"/>
  <c r="AC39" i="168"/>
  <c r="C39" i="168"/>
  <c r="AC37" i="168"/>
  <c r="C37" i="168"/>
  <c r="AC35" i="168"/>
  <c r="C35" i="168"/>
  <c r="AC33" i="168"/>
  <c r="C33" i="168"/>
  <c r="AC29" i="168"/>
  <c r="C29" i="168"/>
  <c r="AC27" i="168"/>
  <c r="C27" i="168"/>
  <c r="AC25" i="168"/>
  <c r="C25" i="168"/>
  <c r="AC23" i="168"/>
  <c r="C23" i="168"/>
  <c r="AC21" i="168"/>
  <c r="C21" i="168"/>
  <c r="AC19" i="168"/>
  <c r="C19" i="168"/>
  <c r="AC15" i="168"/>
  <c r="C15" i="168"/>
  <c r="AC13" i="168"/>
  <c r="C13" i="168"/>
  <c r="AC11" i="168"/>
  <c r="C11" i="168"/>
  <c r="AC9" i="168"/>
  <c r="C9" i="168"/>
  <c r="AC7" i="168"/>
  <c r="C7" i="168"/>
  <c r="AC5" i="168"/>
  <c r="C5" i="168"/>
  <c r="AC3" i="167"/>
  <c r="C3" i="167"/>
  <c r="D2" i="167"/>
  <c r="C2" i="167"/>
  <c r="C1" i="167"/>
  <c r="AC3" i="168"/>
  <c r="C3" i="168"/>
  <c r="D2" i="168"/>
  <c r="C2" i="168"/>
  <c r="C1" i="168"/>
  <c r="AR58" i="168"/>
  <c r="AQ58" i="168"/>
  <c r="AP58" i="168"/>
  <c r="AO58" i="168"/>
  <c r="AN58" i="168"/>
  <c r="AM58" i="168"/>
  <c r="AL58" i="168"/>
  <c r="AK58" i="168"/>
  <c r="AJ58" i="168"/>
  <c r="AI58" i="168"/>
  <c r="AH58" i="168"/>
  <c r="AG58" i="168"/>
  <c r="AF58" i="168"/>
  <c r="AE58" i="168"/>
  <c r="AD58" i="168"/>
  <c r="R58" i="168"/>
  <c r="Q58" i="168"/>
  <c r="P58" i="168"/>
  <c r="O58" i="168"/>
  <c r="N58" i="168"/>
  <c r="M58" i="168"/>
  <c r="L58" i="168"/>
  <c r="K58" i="168"/>
  <c r="J58" i="168"/>
  <c r="I58" i="168"/>
  <c r="H58" i="168"/>
  <c r="G58" i="168"/>
  <c r="F58" i="168"/>
  <c r="E58" i="168"/>
  <c r="D58" i="168"/>
  <c r="AV57" i="168"/>
  <c r="AP57" i="168"/>
  <c r="AM57" i="168"/>
  <c r="AJ57" i="168"/>
  <c r="AG57" i="168"/>
  <c r="AD57" i="168"/>
  <c r="AY57" i="168"/>
  <c r="P57" i="168"/>
  <c r="M57" i="168"/>
  <c r="J57" i="168"/>
  <c r="G57" i="168"/>
  <c r="D57" i="168"/>
  <c r="AO56" i="168"/>
  <c r="AM56" i="168"/>
  <c r="AL56" i="168"/>
  <c r="AJ56" i="168"/>
  <c r="AI56" i="168"/>
  <c r="AG56" i="168"/>
  <c r="AF56" i="168"/>
  <c r="AD56" i="168"/>
  <c r="O56" i="168"/>
  <c r="M56" i="168"/>
  <c r="L56" i="168"/>
  <c r="J56" i="168"/>
  <c r="I56" i="168"/>
  <c r="G56" i="168"/>
  <c r="F56" i="168"/>
  <c r="D56" i="168"/>
  <c r="AM55" i="168"/>
  <c r="AJ55" i="168"/>
  <c r="AG55" i="168"/>
  <c r="AD55" i="168"/>
  <c r="M55" i="168"/>
  <c r="J55" i="168"/>
  <c r="G55" i="168"/>
  <c r="D55" i="168"/>
  <c r="AQ54" i="168"/>
  <c r="AN56" i="168" s="1"/>
  <c r="AL54" i="168"/>
  <c r="AJ54" i="168"/>
  <c r="AI54" i="168"/>
  <c r="AG54" i="168"/>
  <c r="AF54" i="168"/>
  <c r="AD54" i="168"/>
  <c r="Q54" i="168"/>
  <c r="N56" i="168" s="1"/>
  <c r="L54" i="168"/>
  <c r="J54" i="168"/>
  <c r="I54" i="168"/>
  <c r="G54" i="168"/>
  <c r="F54" i="168"/>
  <c r="D54" i="168"/>
  <c r="AV53" i="168"/>
  <c r="AJ53" i="168"/>
  <c r="AG53" i="168"/>
  <c r="AD53" i="168"/>
  <c r="J53" i="168"/>
  <c r="G53" i="168"/>
  <c r="D53" i="168"/>
  <c r="AQ52" i="168"/>
  <c r="AK56" i="168" s="1"/>
  <c r="AN52" i="168"/>
  <c r="AK54" i="168" s="1"/>
  <c r="AI52" i="168"/>
  <c r="AG52" i="168"/>
  <c r="AF52" i="168"/>
  <c r="AD52" i="168"/>
  <c r="Q52" i="168"/>
  <c r="K56" i="168" s="1"/>
  <c r="N52" i="168"/>
  <c r="K54" i="168" s="1"/>
  <c r="I52" i="168"/>
  <c r="G52" i="168"/>
  <c r="F52" i="168"/>
  <c r="E52" i="168"/>
  <c r="D52" i="168"/>
  <c r="AG51" i="168"/>
  <c r="AD51" i="168"/>
  <c r="G51" i="168"/>
  <c r="D51" i="168"/>
  <c r="AQ50" i="168"/>
  <c r="AH56" i="168" s="1"/>
  <c r="AN50" i="168"/>
  <c r="AH54" i="168" s="1"/>
  <c r="AK50" i="168"/>
  <c r="AH52" i="168" s="1"/>
  <c r="AF50" i="168"/>
  <c r="AE50" i="168"/>
  <c r="AD50" i="168"/>
  <c r="Q50" i="168"/>
  <c r="H56" i="168" s="1"/>
  <c r="N50" i="168"/>
  <c r="H54" i="168" s="1"/>
  <c r="K50" i="168"/>
  <c r="H52" i="168" s="1"/>
  <c r="F50" i="168"/>
  <c r="E50" i="168"/>
  <c r="D50" i="168"/>
  <c r="AV49" i="168"/>
  <c r="AD49" i="168"/>
  <c r="D49" i="168"/>
  <c r="AQ48" i="168"/>
  <c r="AE56" i="168" s="1"/>
  <c r="AN48" i="168"/>
  <c r="AE54" i="168" s="1"/>
  <c r="AK48" i="168"/>
  <c r="AE52" i="168" s="1"/>
  <c r="AH48" i="168"/>
  <c r="Q48" i="168"/>
  <c r="E56" i="168" s="1"/>
  <c r="N48" i="168"/>
  <c r="E54" i="168" s="1"/>
  <c r="K48" i="168"/>
  <c r="H48" i="168"/>
  <c r="AV47" i="168"/>
  <c r="V47" i="168"/>
  <c r="AR44" i="168"/>
  <c r="AQ44" i="168"/>
  <c r="AP44" i="168"/>
  <c r="AO44" i="168"/>
  <c r="AN44" i="168"/>
  <c r="AM44" i="168"/>
  <c r="AL44" i="168"/>
  <c r="AK44" i="168"/>
  <c r="AJ44" i="168"/>
  <c r="AI44" i="168"/>
  <c r="AH44" i="168"/>
  <c r="AG44" i="168"/>
  <c r="AF44" i="168"/>
  <c r="AE44" i="168"/>
  <c r="AD44" i="168"/>
  <c r="R44" i="168"/>
  <c r="Q44" i="168"/>
  <c r="P44" i="168"/>
  <c r="O44" i="168"/>
  <c r="N44" i="168"/>
  <c r="M44" i="168"/>
  <c r="L44" i="168"/>
  <c r="K44" i="168"/>
  <c r="J44" i="168"/>
  <c r="I44" i="168"/>
  <c r="H44" i="168"/>
  <c r="G44" i="168"/>
  <c r="F44" i="168"/>
  <c r="E44" i="168"/>
  <c r="D44" i="168"/>
  <c r="AV43" i="168"/>
  <c r="AP43" i="168"/>
  <c r="AM43" i="168"/>
  <c r="AJ43" i="168"/>
  <c r="AG43" i="168"/>
  <c r="AD43" i="168"/>
  <c r="AY43" i="168"/>
  <c r="P43" i="168"/>
  <c r="M43" i="168"/>
  <c r="J43" i="168"/>
  <c r="G43" i="168"/>
  <c r="D43" i="168"/>
  <c r="AO42" i="168"/>
  <c r="AM42" i="168"/>
  <c r="AL42" i="168"/>
  <c r="AJ42" i="168"/>
  <c r="AI42" i="168"/>
  <c r="AG42" i="168"/>
  <c r="AF42" i="168"/>
  <c r="AD42" i="168"/>
  <c r="O42" i="168"/>
  <c r="M42" i="168"/>
  <c r="L42" i="168"/>
  <c r="J42" i="168"/>
  <c r="I42" i="168"/>
  <c r="G42" i="168"/>
  <c r="F42" i="168"/>
  <c r="D42" i="168"/>
  <c r="AV41" i="168"/>
  <c r="AM41" i="168"/>
  <c r="AJ41" i="168"/>
  <c r="AG41" i="168"/>
  <c r="AD41" i="168"/>
  <c r="V41" i="168"/>
  <c r="M41" i="168"/>
  <c r="J41" i="168"/>
  <c r="G41" i="168"/>
  <c r="D41" i="168"/>
  <c r="AQ40" i="168"/>
  <c r="AN42" i="168" s="1"/>
  <c r="AL40" i="168"/>
  <c r="AJ40" i="168"/>
  <c r="AI40" i="168"/>
  <c r="AG40" i="168"/>
  <c r="AF40" i="168"/>
  <c r="AD40" i="168"/>
  <c r="Q40" i="168"/>
  <c r="N42" i="168" s="1"/>
  <c r="L40" i="168"/>
  <c r="J40" i="168"/>
  <c r="I40" i="168"/>
  <c r="G40" i="168"/>
  <c r="F40" i="168"/>
  <c r="E40" i="168"/>
  <c r="D40" i="168"/>
  <c r="AV39" i="168"/>
  <c r="AJ39" i="168"/>
  <c r="AG39" i="168"/>
  <c r="AD39" i="168"/>
  <c r="J39" i="168"/>
  <c r="G39" i="168"/>
  <c r="D39" i="168"/>
  <c r="AQ38" i="168"/>
  <c r="AK42" i="168" s="1"/>
  <c r="AN38" i="168"/>
  <c r="AK40" i="168" s="1"/>
  <c r="AI38" i="168"/>
  <c r="AG38" i="168"/>
  <c r="AF38" i="168"/>
  <c r="AD38" i="168"/>
  <c r="Q38" i="168"/>
  <c r="K42" i="168" s="1"/>
  <c r="N38" i="168"/>
  <c r="K40" i="168" s="1"/>
  <c r="I38" i="168"/>
  <c r="G38" i="168"/>
  <c r="F38" i="168"/>
  <c r="D38" i="168"/>
  <c r="AV37" i="168"/>
  <c r="AG37" i="168"/>
  <c r="AD37" i="168"/>
  <c r="G37" i="168"/>
  <c r="D37" i="168"/>
  <c r="AQ36" i="168"/>
  <c r="AH42" i="168" s="1"/>
  <c r="AN36" i="168"/>
  <c r="AH40" i="168" s="1"/>
  <c r="AK36" i="168"/>
  <c r="AH38" i="168" s="1"/>
  <c r="AF36" i="168"/>
  <c r="AE36" i="168"/>
  <c r="AD36" i="168"/>
  <c r="Q36" i="168"/>
  <c r="H42" i="168" s="1"/>
  <c r="N36" i="168"/>
  <c r="H40" i="168" s="1"/>
  <c r="K36" i="168"/>
  <c r="H38" i="168" s="1"/>
  <c r="F36" i="168"/>
  <c r="E36" i="168"/>
  <c r="D36" i="168"/>
  <c r="AV35" i="168"/>
  <c r="AD35" i="168"/>
  <c r="D35" i="168"/>
  <c r="AQ34" i="168"/>
  <c r="AE42" i="168" s="1"/>
  <c r="AN34" i="168"/>
  <c r="AE40" i="168" s="1"/>
  <c r="AK34" i="168"/>
  <c r="AE38" i="168" s="1"/>
  <c r="AH34" i="168"/>
  <c r="Q34" i="168"/>
  <c r="E42" i="168" s="1"/>
  <c r="N34" i="168"/>
  <c r="K34" i="168"/>
  <c r="E38" i="168" s="1"/>
  <c r="H34" i="168"/>
  <c r="AR30" i="168"/>
  <c r="AQ30" i="168"/>
  <c r="AP30" i="168"/>
  <c r="AO30" i="168"/>
  <c r="AN30" i="168"/>
  <c r="AM30" i="168"/>
  <c r="AL30" i="168"/>
  <c r="AK30" i="168"/>
  <c r="AJ30" i="168"/>
  <c r="AI30" i="168"/>
  <c r="AH30" i="168"/>
  <c r="AG30" i="168"/>
  <c r="AF30" i="168"/>
  <c r="AE30" i="168"/>
  <c r="AD30" i="168"/>
  <c r="R30" i="168"/>
  <c r="Q30" i="168"/>
  <c r="P30" i="168"/>
  <c r="O30" i="168"/>
  <c r="N30" i="168"/>
  <c r="M30" i="168"/>
  <c r="L30" i="168"/>
  <c r="K30" i="168"/>
  <c r="J30" i="168"/>
  <c r="I30" i="168"/>
  <c r="H30" i="168"/>
  <c r="G30" i="168"/>
  <c r="F30" i="168"/>
  <c r="E30" i="168"/>
  <c r="D30" i="168"/>
  <c r="AV29" i="168"/>
  <c r="AP29" i="168"/>
  <c r="AM29" i="168"/>
  <c r="AJ29" i="168"/>
  <c r="AG29" i="168"/>
  <c r="AD29" i="168"/>
  <c r="AY29" i="168"/>
  <c r="P29" i="168"/>
  <c r="M29" i="168"/>
  <c r="J29" i="168"/>
  <c r="G29" i="168"/>
  <c r="D29" i="168"/>
  <c r="AO28" i="168"/>
  <c r="AN28" i="168"/>
  <c r="AM28" i="168"/>
  <c r="AL28" i="168"/>
  <c r="AJ28" i="168"/>
  <c r="AI28" i="168"/>
  <c r="AG28" i="168"/>
  <c r="AF28" i="168"/>
  <c r="AD28" i="168"/>
  <c r="O28" i="168"/>
  <c r="M28" i="168"/>
  <c r="L28" i="168"/>
  <c r="J28" i="168"/>
  <c r="I28" i="168"/>
  <c r="G28" i="168"/>
  <c r="F28" i="168"/>
  <c r="D28" i="168"/>
  <c r="AM27" i="168"/>
  <c r="AJ27" i="168"/>
  <c r="AG27" i="168"/>
  <c r="AD27" i="168"/>
  <c r="M27" i="168"/>
  <c r="J27" i="168"/>
  <c r="G27" i="168"/>
  <c r="D27" i="168"/>
  <c r="AQ26" i="168"/>
  <c r="AL26" i="168"/>
  <c r="AJ26" i="168"/>
  <c r="AI26" i="168"/>
  <c r="AG26" i="168"/>
  <c r="AF26" i="168"/>
  <c r="AD26" i="168"/>
  <c r="Q26" i="168"/>
  <c r="N28" i="168" s="1"/>
  <c r="L26" i="168"/>
  <c r="J26" i="168"/>
  <c r="I26" i="168"/>
  <c r="G26" i="168"/>
  <c r="F26" i="168"/>
  <c r="D26" i="168"/>
  <c r="AJ25" i="168"/>
  <c r="AG25" i="168"/>
  <c r="AD25" i="168"/>
  <c r="V25" i="168"/>
  <c r="J25" i="168"/>
  <c r="G25" i="168"/>
  <c r="D25" i="168"/>
  <c r="AQ24" i="168"/>
  <c r="AK28" i="168" s="1"/>
  <c r="AN24" i="168"/>
  <c r="AK26" i="168" s="1"/>
  <c r="AI24" i="168"/>
  <c r="AG24" i="168"/>
  <c r="AF24" i="168"/>
  <c r="AD24" i="168"/>
  <c r="Q24" i="168"/>
  <c r="K28" i="168" s="1"/>
  <c r="N24" i="168"/>
  <c r="K26" i="168" s="1"/>
  <c r="I24" i="168"/>
  <c r="G24" i="168"/>
  <c r="F24" i="168"/>
  <c r="D24" i="168"/>
  <c r="AY23" i="168"/>
  <c r="AG23" i="168"/>
  <c r="AD23" i="168"/>
  <c r="AV23" i="168"/>
  <c r="G23" i="168"/>
  <c r="D23" i="168"/>
  <c r="AQ22" i="168"/>
  <c r="AH28" i="168" s="1"/>
  <c r="AN22" i="168"/>
  <c r="AH26" i="168" s="1"/>
  <c r="AK22" i="168"/>
  <c r="AH24" i="168" s="1"/>
  <c r="AF22" i="168"/>
  <c r="AE22" i="168"/>
  <c r="AD22" i="168"/>
  <c r="Q22" i="168"/>
  <c r="H28" i="168" s="1"/>
  <c r="N22" i="168"/>
  <c r="H26" i="168" s="1"/>
  <c r="K22" i="168"/>
  <c r="H24" i="168" s="1"/>
  <c r="F22" i="168"/>
  <c r="E22" i="168"/>
  <c r="D22" i="168"/>
  <c r="AD21" i="168"/>
  <c r="D21" i="168"/>
  <c r="V21" i="168" s="1"/>
  <c r="AQ20" i="168"/>
  <c r="AE28" i="168" s="1"/>
  <c r="AN20" i="168"/>
  <c r="AE26" i="168" s="1"/>
  <c r="AK20" i="168"/>
  <c r="AE24" i="168" s="1"/>
  <c r="AH20" i="168"/>
  <c r="Q20" i="168"/>
  <c r="E28" i="168" s="1"/>
  <c r="N20" i="168"/>
  <c r="E26" i="168" s="1"/>
  <c r="K20" i="168"/>
  <c r="E24" i="168" s="1"/>
  <c r="H20" i="168"/>
  <c r="AV19" i="168"/>
  <c r="AR16" i="168"/>
  <c r="AQ16" i="168"/>
  <c r="AP16" i="168"/>
  <c r="AO16" i="168"/>
  <c r="AN16" i="168"/>
  <c r="AM16" i="168"/>
  <c r="AL16" i="168"/>
  <c r="AK16" i="168"/>
  <c r="AJ16" i="168"/>
  <c r="AI16" i="168"/>
  <c r="AH16" i="168"/>
  <c r="AG16" i="168"/>
  <c r="AF16" i="168"/>
  <c r="AE16" i="168"/>
  <c r="AD16" i="168"/>
  <c r="R16" i="168"/>
  <c r="Q16" i="168"/>
  <c r="P16" i="168"/>
  <c r="O16" i="168"/>
  <c r="N16" i="168"/>
  <c r="M16" i="168"/>
  <c r="L16" i="168"/>
  <c r="K16" i="168"/>
  <c r="J16" i="168"/>
  <c r="I16" i="168"/>
  <c r="H16" i="168"/>
  <c r="G16" i="168"/>
  <c r="F16" i="168"/>
  <c r="E16" i="168"/>
  <c r="D16" i="168"/>
  <c r="AP15" i="168"/>
  <c r="AM15" i="168"/>
  <c r="AJ15" i="168"/>
  <c r="AG15" i="168"/>
  <c r="AD15" i="168"/>
  <c r="V15" i="168"/>
  <c r="P15" i="168"/>
  <c r="M15" i="168"/>
  <c r="J15" i="168"/>
  <c r="G15" i="168"/>
  <c r="D15" i="168"/>
  <c r="AO14" i="168"/>
  <c r="AM14" i="168"/>
  <c r="AL14" i="168"/>
  <c r="AK14" i="168"/>
  <c r="AJ14" i="168"/>
  <c r="AI14" i="168"/>
  <c r="AG14" i="168"/>
  <c r="AF14" i="168"/>
  <c r="AD14" i="168"/>
  <c r="O14" i="168"/>
  <c r="N14" i="168"/>
  <c r="M14" i="168"/>
  <c r="L14" i="168"/>
  <c r="J14" i="168"/>
  <c r="I14" i="168"/>
  <c r="H14" i="168"/>
  <c r="G14" i="168"/>
  <c r="F14" i="168"/>
  <c r="D14" i="168"/>
  <c r="AY13" i="168"/>
  <c r="AM13" i="168"/>
  <c r="AJ13" i="168"/>
  <c r="AG13" i="168"/>
  <c r="AD13" i="168"/>
  <c r="AV13" i="168"/>
  <c r="Y13" i="168"/>
  <c r="M13" i="168"/>
  <c r="J13" i="168"/>
  <c r="G13" i="168"/>
  <c r="D13" i="168"/>
  <c r="AQ12" i="168"/>
  <c r="AN14" i="168" s="1"/>
  <c r="AL12" i="168"/>
  <c r="AK12" i="168"/>
  <c r="AJ12" i="168"/>
  <c r="AI12" i="168"/>
  <c r="AG12" i="168"/>
  <c r="AF12" i="168"/>
  <c r="AD12" i="168"/>
  <c r="Q12" i="168"/>
  <c r="L12" i="168"/>
  <c r="J12" i="168"/>
  <c r="I12" i="168"/>
  <c r="G12" i="168"/>
  <c r="F12" i="168"/>
  <c r="D12" i="168"/>
  <c r="AJ11" i="168"/>
  <c r="AG11" i="168"/>
  <c r="AD11" i="168"/>
  <c r="V11" i="168"/>
  <c r="J11" i="168"/>
  <c r="G11" i="168"/>
  <c r="D11" i="168"/>
  <c r="AQ10" i="168"/>
  <c r="AN10" i="168"/>
  <c r="AI10" i="168"/>
  <c r="AG10" i="168"/>
  <c r="AF10" i="168"/>
  <c r="AD10" i="168"/>
  <c r="Q10" i="168"/>
  <c r="K14" i="168" s="1"/>
  <c r="N10" i="168"/>
  <c r="K12" i="168" s="1"/>
  <c r="I10" i="168"/>
  <c r="G10" i="168"/>
  <c r="F10" i="168"/>
  <c r="D10" i="168"/>
  <c r="AY9" i="168"/>
  <c r="AG9" i="168"/>
  <c r="AD9" i="168"/>
  <c r="AV9" i="168"/>
  <c r="G9" i="168"/>
  <c r="D9" i="168"/>
  <c r="AQ8" i="168"/>
  <c r="AH14" i="168" s="1"/>
  <c r="AN8" i="168"/>
  <c r="AH12" i="168" s="1"/>
  <c r="AK8" i="168"/>
  <c r="AH10" i="168" s="1"/>
  <c r="AF8" i="168"/>
  <c r="AE8" i="168"/>
  <c r="AD8" i="168"/>
  <c r="Q8" i="168"/>
  <c r="N8" i="168"/>
  <c r="H12" i="168" s="1"/>
  <c r="K8" i="168"/>
  <c r="H10" i="168" s="1"/>
  <c r="F8" i="168"/>
  <c r="E8" i="168"/>
  <c r="D8" i="168"/>
  <c r="AD7" i="168"/>
  <c r="V7" i="168"/>
  <c r="D7" i="168"/>
  <c r="AQ6" i="168"/>
  <c r="AE14" i="168" s="1"/>
  <c r="AN6" i="168"/>
  <c r="AE12" i="168" s="1"/>
  <c r="AK6" i="168"/>
  <c r="AE10" i="168" s="1"/>
  <c r="AH6" i="168"/>
  <c r="Q6" i="168"/>
  <c r="E14" i="168" s="1"/>
  <c r="N6" i="168"/>
  <c r="E12" i="168" s="1"/>
  <c r="K6" i="168"/>
  <c r="E10" i="168" s="1"/>
  <c r="H6" i="168"/>
  <c r="AV5" i="168"/>
  <c r="AR58" i="167"/>
  <c r="AQ58" i="167"/>
  <c r="AP58" i="167"/>
  <c r="AO58" i="167"/>
  <c r="AN58" i="167"/>
  <c r="AM58" i="167"/>
  <c r="AL58" i="167"/>
  <c r="AK58" i="167"/>
  <c r="AJ58" i="167"/>
  <c r="AI58" i="167"/>
  <c r="AH58" i="167"/>
  <c r="AG58" i="167"/>
  <c r="AF58" i="167"/>
  <c r="AE58" i="167"/>
  <c r="AD58" i="167"/>
  <c r="R58" i="167"/>
  <c r="Q58" i="167"/>
  <c r="P58" i="167"/>
  <c r="O58" i="167"/>
  <c r="N58" i="167"/>
  <c r="M58" i="167"/>
  <c r="L58" i="167"/>
  <c r="K58" i="167"/>
  <c r="J58" i="167"/>
  <c r="I58" i="167"/>
  <c r="H58" i="167"/>
  <c r="G58" i="167"/>
  <c r="F58" i="167"/>
  <c r="E58" i="167"/>
  <c r="D58" i="167"/>
  <c r="AP57" i="167"/>
  <c r="AM57" i="167"/>
  <c r="AJ57" i="167"/>
  <c r="AG57" i="167"/>
  <c r="AD57" i="167"/>
  <c r="V57" i="167"/>
  <c r="P57" i="167"/>
  <c r="M57" i="167"/>
  <c r="J57" i="167"/>
  <c r="G57" i="167"/>
  <c r="D57" i="167"/>
  <c r="AO56" i="167"/>
  <c r="AM56" i="167"/>
  <c r="AL56" i="167"/>
  <c r="AJ56" i="167"/>
  <c r="AI56" i="167"/>
  <c r="AG56" i="167"/>
  <c r="AF56" i="167"/>
  <c r="AD56" i="167"/>
  <c r="O56" i="167"/>
  <c r="N56" i="167"/>
  <c r="M56" i="167"/>
  <c r="L56" i="167"/>
  <c r="J56" i="167"/>
  <c r="I56" i="167"/>
  <c r="G56" i="167"/>
  <c r="F56" i="167"/>
  <c r="D56" i="167"/>
  <c r="AY55" i="167"/>
  <c r="AM55" i="167"/>
  <c r="AJ55" i="167"/>
  <c r="AG55" i="167"/>
  <c r="AD55" i="167"/>
  <c r="AV55" i="167"/>
  <c r="Y55" i="167"/>
  <c r="M55" i="167"/>
  <c r="J55" i="167"/>
  <c r="G55" i="167"/>
  <c r="D55" i="167"/>
  <c r="AQ54" i="167"/>
  <c r="AN56" i="167" s="1"/>
  <c r="AL54" i="167"/>
  <c r="AK54" i="167"/>
  <c r="AJ54" i="167"/>
  <c r="AI54" i="167"/>
  <c r="AG54" i="167"/>
  <c r="AF54" i="167"/>
  <c r="AD54" i="167"/>
  <c r="Q54" i="167"/>
  <c r="L54" i="167"/>
  <c r="J54" i="167"/>
  <c r="I54" i="167"/>
  <c r="G54" i="167"/>
  <c r="F54" i="167"/>
  <c r="D54" i="167"/>
  <c r="AJ53" i="167"/>
  <c r="AG53" i="167"/>
  <c r="AD53" i="167"/>
  <c r="V53" i="167"/>
  <c r="J53" i="167"/>
  <c r="G53" i="167"/>
  <c r="D53" i="167"/>
  <c r="AQ52" i="167"/>
  <c r="AK56" i="167" s="1"/>
  <c r="AN52" i="167"/>
  <c r="AI52" i="167"/>
  <c r="AG52" i="167"/>
  <c r="AF52" i="167"/>
  <c r="AD52" i="167"/>
  <c r="Q52" i="167"/>
  <c r="K56" i="167" s="1"/>
  <c r="N52" i="167"/>
  <c r="K54" i="167" s="1"/>
  <c r="I52" i="167"/>
  <c r="G52" i="167"/>
  <c r="F52" i="167"/>
  <c r="D52" i="167"/>
  <c r="AG51" i="167"/>
  <c r="AD51" i="167"/>
  <c r="AV51" i="167" s="1"/>
  <c r="G51" i="167"/>
  <c r="D51" i="167"/>
  <c r="AQ50" i="167"/>
  <c r="AH56" i="167" s="1"/>
  <c r="AN50" i="167"/>
  <c r="AH54" i="167" s="1"/>
  <c r="AK50" i="167"/>
  <c r="AH52" i="167" s="1"/>
  <c r="AF50" i="167"/>
  <c r="AE50" i="167"/>
  <c r="AD50" i="167"/>
  <c r="Q50" i="167"/>
  <c r="H56" i="167" s="1"/>
  <c r="N50" i="167"/>
  <c r="H54" i="167" s="1"/>
  <c r="K50" i="167"/>
  <c r="H52" i="167" s="1"/>
  <c r="F50" i="167"/>
  <c r="E50" i="167"/>
  <c r="D50" i="167"/>
  <c r="AD49" i="167"/>
  <c r="D49" i="167"/>
  <c r="V49" i="167" s="1"/>
  <c r="AQ48" i="167"/>
  <c r="AE56" i="167" s="1"/>
  <c r="AN48" i="167"/>
  <c r="AE54" i="167" s="1"/>
  <c r="AK48" i="167"/>
  <c r="AE52" i="167" s="1"/>
  <c r="AH48" i="167"/>
  <c r="Q48" i="167"/>
  <c r="E56" i="167" s="1"/>
  <c r="N48" i="167"/>
  <c r="E54" i="167" s="1"/>
  <c r="K48" i="167"/>
  <c r="E52" i="167" s="1"/>
  <c r="H48" i="167"/>
  <c r="AV47" i="167"/>
  <c r="AR44" i="167"/>
  <c r="AQ44" i="167"/>
  <c r="AP44" i="167"/>
  <c r="AO44" i="167"/>
  <c r="AN44" i="167"/>
  <c r="AM44" i="167"/>
  <c r="AL44" i="167"/>
  <c r="AK44" i="167"/>
  <c r="AJ44" i="167"/>
  <c r="AI44" i="167"/>
  <c r="AH44" i="167"/>
  <c r="AG44" i="167"/>
  <c r="AF44" i="167"/>
  <c r="AE44" i="167"/>
  <c r="AD44" i="167"/>
  <c r="R44" i="167"/>
  <c r="Q44" i="167"/>
  <c r="P44" i="167"/>
  <c r="O44" i="167"/>
  <c r="N44" i="167"/>
  <c r="M44" i="167"/>
  <c r="L44" i="167"/>
  <c r="K44" i="167"/>
  <c r="J44" i="167"/>
  <c r="I44" i="167"/>
  <c r="H44" i="167"/>
  <c r="G44" i="167"/>
  <c r="F44" i="167"/>
  <c r="E44" i="167"/>
  <c r="D44" i="167"/>
  <c r="AP43" i="167"/>
  <c r="AM43" i="167"/>
  <c r="AJ43" i="167"/>
  <c r="AG43" i="167"/>
  <c r="AD43" i="167"/>
  <c r="V43" i="167"/>
  <c r="P43" i="167"/>
  <c r="M43" i="167"/>
  <c r="J43" i="167"/>
  <c r="G43" i="167"/>
  <c r="D43" i="167"/>
  <c r="AO42" i="167"/>
  <c r="AM42" i="167"/>
  <c r="AL42" i="167"/>
  <c r="AK42" i="167"/>
  <c r="AJ42" i="167"/>
  <c r="AI42" i="167"/>
  <c r="AG42" i="167"/>
  <c r="AF42" i="167"/>
  <c r="AD42" i="167"/>
  <c r="O42" i="167"/>
  <c r="M42" i="167"/>
  <c r="L42" i="167"/>
  <c r="J42" i="167"/>
  <c r="I42" i="167"/>
  <c r="H42" i="167"/>
  <c r="G42" i="167"/>
  <c r="F42" i="167"/>
  <c r="D42" i="167"/>
  <c r="AY41" i="167"/>
  <c r="AM41" i="167"/>
  <c r="AJ41" i="167"/>
  <c r="AG41" i="167"/>
  <c r="AD41" i="167"/>
  <c r="AV41" i="167"/>
  <c r="Y41" i="167"/>
  <c r="M41" i="167"/>
  <c r="J41" i="167"/>
  <c r="G41" i="167"/>
  <c r="D41" i="167"/>
  <c r="AQ40" i="167"/>
  <c r="AN42" i="167" s="1"/>
  <c r="AL40" i="167"/>
  <c r="AJ40" i="167"/>
  <c r="AI40" i="167"/>
  <c r="AG40" i="167"/>
  <c r="AF40" i="167"/>
  <c r="AD40" i="167"/>
  <c r="Q40" i="167"/>
  <c r="N42" i="167" s="1"/>
  <c r="L40" i="167"/>
  <c r="J40" i="167"/>
  <c r="I40" i="167"/>
  <c r="G40" i="167"/>
  <c r="F40" i="167"/>
  <c r="D40" i="167"/>
  <c r="AJ39" i="167"/>
  <c r="AG39" i="167"/>
  <c r="AD39" i="167"/>
  <c r="V39" i="167"/>
  <c r="J39" i="167"/>
  <c r="G39" i="167"/>
  <c r="D39" i="167"/>
  <c r="AQ38" i="167"/>
  <c r="AN38" i="167"/>
  <c r="AK40" i="167" s="1"/>
  <c r="AI38" i="167"/>
  <c r="AG38" i="167"/>
  <c r="AF38" i="167"/>
  <c r="AD38" i="167"/>
  <c r="Q38" i="167"/>
  <c r="K42" i="167" s="1"/>
  <c r="N38" i="167"/>
  <c r="K40" i="167" s="1"/>
  <c r="I38" i="167"/>
  <c r="G38" i="167"/>
  <c r="F38" i="167"/>
  <c r="D38" i="167"/>
  <c r="AG37" i="167"/>
  <c r="AD37" i="167"/>
  <c r="AV37" i="167"/>
  <c r="G37" i="167"/>
  <c r="D37" i="167"/>
  <c r="AQ36" i="167"/>
  <c r="AH42" i="167" s="1"/>
  <c r="AN36" i="167"/>
  <c r="AH40" i="167" s="1"/>
  <c r="AK36" i="167"/>
  <c r="AH38" i="167" s="1"/>
  <c r="AF36" i="167"/>
  <c r="AE36" i="167"/>
  <c r="AD36" i="167"/>
  <c r="Q36" i="167"/>
  <c r="N36" i="167"/>
  <c r="H40" i="167" s="1"/>
  <c r="K36" i="167"/>
  <c r="H38" i="167" s="1"/>
  <c r="F36" i="167"/>
  <c r="E36" i="167"/>
  <c r="D36" i="167"/>
  <c r="AD35" i="167"/>
  <c r="D35" i="167"/>
  <c r="V35" i="167" s="1"/>
  <c r="AQ34" i="167"/>
  <c r="AE42" i="167" s="1"/>
  <c r="AN34" i="167"/>
  <c r="AE40" i="167" s="1"/>
  <c r="AK34" i="167"/>
  <c r="AE38" i="167" s="1"/>
  <c r="AH34" i="167"/>
  <c r="Q34" i="167"/>
  <c r="E42" i="167" s="1"/>
  <c r="N34" i="167"/>
  <c r="E40" i="167" s="1"/>
  <c r="K34" i="167"/>
  <c r="E38" i="167" s="1"/>
  <c r="H34" i="167"/>
  <c r="AV33" i="167"/>
  <c r="AR30" i="167"/>
  <c r="AQ30" i="167"/>
  <c r="AP30" i="167"/>
  <c r="AO30" i="167"/>
  <c r="AN30" i="167"/>
  <c r="AM30" i="167"/>
  <c r="AL30" i="167"/>
  <c r="AK30" i="167"/>
  <c r="AJ30" i="167"/>
  <c r="AI30" i="167"/>
  <c r="AH30" i="167"/>
  <c r="AG30" i="167"/>
  <c r="AF30" i="167"/>
  <c r="AE30" i="167"/>
  <c r="AD30" i="167"/>
  <c r="R30" i="167"/>
  <c r="Q30" i="167"/>
  <c r="P30" i="167"/>
  <c r="O30" i="167"/>
  <c r="N30" i="167"/>
  <c r="M30" i="167"/>
  <c r="L30" i="167"/>
  <c r="K30" i="167"/>
  <c r="J30" i="167"/>
  <c r="I30" i="167"/>
  <c r="H30" i="167"/>
  <c r="G30" i="167"/>
  <c r="F30" i="167"/>
  <c r="E30" i="167"/>
  <c r="D30" i="167"/>
  <c r="AP29" i="167"/>
  <c r="AM29" i="167"/>
  <c r="AJ29" i="167"/>
  <c r="AG29" i="167"/>
  <c r="AD29" i="167"/>
  <c r="V29" i="167"/>
  <c r="P29" i="167"/>
  <c r="M29" i="167"/>
  <c r="J29" i="167"/>
  <c r="G29" i="167"/>
  <c r="D29" i="167"/>
  <c r="AO28" i="167"/>
  <c r="AM28" i="167"/>
  <c r="AL28" i="167"/>
  <c r="AJ28" i="167"/>
  <c r="AI28" i="167"/>
  <c r="AG28" i="167"/>
  <c r="AF28" i="167"/>
  <c r="AD28" i="167"/>
  <c r="O28" i="167"/>
  <c r="M28" i="167"/>
  <c r="L28" i="167"/>
  <c r="J28" i="167"/>
  <c r="I28" i="167"/>
  <c r="H28" i="167"/>
  <c r="G28" i="167"/>
  <c r="F28" i="167"/>
  <c r="D28" i="167"/>
  <c r="AY27" i="167"/>
  <c r="AM27" i="167"/>
  <c r="AJ27" i="167"/>
  <c r="AG27" i="167"/>
  <c r="AD27" i="167"/>
  <c r="AV27" i="167"/>
  <c r="Y27" i="167"/>
  <c r="M27" i="167"/>
  <c r="J27" i="167"/>
  <c r="G27" i="167"/>
  <c r="D27" i="167"/>
  <c r="AQ26" i="167"/>
  <c r="AN28" i="167" s="1"/>
  <c r="AL26" i="167"/>
  <c r="AK26" i="167"/>
  <c r="AJ26" i="167"/>
  <c r="AI26" i="167"/>
  <c r="AG26" i="167"/>
  <c r="AF26" i="167"/>
  <c r="AE26" i="167"/>
  <c r="AD26" i="167"/>
  <c r="Q26" i="167"/>
  <c r="N28" i="167" s="1"/>
  <c r="L26" i="167"/>
  <c r="J26" i="167"/>
  <c r="I26" i="167"/>
  <c r="G26" i="167"/>
  <c r="F26" i="167"/>
  <c r="D26" i="167"/>
  <c r="AJ25" i="167"/>
  <c r="AG25" i="167"/>
  <c r="AD25" i="167"/>
  <c r="V25" i="167"/>
  <c r="J25" i="167"/>
  <c r="G25" i="167"/>
  <c r="D25" i="167"/>
  <c r="AQ24" i="167"/>
  <c r="AK28" i="167" s="1"/>
  <c r="AN24" i="167"/>
  <c r="AI24" i="167"/>
  <c r="AG24" i="167"/>
  <c r="AF24" i="167"/>
  <c r="AD24" i="167"/>
  <c r="Q24" i="167"/>
  <c r="K28" i="167" s="1"/>
  <c r="N24" i="167"/>
  <c r="K26" i="167" s="1"/>
  <c r="I24" i="167"/>
  <c r="G24" i="167"/>
  <c r="F24" i="167"/>
  <c r="D24" i="167"/>
  <c r="AG23" i="167"/>
  <c r="AV23" i="167" s="1"/>
  <c r="AD23" i="167"/>
  <c r="G23" i="167"/>
  <c r="D23" i="167"/>
  <c r="AQ22" i="167"/>
  <c r="AH28" i="167" s="1"/>
  <c r="AN22" i="167"/>
  <c r="AH26" i="167" s="1"/>
  <c r="AK22" i="167"/>
  <c r="AH24" i="167" s="1"/>
  <c r="AF22" i="167"/>
  <c r="AE22" i="167"/>
  <c r="AD22" i="167"/>
  <c r="Q22" i="167"/>
  <c r="N22" i="167"/>
  <c r="H26" i="167" s="1"/>
  <c r="K22" i="167"/>
  <c r="H24" i="167" s="1"/>
  <c r="F22" i="167"/>
  <c r="E22" i="167"/>
  <c r="D22" i="167"/>
  <c r="AD21" i="167"/>
  <c r="V21" i="167"/>
  <c r="D21" i="167"/>
  <c r="AQ20" i="167"/>
  <c r="AE28" i="167" s="1"/>
  <c r="AN20" i="167"/>
  <c r="AK20" i="167"/>
  <c r="AE24" i="167" s="1"/>
  <c r="AH20" i="167"/>
  <c r="Q20" i="167"/>
  <c r="E28" i="167" s="1"/>
  <c r="N20" i="167"/>
  <c r="E26" i="167" s="1"/>
  <c r="K20" i="167"/>
  <c r="E24" i="167" s="1"/>
  <c r="H20" i="167"/>
  <c r="AV19" i="167"/>
  <c r="AR16" i="167"/>
  <c r="AQ16" i="167"/>
  <c r="AP16" i="167"/>
  <c r="AO16" i="167"/>
  <c r="AN16" i="167"/>
  <c r="AM16" i="167"/>
  <c r="AL16" i="167"/>
  <c r="AK16" i="167"/>
  <c r="AJ16" i="167"/>
  <c r="AI16" i="167"/>
  <c r="AH16" i="167"/>
  <c r="AG16" i="167"/>
  <c r="AF16" i="167"/>
  <c r="AE16" i="167"/>
  <c r="AD16" i="167"/>
  <c r="R16" i="167"/>
  <c r="Q16" i="167"/>
  <c r="P16" i="167"/>
  <c r="O16" i="167"/>
  <c r="N16" i="167"/>
  <c r="M16" i="167"/>
  <c r="L16" i="167"/>
  <c r="K16" i="167"/>
  <c r="J16" i="167"/>
  <c r="I16" i="167"/>
  <c r="H16" i="167"/>
  <c r="G16" i="167"/>
  <c r="F16" i="167"/>
  <c r="E16" i="167"/>
  <c r="D16" i="167"/>
  <c r="AV15" i="167"/>
  <c r="AP15" i="167"/>
  <c r="AM15" i="167"/>
  <c r="AJ15" i="167"/>
  <c r="AG15" i="167"/>
  <c r="AD15" i="167"/>
  <c r="P15" i="167"/>
  <c r="M15" i="167"/>
  <c r="J15" i="167"/>
  <c r="G15" i="167"/>
  <c r="D15" i="167"/>
  <c r="V15" i="167"/>
  <c r="AO14" i="167"/>
  <c r="AN14" i="167"/>
  <c r="AM14" i="167"/>
  <c r="AL14" i="167"/>
  <c r="AJ14" i="167"/>
  <c r="AI14" i="167"/>
  <c r="AG14" i="167"/>
  <c r="AF14" i="167"/>
  <c r="AD14" i="167"/>
  <c r="O14" i="167"/>
  <c r="M14" i="167"/>
  <c r="L14" i="167"/>
  <c r="J14" i="167"/>
  <c r="I14" i="167"/>
  <c r="G14" i="167"/>
  <c r="F14" i="167"/>
  <c r="D14" i="167"/>
  <c r="AM13" i="167"/>
  <c r="AJ13" i="167"/>
  <c r="AG13" i="167"/>
  <c r="AD13" i="167"/>
  <c r="M13" i="167"/>
  <c r="J13" i="167"/>
  <c r="G13" i="167"/>
  <c r="D13" i="167"/>
  <c r="Y13" i="167"/>
  <c r="AQ12" i="167"/>
  <c r="AL12" i="167"/>
  <c r="AJ12" i="167"/>
  <c r="AI12" i="167"/>
  <c r="AG12" i="167"/>
  <c r="AF12" i="167"/>
  <c r="AD12" i="167"/>
  <c r="Q12" i="167"/>
  <c r="N14" i="167" s="1"/>
  <c r="L12" i="167"/>
  <c r="K12" i="167"/>
  <c r="J12" i="167"/>
  <c r="I12" i="167"/>
  <c r="G12" i="167"/>
  <c r="F12" i="167"/>
  <c r="E12" i="167"/>
  <c r="D12" i="167"/>
  <c r="AV11" i="167"/>
  <c r="AJ11" i="167"/>
  <c r="AG11" i="167"/>
  <c r="AD11" i="167"/>
  <c r="J11" i="167"/>
  <c r="G11" i="167"/>
  <c r="D11" i="167"/>
  <c r="V11" i="167"/>
  <c r="AQ10" i="167"/>
  <c r="AK14" i="167" s="1"/>
  <c r="AN10" i="167"/>
  <c r="AK12" i="167" s="1"/>
  <c r="AI10" i="167"/>
  <c r="AG10" i="167"/>
  <c r="AF10" i="167"/>
  <c r="AD10" i="167"/>
  <c r="Q10" i="167"/>
  <c r="K14" i="167" s="1"/>
  <c r="N10" i="167"/>
  <c r="I10" i="167"/>
  <c r="G10" i="167"/>
  <c r="F10" i="167"/>
  <c r="D10" i="167"/>
  <c r="AG9" i="167"/>
  <c r="AD9" i="167"/>
  <c r="G9" i="167"/>
  <c r="D9" i="167"/>
  <c r="AQ8" i="167"/>
  <c r="AH14" i="167" s="1"/>
  <c r="AN8" i="167"/>
  <c r="AH12" i="167" s="1"/>
  <c r="AK8" i="167"/>
  <c r="AH10" i="167" s="1"/>
  <c r="AF8" i="167"/>
  <c r="AE8" i="167"/>
  <c r="AD8" i="167"/>
  <c r="Q8" i="167"/>
  <c r="H14" i="167" s="1"/>
  <c r="N8" i="167"/>
  <c r="H12" i="167" s="1"/>
  <c r="K8" i="167"/>
  <c r="H10" i="167" s="1"/>
  <c r="F8" i="167"/>
  <c r="E8" i="167"/>
  <c r="D8" i="167"/>
  <c r="AV7" i="167"/>
  <c r="AD7" i="167"/>
  <c r="D7" i="167"/>
  <c r="V7" i="167" s="1"/>
  <c r="AQ6" i="167"/>
  <c r="AE14" i="167" s="1"/>
  <c r="AN6" i="167"/>
  <c r="AE12" i="167" s="1"/>
  <c r="AK6" i="167"/>
  <c r="AE10" i="167" s="1"/>
  <c r="AH6" i="167"/>
  <c r="Q6" i="167"/>
  <c r="E14" i="167" s="1"/>
  <c r="N6" i="167"/>
  <c r="K6" i="167"/>
  <c r="E10" i="167" s="1"/>
  <c r="H6" i="167"/>
  <c r="AM46" i="169" l="1"/>
  <c r="C12" i="172"/>
  <c r="E12" i="172" s="1"/>
  <c r="D72" i="170"/>
  <c r="F72" i="170" s="1"/>
  <c r="G53" i="170"/>
  <c r="AI10" i="169" s="1"/>
  <c r="C41" i="170"/>
  <c r="E41" i="170" s="1"/>
  <c r="I22" i="170"/>
  <c r="G57" i="170"/>
  <c r="D62" i="170"/>
  <c r="F62" i="170" s="1"/>
  <c r="C43" i="170"/>
  <c r="E43" i="170" s="1"/>
  <c r="D49" i="170" s="1"/>
  <c r="F49" i="170" s="1"/>
  <c r="I26" i="170"/>
  <c r="G5" i="170"/>
  <c r="E12" i="169" s="1"/>
  <c r="I6" i="170"/>
  <c r="I7" i="170"/>
  <c r="G13" i="170"/>
  <c r="E44" i="169" s="1"/>
  <c r="AF20" i="169" s="1"/>
  <c r="AG20" i="169" s="1"/>
  <c r="I14" i="170"/>
  <c r="I15" i="170"/>
  <c r="C55" i="170"/>
  <c r="E55" i="170" s="1"/>
  <c r="I16" i="170"/>
  <c r="F52" i="169"/>
  <c r="C20" i="170"/>
  <c r="E20" i="170" s="1"/>
  <c r="C28" i="170" s="1"/>
  <c r="E28" i="170" s="1"/>
  <c r="C24" i="170"/>
  <c r="E24" i="170" s="1"/>
  <c r="AJ28" i="169"/>
  <c r="AM52" i="169"/>
  <c r="G7" i="172"/>
  <c r="E17" i="171" s="1"/>
  <c r="F17" i="171" s="1"/>
  <c r="G9" i="170"/>
  <c r="I11" i="170"/>
  <c r="AS60" i="169"/>
  <c r="G9" i="172"/>
  <c r="E25" i="171" s="1"/>
  <c r="F25" i="171" s="1"/>
  <c r="C24" i="172"/>
  <c r="E24" i="172" s="1"/>
  <c r="G24" i="172" s="1"/>
  <c r="H47" i="171" s="1"/>
  <c r="I47" i="171" s="1"/>
  <c r="D73" i="170"/>
  <c r="F73" i="170" s="1"/>
  <c r="F4" i="170"/>
  <c r="I4" i="170" s="1"/>
  <c r="C52" i="170"/>
  <c r="E52" i="170" s="1"/>
  <c r="F6" i="170"/>
  <c r="C21" i="170"/>
  <c r="E21" i="170" s="1"/>
  <c r="G6" i="170"/>
  <c r="F8" i="170"/>
  <c r="I8" i="170" s="1"/>
  <c r="C54" i="170"/>
  <c r="E54" i="170" s="1"/>
  <c r="F10" i="170"/>
  <c r="C23" i="170"/>
  <c r="E23" i="170" s="1"/>
  <c r="G10" i="170"/>
  <c r="F12" i="170"/>
  <c r="I12" i="170" s="1"/>
  <c r="C56" i="170"/>
  <c r="E56" i="170" s="1"/>
  <c r="F14" i="170"/>
  <c r="C25" i="170"/>
  <c r="E25" i="170" s="1"/>
  <c r="G14" i="170"/>
  <c r="F18" i="170"/>
  <c r="C27" i="170"/>
  <c r="E27" i="170" s="1"/>
  <c r="G18" i="170"/>
  <c r="F57" i="170"/>
  <c r="I57" i="170" s="1"/>
  <c r="D74" i="170"/>
  <c r="F74" i="170" s="1"/>
  <c r="C27" i="172"/>
  <c r="E27" i="172" s="1"/>
  <c r="C15" i="172"/>
  <c r="E15" i="172" s="1"/>
  <c r="G10" i="172"/>
  <c r="E29" i="171" s="1"/>
  <c r="E58" i="171" s="1"/>
  <c r="F58" i="171" s="1"/>
  <c r="I10" i="172"/>
  <c r="I11" i="172"/>
  <c r="D27" i="172"/>
  <c r="F27" i="172" s="1"/>
  <c r="D15" i="172"/>
  <c r="F15" i="172" s="1"/>
  <c r="G11" i="172"/>
  <c r="E33" i="171" s="1"/>
  <c r="E60" i="171" s="1"/>
  <c r="F60" i="171" s="1"/>
  <c r="D48" i="170"/>
  <c r="F48" i="170" s="1"/>
  <c r="I41" i="170"/>
  <c r="I43" i="170"/>
  <c r="I55" i="170"/>
  <c r="E8" i="169"/>
  <c r="F8" i="169" s="1"/>
  <c r="E36" i="169"/>
  <c r="F36" i="169" s="1"/>
  <c r="E40" i="169"/>
  <c r="F40" i="169"/>
  <c r="E56" i="169"/>
  <c r="F56" i="169" s="1"/>
  <c r="C30" i="170"/>
  <c r="E30" i="170" s="1"/>
  <c r="C40" i="170"/>
  <c r="E40" i="170" s="1"/>
  <c r="G12" i="172"/>
  <c r="H7" i="171" s="1"/>
  <c r="I12" i="172"/>
  <c r="C16" i="172"/>
  <c r="E16" i="172" s="1"/>
  <c r="I24" i="172"/>
  <c r="C28" i="172"/>
  <c r="E28" i="172" s="1"/>
  <c r="AF6" i="169"/>
  <c r="AG6" i="169" s="1"/>
  <c r="I53" i="170"/>
  <c r="D60" i="170"/>
  <c r="F60" i="170" s="1"/>
  <c r="D63" i="170"/>
  <c r="F63" i="170" s="1"/>
  <c r="AR47" i="169"/>
  <c r="AS47" i="169" s="1"/>
  <c r="AO58" i="169"/>
  <c r="AP58" i="169" s="1"/>
  <c r="F12" i="169"/>
  <c r="AM43" i="169"/>
  <c r="C25" i="172"/>
  <c r="E25" i="172" s="1"/>
  <c r="C13" i="172"/>
  <c r="E13" i="172" s="1"/>
  <c r="G6" i="172"/>
  <c r="E13" i="171" s="1"/>
  <c r="F13" i="171" s="1"/>
  <c r="I6" i="172"/>
  <c r="AF8" i="169"/>
  <c r="AG8" i="169" s="1"/>
  <c r="G22" i="170"/>
  <c r="G26" i="170"/>
  <c r="C29" i="170"/>
  <c r="E29" i="170" s="1"/>
  <c r="C31" i="170"/>
  <c r="E31" i="170" s="1"/>
  <c r="AI22" i="169"/>
  <c r="AJ22" i="169" s="1"/>
  <c r="I59" i="170"/>
  <c r="D75" i="170"/>
  <c r="F75" i="170" s="1"/>
  <c r="C58" i="170"/>
  <c r="E58" i="170" s="1"/>
  <c r="AM49" i="169"/>
  <c r="G8" i="172"/>
  <c r="E21" i="171" s="1"/>
  <c r="E54" i="171" s="1"/>
  <c r="F54" i="171" s="1"/>
  <c r="I8" i="172"/>
  <c r="C14" i="172"/>
  <c r="E14" i="172" s="1"/>
  <c r="C26" i="172"/>
  <c r="E26" i="172" s="1"/>
  <c r="AP51" i="169"/>
  <c r="AS54" i="169"/>
  <c r="AS66" i="169"/>
  <c r="D13" i="172"/>
  <c r="F13" i="172" s="1"/>
  <c r="D25" i="172"/>
  <c r="F25" i="172" s="1"/>
  <c r="I5" i="172"/>
  <c r="I9" i="172"/>
  <c r="D12" i="172"/>
  <c r="F12" i="172" s="1"/>
  <c r="D14" i="172"/>
  <c r="F14" i="172" s="1"/>
  <c r="AP62" i="169"/>
  <c r="F5" i="171"/>
  <c r="E46" i="171"/>
  <c r="F46" i="171" s="1"/>
  <c r="F33" i="171"/>
  <c r="H36" i="171"/>
  <c r="I36" i="171" s="1"/>
  <c r="I7" i="171"/>
  <c r="L64" i="171"/>
  <c r="E48" i="171"/>
  <c r="F48" i="171" s="1"/>
  <c r="E56" i="171"/>
  <c r="F56" i="171" s="1"/>
  <c r="N63" i="171"/>
  <c r="O63" i="171" s="1"/>
  <c r="K72" i="171"/>
  <c r="L72" i="171" s="1"/>
  <c r="N69" i="171"/>
  <c r="O69" i="171" s="1"/>
  <c r="N73" i="171"/>
  <c r="O73" i="171" s="1"/>
  <c r="E20" i="169"/>
  <c r="F20" i="169" s="1"/>
  <c r="E24" i="169"/>
  <c r="F24" i="169" s="1"/>
  <c r="E28" i="169"/>
  <c r="AF14" i="169" s="1"/>
  <c r="AG14" i="169" s="1"/>
  <c r="E60" i="169"/>
  <c r="F60" i="169" s="1"/>
  <c r="E68" i="169"/>
  <c r="F68" i="169" s="1"/>
  <c r="AO44" i="169"/>
  <c r="AP44" i="169" s="1"/>
  <c r="AE1" i="169"/>
  <c r="S2" i="169"/>
  <c r="AO53" i="169"/>
  <c r="AP53" i="169" s="1"/>
  <c r="AO55" i="169"/>
  <c r="AP55" i="169" s="1"/>
  <c r="AR57" i="169"/>
  <c r="AS57" i="169" s="1"/>
  <c r="V37" i="168"/>
  <c r="V5" i="167"/>
  <c r="AV5" i="167"/>
  <c r="V9" i="167"/>
  <c r="AV9" i="167"/>
  <c r="AY9" i="167" s="1"/>
  <c r="Y11" i="167"/>
  <c r="V13" i="167"/>
  <c r="AV13" i="167"/>
  <c r="Y15" i="167"/>
  <c r="AV21" i="167"/>
  <c r="AV39" i="167"/>
  <c r="AY39" i="167"/>
  <c r="AV43" i="167"/>
  <c r="AY43" i="167"/>
  <c r="AV49" i="167"/>
  <c r="AY47" i="167" s="1"/>
  <c r="AV11" i="168"/>
  <c r="AY11" i="168"/>
  <c r="AV15" i="168"/>
  <c r="AY15" i="168"/>
  <c r="AV21" i="168"/>
  <c r="AY19" i="168" s="1"/>
  <c r="AY21" i="168"/>
  <c r="AY27" i="168"/>
  <c r="AV27" i="168"/>
  <c r="AV33" i="168"/>
  <c r="AY33" i="168" s="1"/>
  <c r="V39" i="168"/>
  <c r="Y39" i="168"/>
  <c r="V51" i="168"/>
  <c r="Y55" i="168"/>
  <c r="V55" i="168"/>
  <c r="AY11" i="167"/>
  <c r="AY13" i="167"/>
  <c r="AY15" i="167"/>
  <c r="AV25" i="167"/>
  <c r="AY25" i="167"/>
  <c r="AV29" i="167"/>
  <c r="AY29" i="167"/>
  <c r="AV35" i="167"/>
  <c r="AY33" i="167" s="1"/>
  <c r="AV53" i="167"/>
  <c r="AY53" i="167"/>
  <c r="AV57" i="167"/>
  <c r="AY57" i="167"/>
  <c r="AV7" i="168"/>
  <c r="AY5" i="168" s="1"/>
  <c r="AY7" i="168"/>
  <c r="AV25" i="168"/>
  <c r="AY25" i="168"/>
  <c r="Y27" i="168"/>
  <c r="V27" i="168"/>
  <c r="V33" i="168"/>
  <c r="V43" i="168"/>
  <c r="Y43" i="168"/>
  <c r="V49" i="168"/>
  <c r="AY51" i="168"/>
  <c r="AV51" i="168"/>
  <c r="AY55" i="168"/>
  <c r="AV55" i="168"/>
  <c r="V19" i="167"/>
  <c r="V23" i="167"/>
  <c r="Y25" i="167"/>
  <c r="V27" i="167"/>
  <c r="Y29" i="167"/>
  <c r="V33" i="167"/>
  <c r="V37" i="167"/>
  <c r="Y39" i="167"/>
  <c r="V41" i="167"/>
  <c r="Y43" i="167"/>
  <c r="V47" i="167"/>
  <c r="V51" i="167"/>
  <c r="Y53" i="167"/>
  <c r="V55" i="167"/>
  <c r="Y57" i="167"/>
  <c r="V5" i="168"/>
  <c r="V9" i="168"/>
  <c r="Y11" i="168"/>
  <c r="V13" i="168"/>
  <c r="Y15" i="168"/>
  <c r="V19" i="168"/>
  <c r="V23" i="168"/>
  <c r="Y25" i="168"/>
  <c r="V29" i="168"/>
  <c r="Y29" i="168"/>
  <c r="V35" i="168"/>
  <c r="Y37" i="168"/>
  <c r="AY37" i="168"/>
  <c r="Y41" i="168"/>
  <c r="AY41" i="168"/>
  <c r="AY47" i="168"/>
  <c r="V53" i="168"/>
  <c r="Y53" i="168"/>
  <c r="V57" i="168"/>
  <c r="Y57" i="168"/>
  <c r="AY35" i="168"/>
  <c r="AY39" i="168"/>
  <c r="AY49" i="168"/>
  <c r="AY53" i="168"/>
  <c r="E52" i="171" l="1"/>
  <c r="F52" i="171" s="1"/>
  <c r="AJ10" i="169"/>
  <c r="F28" i="169"/>
  <c r="G24" i="170"/>
  <c r="I24" i="170"/>
  <c r="C32" i="172"/>
  <c r="E32" i="172" s="1"/>
  <c r="G20" i="170"/>
  <c r="I20" i="170"/>
  <c r="G55" i="170"/>
  <c r="D61" i="170"/>
  <c r="F61" i="170" s="1"/>
  <c r="F21" i="171"/>
  <c r="F29" i="171"/>
  <c r="F44" i="169"/>
  <c r="C42" i="170"/>
  <c r="E42" i="170" s="1"/>
  <c r="G42" i="170" s="1"/>
  <c r="Y51" i="167"/>
  <c r="I31" i="170"/>
  <c r="D37" i="170"/>
  <c r="F37" i="170" s="1"/>
  <c r="C45" i="170"/>
  <c r="E45" i="170" s="1"/>
  <c r="G28" i="170"/>
  <c r="C32" i="170"/>
  <c r="E32" i="170" s="1"/>
  <c r="I27" i="172"/>
  <c r="D33" i="172"/>
  <c r="F33" i="172" s="1"/>
  <c r="D29" i="172"/>
  <c r="F29" i="172" s="1"/>
  <c r="G27" i="172"/>
  <c r="H59" i="171" s="1"/>
  <c r="I27" i="170"/>
  <c r="G27" i="170"/>
  <c r="D43" i="170"/>
  <c r="D31" i="170"/>
  <c r="F31" i="170" s="1"/>
  <c r="I23" i="170"/>
  <c r="G23" i="170"/>
  <c r="D41" i="170"/>
  <c r="D29" i="170"/>
  <c r="F29" i="170" s="1"/>
  <c r="E16" i="169"/>
  <c r="AF9" i="169" s="1"/>
  <c r="AG9" i="169" s="1"/>
  <c r="Y37" i="167"/>
  <c r="E50" i="171"/>
  <c r="F50" i="171" s="1"/>
  <c r="C33" i="172"/>
  <c r="E33" i="172" s="1"/>
  <c r="C29" i="172"/>
  <c r="E29" i="172" s="1"/>
  <c r="G26" i="172"/>
  <c r="H55" i="171" s="1"/>
  <c r="I26" i="172"/>
  <c r="D36" i="170"/>
  <c r="F36" i="170" s="1"/>
  <c r="I29" i="170"/>
  <c r="G29" i="170"/>
  <c r="AF26" i="169"/>
  <c r="AG26" i="169" s="1"/>
  <c r="D20" i="172"/>
  <c r="F20" i="172" s="1"/>
  <c r="D16" i="172"/>
  <c r="F16" i="172" s="1"/>
  <c r="I16" i="172" s="1"/>
  <c r="I13" i="172"/>
  <c r="G13" i="172"/>
  <c r="H15" i="171" s="1"/>
  <c r="C74" i="170"/>
  <c r="E74" i="170" s="1"/>
  <c r="C62" i="170"/>
  <c r="E62" i="170" s="1"/>
  <c r="G56" i="170"/>
  <c r="I56" i="170"/>
  <c r="D40" i="170"/>
  <c r="F40" i="170" s="1"/>
  <c r="D28" i="170"/>
  <c r="F28" i="170" s="1"/>
  <c r="I28" i="170" s="1"/>
  <c r="I21" i="170"/>
  <c r="G21" i="170"/>
  <c r="H63" i="171"/>
  <c r="I63" i="171" s="1"/>
  <c r="C21" i="172"/>
  <c r="E21" i="172" s="1"/>
  <c r="C17" i="172"/>
  <c r="E17" i="172" s="1"/>
  <c r="G14" i="172"/>
  <c r="H23" i="171" s="1"/>
  <c r="I14" i="172"/>
  <c r="H58" i="169"/>
  <c r="T42" i="169" s="1"/>
  <c r="U42" i="169" s="1"/>
  <c r="D32" i="172"/>
  <c r="F32" i="172" s="1"/>
  <c r="D28" i="172"/>
  <c r="F28" i="172" s="1"/>
  <c r="I28" i="172" s="1"/>
  <c r="I25" i="172"/>
  <c r="G25" i="172"/>
  <c r="H51" i="171" s="1"/>
  <c r="G28" i="172"/>
  <c r="K49" i="171" s="1"/>
  <c r="C30" i="172"/>
  <c r="E30" i="172" s="1"/>
  <c r="C20" i="172"/>
  <c r="E20" i="172" s="1"/>
  <c r="G40" i="170"/>
  <c r="C48" i="170"/>
  <c r="E48" i="170" s="1"/>
  <c r="C44" i="170"/>
  <c r="E44" i="170" s="1"/>
  <c r="I40" i="170"/>
  <c r="C33" i="170"/>
  <c r="E33" i="170" s="1"/>
  <c r="G30" i="170"/>
  <c r="E48" i="169"/>
  <c r="AF21" i="169" s="1"/>
  <c r="AG21" i="169" s="1"/>
  <c r="C73" i="170"/>
  <c r="E73" i="170" s="1"/>
  <c r="C61" i="170"/>
  <c r="E61" i="170" s="1"/>
  <c r="G54" i="170"/>
  <c r="I54" i="170"/>
  <c r="Y23" i="168"/>
  <c r="AR52" i="169"/>
  <c r="C75" i="170"/>
  <c r="E75" i="170" s="1"/>
  <c r="I58" i="170"/>
  <c r="C63" i="170"/>
  <c r="E63" i="170" s="1"/>
  <c r="G58" i="170"/>
  <c r="H26" i="169"/>
  <c r="T34" i="169" s="1"/>
  <c r="U34" i="169" s="1"/>
  <c r="G16" i="172"/>
  <c r="K11" i="171" s="1"/>
  <c r="C18" i="172"/>
  <c r="E18" i="172" s="1"/>
  <c r="I15" i="172"/>
  <c r="D21" i="172"/>
  <c r="F21" i="172" s="1"/>
  <c r="D17" i="172"/>
  <c r="F17" i="172" s="1"/>
  <c r="G15" i="172"/>
  <c r="H31" i="171" s="1"/>
  <c r="E64" i="169"/>
  <c r="AF27" i="169" s="1"/>
  <c r="AG27" i="169" s="1"/>
  <c r="D42" i="170"/>
  <c r="F42" i="170" s="1"/>
  <c r="I42" i="170" s="1"/>
  <c r="D30" i="170"/>
  <c r="F30" i="170" s="1"/>
  <c r="I30" i="170" s="1"/>
  <c r="I25" i="170"/>
  <c r="G25" i="170"/>
  <c r="E32" i="169"/>
  <c r="AF15" i="169" s="1"/>
  <c r="AG15" i="169" s="1"/>
  <c r="C72" i="170"/>
  <c r="E72" i="170" s="1"/>
  <c r="C60" i="170"/>
  <c r="E60" i="170" s="1"/>
  <c r="G52" i="170"/>
  <c r="I52" i="170"/>
  <c r="AY49" i="167"/>
  <c r="AY51" i="167"/>
  <c r="AY35" i="167"/>
  <c r="AY37" i="167"/>
  <c r="AY19" i="167"/>
  <c r="AY23" i="167"/>
  <c r="AY21" i="167"/>
  <c r="AY7" i="167"/>
  <c r="Y49" i="167"/>
  <c r="Y35" i="167"/>
  <c r="Y23" i="167"/>
  <c r="Y47" i="168"/>
  <c r="Y51" i="168"/>
  <c r="Y35" i="168"/>
  <c r="Y21" i="168"/>
  <c r="Y7" i="168"/>
  <c r="Y9" i="168"/>
  <c r="Y49" i="168"/>
  <c r="Y33" i="168"/>
  <c r="AY5" i="167"/>
  <c r="Y21" i="167"/>
  <c r="Y5" i="167"/>
  <c r="Y9" i="167"/>
  <c r="Y7" i="167"/>
  <c r="Y19" i="168"/>
  <c r="Y5" i="168"/>
  <c r="Y47" i="167"/>
  <c r="Y33" i="167"/>
  <c r="Y19" i="167"/>
  <c r="C19" i="172" l="1"/>
  <c r="E19" i="172" s="1"/>
  <c r="D32" i="170"/>
  <c r="F32" i="170" s="1"/>
  <c r="F16" i="169"/>
  <c r="I58" i="169"/>
  <c r="AJ16" i="169"/>
  <c r="AI16" i="169"/>
  <c r="H42" i="169"/>
  <c r="T38" i="169" s="1"/>
  <c r="U38" i="169" s="1"/>
  <c r="I10" i="169"/>
  <c r="H10" i="169"/>
  <c r="T30" i="169" s="1"/>
  <c r="U30" i="169" s="1"/>
  <c r="F32" i="169"/>
  <c r="I31" i="171"/>
  <c r="H42" i="171"/>
  <c r="I42" i="171" s="1"/>
  <c r="G18" i="172"/>
  <c r="N19" i="171" s="1"/>
  <c r="I26" i="169"/>
  <c r="F48" i="169"/>
  <c r="I33" i="170"/>
  <c r="D35" i="170"/>
  <c r="F35" i="170" s="1"/>
  <c r="C51" i="170"/>
  <c r="E51" i="170" s="1"/>
  <c r="G48" i="170"/>
  <c r="C50" i="170"/>
  <c r="E50" i="170" s="1"/>
  <c r="I48" i="170"/>
  <c r="D22" i="172"/>
  <c r="F22" i="172" s="1"/>
  <c r="I21" i="172"/>
  <c r="D23" i="172"/>
  <c r="F23" i="172" s="1"/>
  <c r="G21" i="172"/>
  <c r="K41" i="171" s="1"/>
  <c r="C69" i="170"/>
  <c r="E69" i="170" s="1"/>
  <c r="C65" i="170"/>
  <c r="E65" i="170" s="1"/>
  <c r="I62" i="170"/>
  <c r="G62" i="170"/>
  <c r="I55" i="171"/>
  <c r="H67" i="171"/>
  <c r="I67" i="171" s="1"/>
  <c r="F41" i="170"/>
  <c r="D44" i="170"/>
  <c r="F44" i="170" s="1"/>
  <c r="G41" i="170"/>
  <c r="F43" i="170"/>
  <c r="D45" i="170"/>
  <c r="F45" i="170" s="1"/>
  <c r="G43" i="170"/>
  <c r="C35" i="170"/>
  <c r="E35" i="170" s="1"/>
  <c r="G32" i="170"/>
  <c r="C34" i="170"/>
  <c r="E34" i="170" s="1"/>
  <c r="I32" i="170"/>
  <c r="W39" i="169"/>
  <c r="X39" i="169" s="1"/>
  <c r="AI7" i="169"/>
  <c r="AJ7" i="169" s="1"/>
  <c r="AI13" i="169"/>
  <c r="AJ13" i="169" s="1"/>
  <c r="C37" i="170"/>
  <c r="E37" i="170" s="1"/>
  <c r="W31" i="169"/>
  <c r="X31" i="169" s="1"/>
  <c r="L49" i="171"/>
  <c r="K60" i="171"/>
  <c r="L60" i="171" s="1"/>
  <c r="D30" i="172"/>
  <c r="F30" i="172" s="1"/>
  <c r="I29" i="172"/>
  <c r="D31" i="172"/>
  <c r="F31" i="172" s="1"/>
  <c r="G29" i="172"/>
  <c r="K57" i="171" s="1"/>
  <c r="H34" i="169"/>
  <c r="T36" i="169" s="1"/>
  <c r="U36" i="169" s="1"/>
  <c r="H66" i="169"/>
  <c r="T44" i="169" s="1"/>
  <c r="U44" i="169" s="1"/>
  <c r="C36" i="170"/>
  <c r="E36" i="170" s="1"/>
  <c r="D46" i="170"/>
  <c r="F46" i="170" s="1"/>
  <c r="I45" i="170"/>
  <c r="G45" i="170"/>
  <c r="D47" i="170"/>
  <c r="F47" i="170" s="1"/>
  <c r="G31" i="170"/>
  <c r="C68" i="170"/>
  <c r="E68" i="170" s="1"/>
  <c r="C64" i="170"/>
  <c r="E64" i="170" s="1"/>
  <c r="G60" i="170"/>
  <c r="I60" i="170"/>
  <c r="H50" i="169"/>
  <c r="T40" i="169" s="1"/>
  <c r="U40" i="169" s="1"/>
  <c r="F64" i="169"/>
  <c r="L11" i="171"/>
  <c r="K33" i="171"/>
  <c r="L33" i="171" s="1"/>
  <c r="AI25" i="169"/>
  <c r="AJ25" i="169" s="1"/>
  <c r="G61" i="170"/>
  <c r="D68" i="170"/>
  <c r="F68" i="170" s="1"/>
  <c r="D64" i="170"/>
  <c r="F64" i="170" s="1"/>
  <c r="I61" i="170"/>
  <c r="C23" i="172"/>
  <c r="E23" i="172" s="1"/>
  <c r="G20" i="172"/>
  <c r="K37" i="171" s="1"/>
  <c r="I20" i="172"/>
  <c r="C22" i="172"/>
  <c r="E22" i="172" s="1"/>
  <c r="C31" i="172"/>
  <c r="E31" i="172" s="1"/>
  <c r="H40" i="171"/>
  <c r="I40" i="171" s="1"/>
  <c r="I23" i="171"/>
  <c r="H18" i="169"/>
  <c r="T32" i="169" s="1"/>
  <c r="U32" i="169" s="1"/>
  <c r="I15" i="171"/>
  <c r="H38" i="171"/>
  <c r="I38" i="171" s="1"/>
  <c r="K14" i="169"/>
  <c r="C49" i="170"/>
  <c r="E49" i="170" s="1"/>
  <c r="G19" i="172"/>
  <c r="N34" i="171" s="1"/>
  <c r="G63" i="170"/>
  <c r="I63" i="170"/>
  <c r="D65" i="170"/>
  <c r="F65" i="170" s="1"/>
  <c r="D69" i="170"/>
  <c r="F69" i="170" s="1"/>
  <c r="K46" i="169"/>
  <c r="L46" i="169" s="1"/>
  <c r="C47" i="170"/>
  <c r="E47" i="170" s="1"/>
  <c r="G44" i="170"/>
  <c r="C46" i="170"/>
  <c r="E46" i="170" s="1"/>
  <c r="I44" i="170"/>
  <c r="G30" i="172"/>
  <c r="N53" i="171" s="1"/>
  <c r="I30" i="172"/>
  <c r="H65" i="171"/>
  <c r="I65" i="171" s="1"/>
  <c r="I51" i="171"/>
  <c r="D18" i="172"/>
  <c r="F18" i="172" s="1"/>
  <c r="I18" i="172" s="1"/>
  <c r="I17" i="172"/>
  <c r="D19" i="172"/>
  <c r="F19" i="172" s="1"/>
  <c r="I19" i="172" s="1"/>
  <c r="G17" i="172"/>
  <c r="K27" i="171" s="1"/>
  <c r="AI19" i="169"/>
  <c r="AJ19" i="169" s="1"/>
  <c r="K30" i="169"/>
  <c r="W16" i="169" s="1"/>
  <c r="X16" i="169" s="1"/>
  <c r="H69" i="171"/>
  <c r="I69" i="171" s="1"/>
  <c r="I59" i="171"/>
  <c r="D33" i="170"/>
  <c r="F33" i="170" s="1"/>
  <c r="AH31" i="136"/>
  <c r="F16" i="52"/>
  <c r="F14" i="52"/>
  <c r="F12" i="52"/>
  <c r="F15" i="52" s="1"/>
  <c r="D20" i="171" s="1"/>
  <c r="F10" i="52"/>
  <c r="I42" i="169" l="1"/>
  <c r="W14" i="169"/>
  <c r="X14" i="169" s="1"/>
  <c r="I34" i="169"/>
  <c r="L30" i="169"/>
  <c r="L27" i="171"/>
  <c r="K35" i="171"/>
  <c r="L35" i="171" s="1"/>
  <c r="D50" i="170"/>
  <c r="F50" i="170" s="1"/>
  <c r="I49" i="170"/>
  <c r="G49" i="170"/>
  <c r="D51" i="170"/>
  <c r="F51" i="170" s="1"/>
  <c r="L37" i="171"/>
  <c r="K43" i="171"/>
  <c r="L43" i="171" s="1"/>
  <c r="G46" i="170"/>
  <c r="I46" i="170"/>
  <c r="W18" i="169"/>
  <c r="X18" i="169" s="1"/>
  <c r="AL27" i="169"/>
  <c r="AL38" i="169" s="1"/>
  <c r="AM38" i="169" s="1"/>
  <c r="L14" i="169"/>
  <c r="I18" i="169"/>
  <c r="I23" i="172"/>
  <c r="G23" i="172"/>
  <c r="N44" i="171" s="1"/>
  <c r="AL15" i="169"/>
  <c r="AL34" i="169" s="1"/>
  <c r="AM34" i="169" s="1"/>
  <c r="K62" i="169"/>
  <c r="W20" i="169" s="1"/>
  <c r="X20" i="169" s="1"/>
  <c r="W56" i="169"/>
  <c r="X56" i="169" s="1"/>
  <c r="I35" i="170"/>
  <c r="G35" i="170"/>
  <c r="W35" i="169"/>
  <c r="W54" i="169" s="1"/>
  <c r="X54" i="169" s="1"/>
  <c r="G69" i="170"/>
  <c r="D71" i="170"/>
  <c r="F71" i="170" s="1"/>
  <c r="I69" i="170"/>
  <c r="D70" i="170"/>
  <c r="F70" i="170" s="1"/>
  <c r="I51" i="170"/>
  <c r="G51" i="170"/>
  <c r="D34" i="170"/>
  <c r="F34" i="170" s="1"/>
  <c r="O22" i="171"/>
  <c r="N31" i="171"/>
  <c r="O31" i="171" s="1"/>
  <c r="O19" i="171"/>
  <c r="F11" i="52"/>
  <c r="D55" i="169"/>
  <c r="AC50" i="167"/>
  <c r="D29" i="169"/>
  <c r="C22" i="168"/>
  <c r="G22" i="172"/>
  <c r="N39" i="171" s="1"/>
  <c r="I22" i="172"/>
  <c r="AL8" i="169"/>
  <c r="AL32" i="169" s="1"/>
  <c r="AM32" i="169" s="1"/>
  <c r="AM8" i="169"/>
  <c r="C39" i="170"/>
  <c r="E39" i="170" s="1"/>
  <c r="G36" i="170"/>
  <c r="C38" i="170"/>
  <c r="E38" i="170" s="1"/>
  <c r="I36" i="170"/>
  <c r="W52" i="169"/>
  <c r="X52" i="169" s="1"/>
  <c r="W43" i="169"/>
  <c r="W58" i="169" s="1"/>
  <c r="X58" i="169" s="1"/>
  <c r="AL20" i="169"/>
  <c r="AL36" i="169" s="1"/>
  <c r="AM36" i="169" s="1"/>
  <c r="L41" i="171"/>
  <c r="K45" i="171"/>
  <c r="L45" i="171" s="1"/>
  <c r="Z33" i="169"/>
  <c r="Z46" i="169" s="1"/>
  <c r="AA46" i="169" s="1"/>
  <c r="O34" i="171"/>
  <c r="N36" i="171"/>
  <c r="O36" i="171" s="1"/>
  <c r="O53" i="171"/>
  <c r="N58" i="171"/>
  <c r="O58" i="171" s="1"/>
  <c r="I47" i="170"/>
  <c r="G47" i="170"/>
  <c r="I50" i="169"/>
  <c r="C66" i="170"/>
  <c r="E66" i="170" s="1"/>
  <c r="G64" i="170"/>
  <c r="C67" i="170"/>
  <c r="E67" i="170" s="1"/>
  <c r="I64" i="170"/>
  <c r="Z41" i="169"/>
  <c r="Z48" i="169" s="1"/>
  <c r="AA48" i="169" s="1"/>
  <c r="I66" i="169"/>
  <c r="K62" i="171"/>
  <c r="L62" i="171" s="1"/>
  <c r="L57" i="171"/>
  <c r="D38" i="170"/>
  <c r="F38" i="170" s="1"/>
  <c r="I37" i="170"/>
  <c r="G37" i="170"/>
  <c r="D39" i="170"/>
  <c r="F39" i="170" s="1"/>
  <c r="G34" i="170"/>
  <c r="I34" i="170"/>
  <c r="G50" i="170"/>
  <c r="I50" i="170"/>
  <c r="G33" i="170"/>
  <c r="C70" i="170"/>
  <c r="E70" i="170" s="1"/>
  <c r="G68" i="170"/>
  <c r="C71" i="170"/>
  <c r="E71" i="170" s="1"/>
  <c r="I68" i="170"/>
  <c r="N22" i="169"/>
  <c r="Z8" i="169" s="1"/>
  <c r="AA8" i="169" s="1"/>
  <c r="O22" i="169"/>
  <c r="G65" i="170"/>
  <c r="D67" i="170"/>
  <c r="F67" i="170" s="1"/>
  <c r="I65" i="170"/>
  <c r="D66" i="170"/>
  <c r="F66" i="170" s="1"/>
  <c r="Z53" i="169"/>
  <c r="Z62" i="169" s="1"/>
  <c r="AA62" i="169" s="1"/>
  <c r="AB2" i="137"/>
  <c r="M3" i="158"/>
  <c r="M3" i="163"/>
  <c r="M3" i="162"/>
  <c r="M3" i="161"/>
  <c r="M3" i="160"/>
  <c r="M3" i="159"/>
  <c r="AB2" i="136"/>
  <c r="AB2" i="135"/>
  <c r="AB2" i="107"/>
  <c r="I61" i="52"/>
  <c r="J61" i="52"/>
  <c r="Q46" i="163"/>
  <c r="N46" i="163"/>
  <c r="O46" i="163" s="1"/>
  <c r="F46" i="163"/>
  <c r="L45" i="163"/>
  <c r="Q44" i="163"/>
  <c r="O44" i="163"/>
  <c r="L43" i="163"/>
  <c r="Q42" i="163"/>
  <c r="N42" i="163"/>
  <c r="O42" i="163" s="1"/>
  <c r="I42" i="163"/>
  <c r="L41" i="163"/>
  <c r="H40" i="163"/>
  <c r="I40" i="163" s="1"/>
  <c r="Q39" i="163"/>
  <c r="O39" i="163"/>
  <c r="H38" i="163"/>
  <c r="I38" i="163" s="1"/>
  <c r="L37" i="163"/>
  <c r="Q36" i="163"/>
  <c r="I36" i="163"/>
  <c r="K35" i="163"/>
  <c r="L35" i="163" s="1"/>
  <c r="Q34" i="163"/>
  <c r="O34" i="163"/>
  <c r="C34" i="163"/>
  <c r="K33" i="163"/>
  <c r="L33" i="163" s="1"/>
  <c r="F33" i="163"/>
  <c r="C32" i="163"/>
  <c r="Q31" i="163"/>
  <c r="N31" i="163"/>
  <c r="O31" i="163" s="1"/>
  <c r="I31" i="163"/>
  <c r="C30" i="163"/>
  <c r="F29" i="163"/>
  <c r="C28" i="163"/>
  <c r="L27" i="163"/>
  <c r="C26" i="163"/>
  <c r="F25" i="163"/>
  <c r="C24" i="163"/>
  <c r="I23" i="163"/>
  <c r="C22" i="163"/>
  <c r="F21" i="163"/>
  <c r="C20" i="163"/>
  <c r="Q19" i="163"/>
  <c r="O19" i="163"/>
  <c r="C18" i="163"/>
  <c r="F17" i="163"/>
  <c r="C16" i="163"/>
  <c r="I15" i="163"/>
  <c r="C14" i="163"/>
  <c r="F13" i="163"/>
  <c r="C12" i="163"/>
  <c r="L11" i="163"/>
  <c r="C10" i="163"/>
  <c r="F9" i="163"/>
  <c r="C8" i="163"/>
  <c r="I7" i="163"/>
  <c r="C6" i="163"/>
  <c r="F5" i="163"/>
  <c r="C4" i="163"/>
  <c r="A3" i="163"/>
  <c r="A1" i="163"/>
  <c r="Q46" i="162"/>
  <c r="N46" i="162"/>
  <c r="O46" i="162" s="1"/>
  <c r="F46" i="162"/>
  <c r="L45" i="162"/>
  <c r="Q44" i="162"/>
  <c r="O44" i="162"/>
  <c r="L43" i="162"/>
  <c r="Q42" i="162"/>
  <c r="N42" i="162"/>
  <c r="O42" i="162" s="1"/>
  <c r="I42" i="162"/>
  <c r="L41" i="162"/>
  <c r="H40" i="162"/>
  <c r="I40" i="162" s="1"/>
  <c r="Q39" i="162"/>
  <c r="O39" i="162"/>
  <c r="H38" i="162"/>
  <c r="I38" i="162" s="1"/>
  <c r="L37" i="162"/>
  <c r="Q36" i="162"/>
  <c r="I36" i="162"/>
  <c r="K35" i="162"/>
  <c r="L35" i="162" s="1"/>
  <c r="Q34" i="162"/>
  <c r="O34" i="162"/>
  <c r="C34" i="162"/>
  <c r="K33" i="162"/>
  <c r="L33" i="162" s="1"/>
  <c r="F33" i="162"/>
  <c r="C32" i="162"/>
  <c r="Q31" i="162"/>
  <c r="N31" i="162"/>
  <c r="O31" i="162" s="1"/>
  <c r="I31" i="162"/>
  <c r="C30" i="162"/>
  <c r="F29" i="162"/>
  <c r="C28" i="162"/>
  <c r="L27" i="162"/>
  <c r="C26" i="162"/>
  <c r="F25" i="162"/>
  <c r="C24" i="162"/>
  <c r="I23" i="162"/>
  <c r="C22" i="162"/>
  <c r="F21" i="162"/>
  <c r="C20" i="162"/>
  <c r="Q19" i="162"/>
  <c r="O19" i="162"/>
  <c r="C18" i="162"/>
  <c r="F17" i="162"/>
  <c r="C16" i="162"/>
  <c r="I15" i="162"/>
  <c r="C14" i="162"/>
  <c r="F13" i="162"/>
  <c r="C12" i="162"/>
  <c r="L11" i="162"/>
  <c r="C10" i="162"/>
  <c r="F9" i="162"/>
  <c r="C8" i="162"/>
  <c r="I7" i="162"/>
  <c r="C6" i="162"/>
  <c r="F5" i="162"/>
  <c r="C4" i="162"/>
  <c r="A3" i="162"/>
  <c r="A1" i="162"/>
  <c r="Q46" i="161"/>
  <c r="N46" i="161"/>
  <c r="O46" i="161" s="1"/>
  <c r="F46" i="161"/>
  <c r="L45" i="161"/>
  <c r="Q44" i="161"/>
  <c r="O44" i="161"/>
  <c r="L43" i="161"/>
  <c r="Q42" i="161"/>
  <c r="N42" i="161"/>
  <c r="O42" i="161" s="1"/>
  <c r="I42" i="161"/>
  <c r="L41" i="161"/>
  <c r="H40" i="161"/>
  <c r="I40" i="161" s="1"/>
  <c r="Q39" i="161"/>
  <c r="O39" i="161"/>
  <c r="H38" i="161"/>
  <c r="I38" i="161" s="1"/>
  <c r="L37" i="161"/>
  <c r="Q36" i="161"/>
  <c r="I36" i="161"/>
  <c r="K35" i="161"/>
  <c r="L35" i="161" s="1"/>
  <c r="Q34" i="161"/>
  <c r="O34" i="161"/>
  <c r="C34" i="161"/>
  <c r="K33" i="161"/>
  <c r="L33" i="161" s="1"/>
  <c r="F33" i="161"/>
  <c r="C32" i="161"/>
  <c r="Q31" i="161"/>
  <c r="N31" i="161"/>
  <c r="O31" i="161" s="1"/>
  <c r="I31" i="161"/>
  <c r="C30" i="161"/>
  <c r="F29" i="161"/>
  <c r="C28" i="161"/>
  <c r="L27" i="161"/>
  <c r="C26" i="161"/>
  <c r="F25" i="161"/>
  <c r="C24" i="161"/>
  <c r="I23" i="161"/>
  <c r="C22" i="161"/>
  <c r="F21" i="161"/>
  <c r="C20" i="161"/>
  <c r="Q19" i="161"/>
  <c r="O19" i="161"/>
  <c r="C18" i="161"/>
  <c r="F17" i="161"/>
  <c r="C16" i="161"/>
  <c r="I15" i="161"/>
  <c r="C14" i="161"/>
  <c r="F13" i="161"/>
  <c r="C12" i="161"/>
  <c r="L11" i="161"/>
  <c r="C10" i="161"/>
  <c r="F9" i="161"/>
  <c r="C8" i="161"/>
  <c r="I7" i="161"/>
  <c r="C6" i="161"/>
  <c r="F5" i="161"/>
  <c r="C4" i="161"/>
  <c r="A3" i="161"/>
  <c r="A1" i="161"/>
  <c r="Q46" i="160"/>
  <c r="N46" i="160"/>
  <c r="O46" i="160" s="1"/>
  <c r="F46" i="160"/>
  <c r="L45" i="160"/>
  <c r="Q44" i="160"/>
  <c r="O44" i="160"/>
  <c r="L43" i="160"/>
  <c r="Q42" i="160"/>
  <c r="N42" i="160"/>
  <c r="O42" i="160" s="1"/>
  <c r="I42" i="160"/>
  <c r="L41" i="160"/>
  <c r="H40" i="160"/>
  <c r="I40" i="160" s="1"/>
  <c r="Q39" i="160"/>
  <c r="O39" i="160"/>
  <c r="H38" i="160"/>
  <c r="I38" i="160" s="1"/>
  <c r="L37" i="160"/>
  <c r="Q36" i="160"/>
  <c r="I36" i="160"/>
  <c r="K35" i="160"/>
  <c r="L35" i="160" s="1"/>
  <c r="Q34" i="160"/>
  <c r="O34" i="160"/>
  <c r="C34" i="160"/>
  <c r="K33" i="160"/>
  <c r="L33" i="160" s="1"/>
  <c r="F33" i="160"/>
  <c r="C32" i="160"/>
  <c r="Q31" i="160"/>
  <c r="N31" i="160"/>
  <c r="O31" i="160" s="1"/>
  <c r="I31" i="160"/>
  <c r="C30" i="160"/>
  <c r="F29" i="160"/>
  <c r="C28" i="160"/>
  <c r="L27" i="160"/>
  <c r="C26" i="160"/>
  <c r="F25" i="160"/>
  <c r="C24" i="160"/>
  <c r="I23" i="160"/>
  <c r="C22" i="160"/>
  <c r="F21" i="160"/>
  <c r="C20" i="160"/>
  <c r="Q19" i="160"/>
  <c r="O19" i="160"/>
  <c r="C18" i="160"/>
  <c r="F17" i="160"/>
  <c r="C16" i="160"/>
  <c r="I15" i="160"/>
  <c r="C14" i="160"/>
  <c r="F13" i="160"/>
  <c r="C12" i="160"/>
  <c r="L11" i="160"/>
  <c r="C10" i="160"/>
  <c r="F9" i="160"/>
  <c r="C8" i="160"/>
  <c r="I7" i="160"/>
  <c r="C6" i="160"/>
  <c r="F5" i="160"/>
  <c r="C4" i="160"/>
  <c r="A3" i="160"/>
  <c r="A1" i="160"/>
  <c r="Q46" i="159"/>
  <c r="N46" i="159"/>
  <c r="O46" i="159" s="1"/>
  <c r="F46" i="159"/>
  <c r="L45" i="159"/>
  <c r="Q44" i="159"/>
  <c r="O44" i="159"/>
  <c r="L43" i="159"/>
  <c r="Q42" i="159"/>
  <c r="N42" i="159"/>
  <c r="O42" i="159" s="1"/>
  <c r="I42" i="159"/>
  <c r="L41" i="159"/>
  <c r="H40" i="159"/>
  <c r="I40" i="159" s="1"/>
  <c r="Q39" i="159"/>
  <c r="O39" i="159"/>
  <c r="H38" i="159"/>
  <c r="I38" i="159" s="1"/>
  <c r="L37" i="159"/>
  <c r="Q36" i="159"/>
  <c r="I36" i="159"/>
  <c r="K35" i="159"/>
  <c r="L35" i="159" s="1"/>
  <c r="Q34" i="159"/>
  <c r="O34" i="159"/>
  <c r="C34" i="159"/>
  <c r="K33" i="159"/>
  <c r="N36" i="159" s="1"/>
  <c r="O36" i="159" s="1"/>
  <c r="F33" i="159"/>
  <c r="C32" i="159"/>
  <c r="Q31" i="159"/>
  <c r="N31" i="159"/>
  <c r="O31" i="159" s="1"/>
  <c r="I31" i="159"/>
  <c r="C30" i="159"/>
  <c r="F29" i="159"/>
  <c r="C28" i="159"/>
  <c r="L27" i="159"/>
  <c r="C26" i="159"/>
  <c r="F25" i="159"/>
  <c r="C24" i="159"/>
  <c r="I23" i="159"/>
  <c r="C22" i="159"/>
  <c r="F21" i="159"/>
  <c r="C20" i="159"/>
  <c r="Q19" i="159"/>
  <c r="O19" i="159"/>
  <c r="C18" i="159"/>
  <c r="F17" i="159"/>
  <c r="C16" i="159"/>
  <c r="I15" i="159"/>
  <c r="C14" i="159"/>
  <c r="F13" i="159"/>
  <c r="C12" i="159"/>
  <c r="L11" i="159"/>
  <c r="C10" i="159"/>
  <c r="F9" i="159"/>
  <c r="C8" i="159"/>
  <c r="I7" i="159"/>
  <c r="C6" i="159"/>
  <c r="F5" i="159"/>
  <c r="C4" i="159"/>
  <c r="A3" i="159"/>
  <c r="A1" i="159"/>
  <c r="F46" i="158"/>
  <c r="L45" i="158"/>
  <c r="O44" i="158"/>
  <c r="L43" i="158"/>
  <c r="I42" i="158"/>
  <c r="L41" i="158"/>
  <c r="O39" i="158"/>
  <c r="L37" i="158"/>
  <c r="I36" i="158"/>
  <c r="O34" i="158"/>
  <c r="C34" i="158"/>
  <c r="F33" i="158"/>
  <c r="C32" i="158"/>
  <c r="I31" i="158"/>
  <c r="C30" i="158"/>
  <c r="F29" i="158"/>
  <c r="C28" i="158"/>
  <c r="L27" i="158"/>
  <c r="C26" i="158"/>
  <c r="F25" i="158"/>
  <c r="C24" i="158"/>
  <c r="I23" i="158"/>
  <c r="C22" i="158"/>
  <c r="F21" i="158"/>
  <c r="C20" i="158"/>
  <c r="O19" i="158"/>
  <c r="C18" i="158"/>
  <c r="F17" i="158"/>
  <c r="C16" i="158"/>
  <c r="I15" i="158"/>
  <c r="C14" i="158"/>
  <c r="F13" i="158"/>
  <c r="C12" i="158"/>
  <c r="L11" i="158"/>
  <c r="C10" i="158"/>
  <c r="F9" i="158"/>
  <c r="C8" i="158"/>
  <c r="I7" i="158"/>
  <c r="C6" i="158"/>
  <c r="C4" i="158"/>
  <c r="F5" i="158"/>
  <c r="O19" i="112"/>
  <c r="O71" i="112"/>
  <c r="L68" i="112"/>
  <c r="O66" i="112"/>
  <c r="L64" i="112"/>
  <c r="O61" i="112"/>
  <c r="I59" i="112"/>
  <c r="L57" i="112"/>
  <c r="I55" i="112"/>
  <c r="O53" i="112"/>
  <c r="I51" i="112"/>
  <c r="L49" i="112"/>
  <c r="I47" i="112"/>
  <c r="O44" i="112"/>
  <c r="L41" i="112"/>
  <c r="O39" i="112"/>
  <c r="L37" i="112"/>
  <c r="O34" i="112"/>
  <c r="C34" i="112"/>
  <c r="F33" i="112"/>
  <c r="C32" i="112"/>
  <c r="I31" i="112"/>
  <c r="C30" i="112"/>
  <c r="F29" i="112"/>
  <c r="C28" i="112"/>
  <c r="L27" i="112"/>
  <c r="C26" i="112"/>
  <c r="F25" i="112"/>
  <c r="C24" i="112"/>
  <c r="I23" i="112"/>
  <c r="C22" i="112"/>
  <c r="F21" i="112"/>
  <c r="C20" i="112"/>
  <c r="C18" i="112"/>
  <c r="F17" i="112"/>
  <c r="C16" i="112"/>
  <c r="I15" i="112"/>
  <c r="C14" i="112"/>
  <c r="F13" i="112"/>
  <c r="C12" i="112"/>
  <c r="L11" i="112"/>
  <c r="C10" i="112"/>
  <c r="F9" i="112"/>
  <c r="C8" i="112"/>
  <c r="I7" i="112"/>
  <c r="C6" i="112"/>
  <c r="C4" i="112"/>
  <c r="F5" i="112"/>
  <c r="M9" i="52"/>
  <c r="M13" i="52"/>
  <c r="M17" i="52"/>
  <c r="M21" i="52"/>
  <c r="M25" i="52"/>
  <c r="M29" i="52"/>
  <c r="M33" i="52"/>
  <c r="M37" i="52"/>
  <c r="M41" i="52"/>
  <c r="M45" i="52"/>
  <c r="M49" i="52"/>
  <c r="M53" i="52"/>
  <c r="M57" i="52"/>
  <c r="J60" i="52"/>
  <c r="I60" i="52"/>
  <c r="E60" i="52"/>
  <c r="D60" i="52"/>
  <c r="J59" i="52"/>
  <c r="I59" i="52"/>
  <c r="E59" i="52"/>
  <c r="D59" i="52"/>
  <c r="J58" i="52"/>
  <c r="I58" i="52"/>
  <c r="E58" i="52"/>
  <c r="D58" i="52"/>
  <c r="J57" i="52"/>
  <c r="I57" i="52"/>
  <c r="E57" i="52"/>
  <c r="D57" i="52"/>
  <c r="J56" i="52"/>
  <c r="I56" i="52"/>
  <c r="E56" i="52"/>
  <c r="D56" i="52"/>
  <c r="J55" i="52"/>
  <c r="I55" i="52"/>
  <c r="E55" i="52"/>
  <c r="D55" i="52"/>
  <c r="J54" i="52"/>
  <c r="I54" i="52"/>
  <c r="E54" i="52"/>
  <c r="D54" i="52"/>
  <c r="J53" i="52"/>
  <c r="I53" i="52"/>
  <c r="E53" i="52"/>
  <c r="D53" i="52"/>
  <c r="J52" i="52"/>
  <c r="I52" i="52"/>
  <c r="E52" i="52"/>
  <c r="D52" i="52"/>
  <c r="J51" i="52"/>
  <c r="I51" i="52"/>
  <c r="E51" i="52"/>
  <c r="D51" i="52"/>
  <c r="J50" i="52"/>
  <c r="I50" i="52"/>
  <c r="E50" i="52"/>
  <c r="D50" i="52"/>
  <c r="J49" i="52"/>
  <c r="I49" i="52"/>
  <c r="E49" i="52"/>
  <c r="D49" i="52"/>
  <c r="J48" i="52"/>
  <c r="I48" i="52"/>
  <c r="E48" i="52"/>
  <c r="D48" i="52"/>
  <c r="J47" i="52"/>
  <c r="I47" i="52"/>
  <c r="E47" i="52"/>
  <c r="D47" i="52"/>
  <c r="J46" i="52"/>
  <c r="I46" i="52"/>
  <c r="K46" i="52" s="1"/>
  <c r="E46" i="52"/>
  <c r="D46" i="52"/>
  <c r="J45" i="52"/>
  <c r="I45" i="52"/>
  <c r="E45" i="52"/>
  <c r="D45" i="52"/>
  <c r="L62" i="169" l="1"/>
  <c r="AM15" i="169"/>
  <c r="AA33" i="169"/>
  <c r="I70" i="170"/>
  <c r="G70" i="170"/>
  <c r="G67" i="170"/>
  <c r="I67" i="170"/>
  <c r="AC47" i="169"/>
  <c r="AD47" i="169" s="1"/>
  <c r="X43" i="169"/>
  <c r="G38" i="170"/>
  <c r="I38" i="170"/>
  <c r="AC63" i="169"/>
  <c r="AC9" i="169"/>
  <c r="AD9" i="169" s="1"/>
  <c r="AM27" i="169"/>
  <c r="K61" i="52"/>
  <c r="AA53" i="169"/>
  <c r="N54" i="169"/>
  <c r="Z10" i="169" s="1"/>
  <c r="AA10" i="169" s="1"/>
  <c r="Q38" i="169"/>
  <c r="R38" i="169" s="1"/>
  <c r="AA41" i="169"/>
  <c r="AO11" i="169"/>
  <c r="AO28" i="169" s="1"/>
  <c r="AP28" i="169" s="1"/>
  <c r="AP11" i="169"/>
  <c r="Z15" i="169"/>
  <c r="Z24" i="169" s="1"/>
  <c r="AA24" i="169" s="1"/>
  <c r="AO37" i="169"/>
  <c r="AO41" i="169" s="1"/>
  <c r="AP41" i="169" s="1"/>
  <c r="AO24" i="169"/>
  <c r="AO30" i="169" s="1"/>
  <c r="AP30" i="169" s="1"/>
  <c r="AP24" i="169"/>
  <c r="G71" i="170"/>
  <c r="I71" i="170"/>
  <c r="I66" i="170"/>
  <c r="G66" i="170"/>
  <c r="AM20" i="169"/>
  <c r="I39" i="170"/>
  <c r="G39" i="170"/>
  <c r="O39" i="171"/>
  <c r="N42" i="171"/>
  <c r="O42" i="171" s="1"/>
  <c r="X35" i="169"/>
  <c r="N49" i="52"/>
  <c r="AP33" i="169"/>
  <c r="AO33" i="169"/>
  <c r="AO39" i="169" s="1"/>
  <c r="AP39" i="169" s="1"/>
  <c r="AC55" i="169"/>
  <c r="AD55" i="169" s="1"/>
  <c r="Z19" i="169"/>
  <c r="Z26" i="169" s="1"/>
  <c r="AA26" i="169" s="1"/>
  <c r="C24" i="167"/>
  <c r="D34" i="171"/>
  <c r="O44" i="171"/>
  <c r="N46" i="171"/>
  <c r="O46" i="171" s="1"/>
  <c r="AC37" i="169"/>
  <c r="AD37" i="169" s="1"/>
  <c r="Z57" i="169"/>
  <c r="Z64" i="169" s="1"/>
  <c r="AA64" i="169" s="1"/>
  <c r="N41" i="52"/>
  <c r="N33" i="52"/>
  <c r="N25" i="52"/>
  <c r="N17" i="52"/>
  <c r="N9" i="52"/>
  <c r="N53" i="52"/>
  <c r="N45" i="52"/>
  <c r="N37" i="52"/>
  <c r="N29" i="52"/>
  <c r="N21" i="52"/>
  <c r="N13" i="52"/>
  <c r="K57" i="52"/>
  <c r="K56" i="52"/>
  <c r="K55" i="52"/>
  <c r="K54" i="52"/>
  <c r="K49" i="52"/>
  <c r="K48" i="52"/>
  <c r="K47" i="52"/>
  <c r="N36" i="162"/>
  <c r="O36" i="162" s="1"/>
  <c r="N36" i="160"/>
  <c r="O36" i="160" s="1"/>
  <c r="N36" i="161"/>
  <c r="O36" i="161" s="1"/>
  <c r="N36" i="163"/>
  <c r="O36" i="163" s="1"/>
  <c r="L33" i="159"/>
  <c r="K45" i="52"/>
  <c r="K50" i="52"/>
  <c r="K51" i="52"/>
  <c r="K52" i="52"/>
  <c r="K53" i="52"/>
  <c r="K58" i="52"/>
  <c r="K59" i="52"/>
  <c r="K60" i="52"/>
  <c r="AA57" i="169" l="1"/>
  <c r="AA15" i="169"/>
  <c r="AD25" i="169"/>
  <c r="AC25" i="169"/>
  <c r="AD8" i="169"/>
  <c r="AC13" i="169"/>
  <c r="AC17" i="169"/>
  <c r="AD17" i="169" s="1"/>
  <c r="AD36" i="169"/>
  <c r="AC43" i="169"/>
  <c r="AD54" i="169"/>
  <c r="AC59" i="169"/>
  <c r="Q60" i="169"/>
  <c r="R37" i="169"/>
  <c r="AD62" i="169"/>
  <c r="AC67" i="169"/>
  <c r="AR29" i="169"/>
  <c r="AR32" i="169" s="1"/>
  <c r="AS32" i="169" s="1"/>
  <c r="AA19" i="169"/>
  <c r="AR40" i="169"/>
  <c r="AR43" i="169" s="1"/>
  <c r="AS43" i="169" s="1"/>
  <c r="AP37" i="169"/>
  <c r="O54" i="169"/>
  <c r="AD63" i="169"/>
  <c r="AR35" i="169"/>
  <c r="AR38" i="169" s="1"/>
  <c r="AS38" i="169" s="1"/>
  <c r="AR18" i="169"/>
  <c r="AR25" i="169" s="1"/>
  <c r="AS25" i="169" s="1"/>
  <c r="AD46" i="169"/>
  <c r="AC51" i="169"/>
  <c r="Q46" i="158"/>
  <c r="Q44" i="158"/>
  <c r="Q42" i="158"/>
  <c r="N42" i="158"/>
  <c r="O42" i="158" s="1"/>
  <c r="H40" i="158"/>
  <c r="I40" i="158" s="1"/>
  <c r="Q39" i="158"/>
  <c r="H38" i="158"/>
  <c r="I38" i="158" s="1"/>
  <c r="Q36" i="158"/>
  <c r="K35" i="158"/>
  <c r="L35" i="158" s="1"/>
  <c r="Q34" i="158"/>
  <c r="K33" i="158"/>
  <c r="Q31" i="158"/>
  <c r="N31" i="158"/>
  <c r="O31" i="158" s="1"/>
  <c r="Q19" i="158"/>
  <c r="A3" i="158"/>
  <c r="A1" i="158"/>
  <c r="H77" i="157"/>
  <c r="H75" i="157"/>
  <c r="N69" i="157"/>
  <c r="O69" i="157" s="1"/>
  <c r="L68" i="157"/>
  <c r="O66" i="157"/>
  <c r="L64" i="157"/>
  <c r="K62" i="157"/>
  <c r="Q61" i="157"/>
  <c r="K60" i="157"/>
  <c r="E60" i="157"/>
  <c r="F60" i="157" s="1"/>
  <c r="Q58" i="157"/>
  <c r="N58" i="157"/>
  <c r="E58" i="157"/>
  <c r="E56" i="157"/>
  <c r="E54" i="157"/>
  <c r="Q53" i="157"/>
  <c r="E52" i="157"/>
  <c r="F52" i="157" s="1"/>
  <c r="E50" i="157"/>
  <c r="E48" i="157"/>
  <c r="F48" i="157" s="1"/>
  <c r="I47" i="157"/>
  <c r="Q46" i="157"/>
  <c r="E46" i="157"/>
  <c r="Q44" i="157"/>
  <c r="Q42" i="157"/>
  <c r="N42" i="157"/>
  <c r="H42" i="157"/>
  <c r="H40" i="157"/>
  <c r="Q39" i="157"/>
  <c r="H38" i="157"/>
  <c r="Q36" i="157"/>
  <c r="H36" i="157"/>
  <c r="K35" i="157"/>
  <c r="Q34" i="157"/>
  <c r="K33" i="157"/>
  <c r="C32" i="157"/>
  <c r="Q31" i="157"/>
  <c r="N31" i="157"/>
  <c r="C22" i="157"/>
  <c r="Q19" i="157"/>
  <c r="C16" i="157"/>
  <c r="C8" i="157"/>
  <c r="C6" i="157"/>
  <c r="M3" i="157"/>
  <c r="A3" i="157"/>
  <c r="A2" i="157"/>
  <c r="A1" i="157"/>
  <c r="AS18" i="169" l="1"/>
  <c r="AS40" i="169"/>
  <c r="AD50" i="169"/>
  <c r="AD51" i="169"/>
  <c r="AS35" i="169"/>
  <c r="AS29" i="169"/>
  <c r="AD42" i="169"/>
  <c r="AD43" i="169"/>
  <c r="AD12" i="169"/>
  <c r="AD13" i="169"/>
  <c r="R60" i="169"/>
  <c r="R59" i="169"/>
  <c r="AD66" i="169"/>
  <c r="AD67" i="169"/>
  <c r="AD58" i="169"/>
  <c r="AD59" i="169"/>
  <c r="AD24" i="169"/>
  <c r="AC29" i="169"/>
  <c r="AD16" i="169"/>
  <c r="AC21" i="169"/>
  <c r="K45" i="157"/>
  <c r="H67" i="157"/>
  <c r="I67" i="157" s="1"/>
  <c r="H69" i="157"/>
  <c r="I69" i="157" s="1"/>
  <c r="H65" i="157"/>
  <c r="I65" i="157" s="1"/>
  <c r="N36" i="158"/>
  <c r="O36" i="158" s="1"/>
  <c r="L33" i="158"/>
  <c r="N46" i="158"/>
  <c r="O46" i="158" s="1"/>
  <c r="N63" i="157"/>
  <c r="O63" i="157" s="1"/>
  <c r="N36" i="157"/>
  <c r="K43" i="157"/>
  <c r="H63" i="157"/>
  <c r="F46" i="157"/>
  <c r="F54" i="157"/>
  <c r="L60" i="157"/>
  <c r="E9" i="52"/>
  <c r="E10" i="52"/>
  <c r="E11" i="52"/>
  <c r="E12" i="52"/>
  <c r="E13" i="52"/>
  <c r="E14" i="52"/>
  <c r="E15" i="52"/>
  <c r="E16" i="52"/>
  <c r="E17" i="52"/>
  <c r="E18" i="52"/>
  <c r="E19" i="52"/>
  <c r="E20" i="52"/>
  <c r="E21" i="52"/>
  <c r="E22" i="52"/>
  <c r="E23" i="52"/>
  <c r="E24" i="52"/>
  <c r="E25" i="52"/>
  <c r="E26" i="52"/>
  <c r="E27" i="52"/>
  <c r="E28" i="52"/>
  <c r="E29" i="52"/>
  <c r="E30" i="52"/>
  <c r="E31" i="52"/>
  <c r="E32" i="52"/>
  <c r="E33" i="52"/>
  <c r="E34" i="52"/>
  <c r="E35" i="52"/>
  <c r="E36" i="52"/>
  <c r="E37" i="52"/>
  <c r="E38" i="52"/>
  <c r="E39" i="52"/>
  <c r="E40" i="52"/>
  <c r="E41" i="52"/>
  <c r="E42" i="52"/>
  <c r="E43" i="52"/>
  <c r="E44" i="52"/>
  <c r="N46" i="157" l="1"/>
  <c r="AD28" i="169"/>
  <c r="AD29" i="169"/>
  <c r="K72" i="157"/>
  <c r="L72" i="157" s="1"/>
  <c r="AD20" i="169"/>
  <c r="AD21" i="169"/>
  <c r="K70" i="157"/>
  <c r="L70" i="157" s="1"/>
  <c r="I63" i="157"/>
  <c r="N73" i="157"/>
  <c r="O73" i="157" s="1"/>
  <c r="M25" i="156"/>
  <c r="L25" i="156"/>
  <c r="K25" i="156"/>
  <c r="I25" i="156"/>
  <c r="G25" i="156"/>
  <c r="E25" i="156"/>
  <c r="B25" i="156"/>
  <c r="M20" i="156"/>
  <c r="L20" i="156"/>
  <c r="K20" i="156"/>
  <c r="I20" i="156"/>
  <c r="G20" i="156"/>
  <c r="E20" i="156"/>
  <c r="B20" i="156"/>
  <c r="M15" i="156"/>
  <c r="L15" i="156"/>
  <c r="K15" i="156"/>
  <c r="I15" i="156"/>
  <c r="G15" i="156"/>
  <c r="E15" i="156"/>
  <c r="B15" i="156"/>
  <c r="K10" i="156"/>
  <c r="I10" i="156"/>
  <c r="G10" i="156"/>
  <c r="E10" i="156"/>
  <c r="B10" i="156"/>
  <c r="L10" i="156" s="1"/>
  <c r="B5" i="156"/>
  <c r="G4" i="156"/>
  <c r="F4" i="156"/>
  <c r="G3" i="156"/>
  <c r="G5" i="156" s="1"/>
  <c r="F3" i="156"/>
  <c r="M10" i="156" l="1"/>
  <c r="L28" i="156" s="1"/>
  <c r="N25" i="156"/>
  <c r="F5" i="156"/>
  <c r="N15" i="156"/>
  <c r="N20" i="156"/>
  <c r="M27" i="156"/>
  <c r="M3" i="156"/>
  <c r="M5" i="156" s="1"/>
  <c r="L3" i="156"/>
  <c r="L27" i="156"/>
  <c r="N27" i="156" l="1"/>
  <c r="N10" i="156"/>
  <c r="M28" i="156"/>
  <c r="N28" i="156" s="1"/>
  <c r="L5" i="156"/>
  <c r="N5" i="156" s="1"/>
  <c r="N3" i="156"/>
  <c r="AH67" i="137" l="1"/>
  <c r="AH69" i="137"/>
  <c r="AH71" i="137"/>
  <c r="AH73" i="137"/>
  <c r="AH75" i="137"/>
  <c r="AH77" i="137"/>
  <c r="AH79" i="137"/>
  <c r="AH81" i="137"/>
  <c r="AH33" i="136"/>
  <c r="AH35" i="136"/>
  <c r="AH37" i="136"/>
  <c r="AH39" i="136"/>
  <c r="AH41" i="136"/>
  <c r="AH37" i="107"/>
  <c r="AH39" i="107"/>
  <c r="AH41" i="107"/>
  <c r="AP26" i="147" l="1"/>
  <c r="AN26" i="147"/>
  <c r="AP26" i="146"/>
  <c r="AN26" i="146"/>
  <c r="AP26" i="140"/>
  <c r="AN26" i="140"/>
  <c r="AP26" i="86"/>
  <c r="AN26" i="86"/>
  <c r="AK69" i="154" l="1"/>
  <c r="D69" i="154"/>
  <c r="C69" i="154"/>
  <c r="C68" i="154"/>
  <c r="AK67" i="154"/>
  <c r="D67" i="154"/>
  <c r="C67" i="154"/>
  <c r="D65" i="154"/>
  <c r="C65" i="154"/>
  <c r="D63" i="154"/>
  <c r="C63" i="154"/>
  <c r="D61" i="154"/>
  <c r="C61" i="154"/>
  <c r="D59" i="154"/>
  <c r="C59" i="154"/>
  <c r="D57" i="154"/>
  <c r="C57" i="154"/>
  <c r="D55" i="154"/>
  <c r="C55" i="154"/>
  <c r="D53" i="154"/>
  <c r="C53" i="154"/>
  <c r="D51" i="154"/>
  <c r="C51" i="154"/>
  <c r="D49" i="154"/>
  <c r="C49" i="154"/>
  <c r="D47" i="154"/>
  <c r="C47" i="154"/>
  <c r="AJ46" i="154"/>
  <c r="D45" i="154"/>
  <c r="C45" i="154"/>
  <c r="D43" i="154"/>
  <c r="C43" i="154"/>
  <c r="D41" i="154"/>
  <c r="C41" i="154"/>
  <c r="D39" i="154"/>
  <c r="C39" i="154"/>
  <c r="D37" i="154"/>
  <c r="C37" i="154"/>
  <c r="D35" i="154"/>
  <c r="C35" i="154"/>
  <c r="D33" i="154"/>
  <c r="C33" i="154"/>
  <c r="D31" i="154"/>
  <c r="C31" i="154"/>
  <c r="D29" i="154"/>
  <c r="C29" i="154"/>
  <c r="D27" i="154"/>
  <c r="C27" i="154"/>
  <c r="D25" i="154"/>
  <c r="C25" i="154"/>
  <c r="D23" i="154"/>
  <c r="C23" i="154"/>
  <c r="D21" i="154"/>
  <c r="C21" i="154"/>
  <c r="AD20" i="154"/>
  <c r="D19" i="154"/>
  <c r="C19" i="154"/>
  <c r="D17" i="154"/>
  <c r="C17" i="154"/>
  <c r="D15" i="154"/>
  <c r="C15" i="154"/>
  <c r="D13" i="154"/>
  <c r="C13" i="154"/>
  <c r="D11" i="154"/>
  <c r="C11" i="154"/>
  <c r="D9" i="154"/>
  <c r="C9" i="154"/>
  <c r="D7" i="154"/>
  <c r="C7" i="154"/>
  <c r="I4" i="154"/>
  <c r="R2" i="154"/>
  <c r="D2" i="154"/>
  <c r="C2" i="154"/>
  <c r="A1" i="154"/>
  <c r="AS68" i="154"/>
  <c r="AR69" i="154"/>
  <c r="AS69" i="154" s="1"/>
  <c r="AS65" i="154"/>
  <c r="AD65" i="154"/>
  <c r="AF27" i="154"/>
  <c r="AG27" i="154" s="1"/>
  <c r="AR64" i="154"/>
  <c r="AC67" i="154"/>
  <c r="AD67" i="154" s="1"/>
  <c r="AO67" i="154"/>
  <c r="AP67" i="154" s="1"/>
  <c r="W20" i="154"/>
  <c r="AS62" i="154"/>
  <c r="AR63" i="154"/>
  <c r="AS63" i="154" s="1"/>
  <c r="AD61" i="154"/>
  <c r="AF26" i="154"/>
  <c r="AG26" i="154" s="1"/>
  <c r="AC60" i="154"/>
  <c r="AS59" i="154"/>
  <c r="AO65" i="154"/>
  <c r="AP65" i="154" s="1"/>
  <c r="AD57" i="154"/>
  <c r="R57" i="154"/>
  <c r="AS56" i="154"/>
  <c r="AR57" i="154"/>
  <c r="Z10" i="154"/>
  <c r="Z62" i="154"/>
  <c r="AA62" i="154" s="1"/>
  <c r="AS53" i="154"/>
  <c r="AL63" i="154"/>
  <c r="AM63" i="154" s="1"/>
  <c r="AD53" i="154"/>
  <c r="AF23" i="154"/>
  <c r="AG23" i="154" s="1"/>
  <c r="AS51" i="154"/>
  <c r="T40" i="154"/>
  <c r="AL61" i="154"/>
  <c r="AM61" i="154" s="1"/>
  <c r="AD49" i="154"/>
  <c r="AF21" i="154"/>
  <c r="AG21" i="154" s="1"/>
  <c r="AS52" i="154"/>
  <c r="AC51" i="154"/>
  <c r="AL59" i="154"/>
  <c r="AM59" i="154" s="1"/>
  <c r="AS46" i="154"/>
  <c r="AO53" i="154"/>
  <c r="AD45" i="154"/>
  <c r="AF20" i="154"/>
  <c r="AG20" i="154" s="1"/>
  <c r="AL57" i="154"/>
  <c r="AM57" i="154" s="1"/>
  <c r="T44" i="154"/>
  <c r="AS42" i="154"/>
  <c r="T42" i="154"/>
  <c r="AR43" i="154"/>
  <c r="AS43" i="154" s="1"/>
  <c r="AD41" i="154"/>
  <c r="W56" i="154"/>
  <c r="AS39" i="154"/>
  <c r="AO41" i="154"/>
  <c r="AP41" i="154" s="1"/>
  <c r="AC43" i="154"/>
  <c r="T38" i="154"/>
  <c r="AS37" i="154"/>
  <c r="AF17" i="154"/>
  <c r="AG17" i="154" s="1"/>
  <c r="AD35" i="154"/>
  <c r="R35" i="154"/>
  <c r="AS34" i="154"/>
  <c r="AO39" i="154"/>
  <c r="AP39" i="154" s="1"/>
  <c r="AF15" i="154"/>
  <c r="AG15" i="154" s="1"/>
  <c r="W52" i="154"/>
  <c r="X52" i="154" s="1"/>
  <c r="AS31" i="154"/>
  <c r="W16" i="154"/>
  <c r="AR32" i="154"/>
  <c r="AS32" i="154" s="1"/>
  <c r="AI53" i="154"/>
  <c r="AJ53" i="154" s="1"/>
  <c r="AF29" i="154"/>
  <c r="AG29" i="154" s="1"/>
  <c r="AF14" i="154"/>
  <c r="AG14" i="154" s="1"/>
  <c r="AS28" i="154"/>
  <c r="AL38" i="154"/>
  <c r="AM38" i="154" s="1"/>
  <c r="AD27" i="154"/>
  <c r="T34" i="154"/>
  <c r="AI51" i="154"/>
  <c r="AJ51" i="154" s="1"/>
  <c r="AO30" i="154"/>
  <c r="AP30" i="154" s="1"/>
  <c r="AS24" i="154"/>
  <c r="AF24" i="154"/>
  <c r="AG24" i="154" s="1"/>
  <c r="AI50" i="154"/>
  <c r="AJ50" i="154" s="1"/>
  <c r="AD23" i="154"/>
  <c r="Z8" i="154"/>
  <c r="AC22" i="154"/>
  <c r="AL36" i="154"/>
  <c r="AM36" i="154" s="1"/>
  <c r="AI48" i="154"/>
  <c r="AJ48" i="154" s="1"/>
  <c r="Z26" i="154"/>
  <c r="AA26" i="154" s="1"/>
  <c r="AR25" i="154"/>
  <c r="AS25" i="154" s="1"/>
  <c r="AD19" i="154"/>
  <c r="AF18" i="154"/>
  <c r="AG18" i="154" s="1"/>
  <c r="W18" i="154"/>
  <c r="X18" i="154" s="1"/>
  <c r="AS17" i="154"/>
  <c r="AI47" i="154"/>
  <c r="AJ47" i="154" s="1"/>
  <c r="AL34" i="154"/>
  <c r="AM34" i="154" s="1"/>
  <c r="AD15" i="154"/>
  <c r="AI45" i="154"/>
  <c r="AJ45" i="154" s="1"/>
  <c r="AF8" i="154"/>
  <c r="AG8" i="154" s="1"/>
  <c r="AO28" i="154"/>
  <c r="AP28" i="154" s="1"/>
  <c r="AF12" i="154"/>
  <c r="AG12" i="154" s="1"/>
  <c r="AI44" i="154"/>
  <c r="AJ44" i="154" s="1"/>
  <c r="AF11" i="154"/>
  <c r="AG11" i="154" s="1"/>
  <c r="AD11" i="154"/>
  <c r="AF9" i="154"/>
  <c r="AG9" i="154" s="1"/>
  <c r="AF6" i="154"/>
  <c r="AI42" i="154"/>
  <c r="AJ42" i="154" s="1"/>
  <c r="AD7" i="154"/>
  <c r="AE4" i="154"/>
  <c r="S4" i="154"/>
  <c r="S2" i="154"/>
  <c r="AE1" i="154"/>
  <c r="U42" i="154" l="1"/>
  <c r="U38" i="154"/>
  <c r="U40" i="154"/>
  <c r="U44" i="154"/>
  <c r="AG6" i="154"/>
  <c r="Z24" i="154"/>
  <c r="AA24" i="154" s="1"/>
  <c r="AA8" i="154"/>
  <c r="X16" i="154"/>
  <c r="X20" i="154"/>
  <c r="AC13" i="154"/>
  <c r="AD13" i="154" s="1"/>
  <c r="W14" i="154"/>
  <c r="X14" i="154" s="1"/>
  <c r="AC29" i="154"/>
  <c r="AD29" i="154" s="1"/>
  <c r="AA10" i="154"/>
  <c r="AR38" i="154"/>
  <c r="AS38" i="154" s="1"/>
  <c r="AR52" i="154"/>
  <c r="U34" i="154"/>
  <c r="R40" i="154"/>
  <c r="AD51" i="154"/>
  <c r="X56" i="154"/>
  <c r="T36" i="154"/>
  <c r="U36" i="154" s="1"/>
  <c r="AD43" i="154"/>
  <c r="AP53" i="154"/>
  <c r="AS57" i="154"/>
  <c r="S1" i="154"/>
  <c r="AE2" i="154"/>
  <c r="AC21" i="154"/>
  <c r="AD21" i="154" s="1"/>
  <c r="AL32" i="154"/>
  <c r="AM32" i="154" s="1"/>
  <c r="T30" i="154"/>
  <c r="U30" i="154" s="1"/>
  <c r="T32" i="154"/>
  <c r="U32" i="154" s="1"/>
  <c r="Z46" i="154"/>
  <c r="AA46" i="154" s="1"/>
  <c r="Z48" i="154"/>
  <c r="AA48" i="154" s="1"/>
  <c r="W54" i="154"/>
  <c r="X54" i="154" s="1"/>
  <c r="AO55" i="154"/>
  <c r="AP55" i="154" s="1"/>
  <c r="W58" i="154"/>
  <c r="X58" i="154" s="1"/>
  <c r="AC59" i="154"/>
  <c r="AD59" i="154" s="1"/>
  <c r="Q60" i="154"/>
  <c r="R61" i="154" s="1"/>
  <c r="Z64" i="154"/>
  <c r="AA64" i="154" s="1"/>
  <c r="F1" i="153"/>
  <c r="B1" i="153"/>
  <c r="W25" i="153"/>
  <c r="H25" i="153"/>
  <c r="W17" i="153"/>
  <c r="H17" i="153"/>
  <c r="W9" i="153"/>
  <c r="H9" i="153"/>
  <c r="W1" i="153"/>
  <c r="Q25" i="153"/>
  <c r="F1" i="152"/>
  <c r="B1" i="152"/>
  <c r="Q25" i="152" s="1"/>
  <c r="W25" i="152"/>
  <c r="H25" i="152"/>
  <c r="W17" i="152"/>
  <c r="H17" i="152"/>
  <c r="W9" i="152"/>
  <c r="H9" i="152"/>
  <c r="W1" i="152"/>
  <c r="F1" i="151"/>
  <c r="B1" i="151"/>
  <c r="Q25" i="151" s="1"/>
  <c r="W25" i="151"/>
  <c r="H25" i="151"/>
  <c r="W17" i="151"/>
  <c r="H17" i="151"/>
  <c r="W9" i="151"/>
  <c r="H9" i="151"/>
  <c r="W1" i="151"/>
  <c r="R60" i="154" l="1"/>
  <c r="K1" i="153"/>
  <c r="U25" i="153"/>
  <c r="U1" i="153"/>
  <c r="Z25" i="153"/>
  <c r="Q1" i="153"/>
  <c r="B9" i="153"/>
  <c r="B17" i="153" s="1"/>
  <c r="B25" i="153" s="1"/>
  <c r="Q9" i="153"/>
  <c r="Q17" i="153"/>
  <c r="F9" i="153"/>
  <c r="U9" i="153"/>
  <c r="F17" i="153"/>
  <c r="U17" i="153"/>
  <c r="F25" i="153"/>
  <c r="K1" i="152"/>
  <c r="U25" i="152"/>
  <c r="U1" i="152"/>
  <c r="Z1" i="152" s="1"/>
  <c r="F9" i="152"/>
  <c r="U9" i="152"/>
  <c r="Z25" i="152"/>
  <c r="Q1" i="152"/>
  <c r="B9" i="152"/>
  <c r="B17" i="152" s="1"/>
  <c r="B25" i="152" s="1"/>
  <c r="Q9" i="152"/>
  <c r="Q17" i="152"/>
  <c r="Z9" i="152"/>
  <c r="F17" i="152"/>
  <c r="U17" i="152"/>
  <c r="F25" i="152"/>
  <c r="K1" i="151"/>
  <c r="U25" i="151"/>
  <c r="Z25" i="151" s="1"/>
  <c r="U1" i="151"/>
  <c r="Z1" i="151" s="1"/>
  <c r="Q1" i="151"/>
  <c r="B9" i="151"/>
  <c r="B17" i="151" s="1"/>
  <c r="B25" i="151" s="1"/>
  <c r="Q9" i="151"/>
  <c r="Q17" i="151"/>
  <c r="F9" i="151"/>
  <c r="U9" i="151"/>
  <c r="F17" i="151"/>
  <c r="U17" i="151"/>
  <c r="F25" i="151"/>
  <c r="K25" i="153" l="1"/>
  <c r="K17" i="153"/>
  <c r="K9" i="153"/>
  <c r="Z1" i="153"/>
  <c r="Z17" i="153"/>
  <c r="Z9" i="153"/>
  <c r="K9" i="152"/>
  <c r="K25" i="152"/>
  <c r="K17" i="152"/>
  <c r="Z17" i="152"/>
  <c r="K25" i="151"/>
  <c r="K17" i="151"/>
  <c r="K9" i="151"/>
  <c r="Z17" i="151"/>
  <c r="Z9" i="151"/>
  <c r="G68" i="150"/>
  <c r="E68" i="150"/>
  <c r="G67" i="150"/>
  <c r="E67" i="150"/>
  <c r="G66" i="150"/>
  <c r="E66" i="150"/>
  <c r="G65" i="150"/>
  <c r="E65" i="150"/>
  <c r="G64" i="150"/>
  <c r="E64" i="150"/>
  <c r="G63" i="150"/>
  <c r="E63" i="150"/>
  <c r="G62" i="150"/>
  <c r="E62" i="150"/>
  <c r="G61" i="150"/>
  <c r="E61" i="150"/>
  <c r="O60" i="150"/>
  <c r="M60" i="150"/>
  <c r="G60" i="150"/>
  <c r="E60" i="150"/>
  <c r="O59" i="150"/>
  <c r="M59" i="150"/>
  <c r="G59" i="150"/>
  <c r="E59" i="150"/>
  <c r="O58" i="150"/>
  <c r="M58" i="150"/>
  <c r="G58" i="150"/>
  <c r="E58" i="150"/>
  <c r="O57" i="150"/>
  <c r="M57" i="150"/>
  <c r="G57" i="150"/>
  <c r="E57" i="150"/>
  <c r="O56" i="150"/>
  <c r="M56" i="150"/>
  <c r="G56" i="150"/>
  <c r="E56" i="150"/>
  <c r="O55" i="150"/>
  <c r="M55" i="150"/>
  <c r="G55" i="150"/>
  <c r="E55" i="150"/>
  <c r="O54" i="150"/>
  <c r="M54" i="150"/>
  <c r="G54" i="150"/>
  <c r="E54" i="150"/>
  <c r="O53" i="150"/>
  <c r="M53" i="150"/>
  <c r="G53" i="150"/>
  <c r="E53" i="150"/>
  <c r="O52" i="150"/>
  <c r="M52" i="150"/>
  <c r="G52" i="150"/>
  <c r="E52" i="150"/>
  <c r="O51" i="150"/>
  <c r="M51" i="150"/>
  <c r="G51" i="150"/>
  <c r="E51" i="150"/>
  <c r="O50" i="150"/>
  <c r="M50" i="150"/>
  <c r="G50" i="150"/>
  <c r="E50" i="150"/>
  <c r="O49" i="150"/>
  <c r="M49" i="150"/>
  <c r="G49" i="150"/>
  <c r="E49" i="150"/>
  <c r="O48" i="150"/>
  <c r="M48" i="150"/>
  <c r="G48" i="150"/>
  <c r="E48" i="150"/>
  <c r="O47" i="150"/>
  <c r="M47" i="150"/>
  <c r="G47" i="150"/>
  <c r="E47" i="150"/>
  <c r="O46" i="150"/>
  <c r="M46" i="150"/>
  <c r="G46" i="150"/>
  <c r="E46" i="150"/>
  <c r="O45" i="150"/>
  <c r="M45" i="150"/>
  <c r="G45" i="150"/>
  <c r="E45" i="150"/>
  <c r="O44" i="150"/>
  <c r="M44" i="150"/>
  <c r="G44" i="150"/>
  <c r="E44" i="150"/>
  <c r="O43" i="150"/>
  <c r="M43" i="150"/>
  <c r="G43" i="150"/>
  <c r="E43" i="150"/>
  <c r="O42" i="150"/>
  <c r="M42" i="150"/>
  <c r="G42" i="150"/>
  <c r="E42" i="150"/>
  <c r="O41" i="150"/>
  <c r="M41" i="150"/>
  <c r="G41" i="150"/>
  <c r="E41" i="150"/>
  <c r="O40" i="150"/>
  <c r="M40" i="150"/>
  <c r="G40" i="150"/>
  <c r="E40" i="150"/>
  <c r="O39" i="150"/>
  <c r="M39" i="150"/>
  <c r="G39" i="150"/>
  <c r="E39" i="150"/>
  <c r="O38" i="150"/>
  <c r="M38" i="150"/>
  <c r="G38" i="150"/>
  <c r="E38" i="150"/>
  <c r="O37" i="150"/>
  <c r="M37" i="150"/>
  <c r="G37" i="150"/>
  <c r="E37" i="150"/>
  <c r="O36" i="150"/>
  <c r="M36" i="150"/>
  <c r="G36" i="150"/>
  <c r="E36" i="150"/>
  <c r="O35" i="150"/>
  <c r="M35" i="150"/>
  <c r="G35" i="150"/>
  <c r="E35" i="150"/>
  <c r="O34" i="150"/>
  <c r="M34" i="150"/>
  <c r="G34" i="150"/>
  <c r="E34" i="150"/>
  <c r="O33" i="150"/>
  <c r="M33" i="150"/>
  <c r="G33" i="150"/>
  <c r="E33" i="150"/>
  <c r="O32" i="150"/>
  <c r="M32" i="150"/>
  <c r="G32" i="150"/>
  <c r="E32" i="150"/>
  <c r="O31" i="150"/>
  <c r="M31" i="150"/>
  <c r="G31" i="150"/>
  <c r="E31" i="150"/>
  <c r="O30" i="150"/>
  <c r="M30" i="150"/>
  <c r="G30" i="150"/>
  <c r="E30" i="150"/>
  <c r="O29" i="150"/>
  <c r="M29" i="150"/>
  <c r="G29" i="150"/>
  <c r="E29" i="150"/>
  <c r="O28" i="150"/>
  <c r="M28" i="150"/>
  <c r="G28" i="150"/>
  <c r="E28" i="150"/>
  <c r="O27" i="150"/>
  <c r="M27" i="150"/>
  <c r="G27" i="150"/>
  <c r="E27" i="150"/>
  <c r="O26" i="150"/>
  <c r="M26" i="150"/>
  <c r="G26" i="150"/>
  <c r="E26" i="150"/>
  <c r="O25" i="150"/>
  <c r="M25" i="150"/>
  <c r="G25" i="150"/>
  <c r="E25" i="150"/>
  <c r="O24" i="150"/>
  <c r="M24" i="150"/>
  <c r="G24" i="150"/>
  <c r="E24" i="150"/>
  <c r="O23" i="150"/>
  <c r="M23" i="150"/>
  <c r="G23" i="150"/>
  <c r="E23" i="150"/>
  <c r="O22" i="150"/>
  <c r="M22" i="150"/>
  <c r="G22" i="150"/>
  <c r="E22" i="150"/>
  <c r="O21" i="150"/>
  <c r="M21" i="150"/>
  <c r="G21" i="150"/>
  <c r="E21" i="150"/>
  <c r="O20" i="150"/>
  <c r="M20" i="150"/>
  <c r="G20" i="150"/>
  <c r="E20" i="150"/>
  <c r="O19" i="150"/>
  <c r="M19" i="150"/>
  <c r="G19" i="150"/>
  <c r="E19" i="150"/>
  <c r="O18" i="150"/>
  <c r="M18" i="150"/>
  <c r="G18" i="150"/>
  <c r="E18" i="150"/>
  <c r="O17" i="150"/>
  <c r="M17" i="150"/>
  <c r="G17" i="150"/>
  <c r="E17" i="150"/>
  <c r="O16" i="150"/>
  <c r="M16" i="150"/>
  <c r="G16" i="150"/>
  <c r="E16" i="150"/>
  <c r="O15" i="150"/>
  <c r="M15" i="150"/>
  <c r="G15" i="150"/>
  <c r="E15" i="150"/>
  <c r="O14" i="150"/>
  <c r="M14" i="150"/>
  <c r="G14" i="150"/>
  <c r="E14" i="150"/>
  <c r="O13" i="150"/>
  <c r="M13" i="150"/>
  <c r="G13" i="150"/>
  <c r="E13" i="150"/>
  <c r="O12" i="150"/>
  <c r="M12" i="150"/>
  <c r="G12" i="150"/>
  <c r="E12" i="150"/>
  <c r="O11" i="150"/>
  <c r="M11" i="150"/>
  <c r="G11" i="150"/>
  <c r="E11" i="150"/>
  <c r="O10" i="150"/>
  <c r="M10" i="150"/>
  <c r="G10" i="150"/>
  <c r="E10" i="150"/>
  <c r="O9" i="150"/>
  <c r="M9" i="150"/>
  <c r="G9" i="150"/>
  <c r="E9" i="150"/>
  <c r="O8" i="150"/>
  <c r="M8" i="150"/>
  <c r="G8" i="150"/>
  <c r="E8" i="150"/>
  <c r="O7" i="150"/>
  <c r="M7" i="150"/>
  <c r="G7" i="150"/>
  <c r="E7" i="150"/>
  <c r="O6" i="150"/>
  <c r="M6" i="150"/>
  <c r="G6" i="150"/>
  <c r="E6" i="150"/>
  <c r="O5" i="150"/>
  <c r="M5" i="150"/>
  <c r="G5" i="150"/>
  <c r="E5" i="150"/>
  <c r="H68" i="150"/>
  <c r="F68" i="150"/>
  <c r="H67" i="150"/>
  <c r="F67" i="150"/>
  <c r="H66" i="150"/>
  <c r="F66" i="150"/>
  <c r="H65" i="150"/>
  <c r="F65" i="150"/>
  <c r="H64" i="150"/>
  <c r="F64" i="150"/>
  <c r="H63" i="150"/>
  <c r="F63" i="150"/>
  <c r="H62" i="150"/>
  <c r="F62" i="150"/>
  <c r="H61" i="150"/>
  <c r="F61" i="150"/>
  <c r="P60" i="150"/>
  <c r="N60" i="150"/>
  <c r="H60" i="150"/>
  <c r="F60" i="150"/>
  <c r="P59" i="150"/>
  <c r="N59" i="150"/>
  <c r="H59" i="150"/>
  <c r="F59" i="150"/>
  <c r="P58" i="150"/>
  <c r="N58" i="150"/>
  <c r="H58" i="150"/>
  <c r="F58" i="150"/>
  <c r="P57" i="150"/>
  <c r="N57" i="150"/>
  <c r="H57" i="150"/>
  <c r="F57" i="150"/>
  <c r="P56" i="150"/>
  <c r="N56" i="150"/>
  <c r="H56" i="150"/>
  <c r="F56" i="150"/>
  <c r="P55" i="150"/>
  <c r="N55" i="150"/>
  <c r="H55" i="150"/>
  <c r="F55" i="150"/>
  <c r="P54" i="150"/>
  <c r="N54" i="150"/>
  <c r="H54" i="150"/>
  <c r="F54" i="150"/>
  <c r="P53" i="150"/>
  <c r="N53" i="150"/>
  <c r="H53" i="150"/>
  <c r="F53" i="150"/>
  <c r="P52" i="150"/>
  <c r="N52" i="150"/>
  <c r="H52" i="150"/>
  <c r="F52" i="150"/>
  <c r="P51" i="150"/>
  <c r="N51" i="150"/>
  <c r="H51" i="150"/>
  <c r="F51" i="150"/>
  <c r="P50" i="150"/>
  <c r="N50" i="150"/>
  <c r="H50" i="150"/>
  <c r="F50" i="150"/>
  <c r="P49" i="150"/>
  <c r="N49" i="150"/>
  <c r="H49" i="150"/>
  <c r="F49" i="150"/>
  <c r="P48" i="150"/>
  <c r="N48" i="150"/>
  <c r="H48" i="150"/>
  <c r="F48" i="150"/>
  <c r="P47" i="150"/>
  <c r="N47" i="150"/>
  <c r="H47" i="150"/>
  <c r="F47" i="150"/>
  <c r="P46" i="150"/>
  <c r="N46" i="150"/>
  <c r="H46" i="150"/>
  <c r="F46" i="150"/>
  <c r="P45" i="150"/>
  <c r="N45" i="150"/>
  <c r="H45" i="150"/>
  <c r="F45" i="150"/>
  <c r="P44" i="150"/>
  <c r="N44" i="150"/>
  <c r="H44" i="150"/>
  <c r="F44" i="150"/>
  <c r="P43" i="150"/>
  <c r="N43" i="150"/>
  <c r="H43" i="150"/>
  <c r="F43" i="150"/>
  <c r="P42" i="150"/>
  <c r="N42" i="150"/>
  <c r="H42" i="150"/>
  <c r="F42" i="150"/>
  <c r="P41" i="150"/>
  <c r="N41" i="150"/>
  <c r="H41" i="150"/>
  <c r="F41" i="150"/>
  <c r="P40" i="150"/>
  <c r="N40" i="150"/>
  <c r="H40" i="150"/>
  <c r="F40" i="150"/>
  <c r="P39" i="150"/>
  <c r="N39" i="150"/>
  <c r="H39" i="150"/>
  <c r="F39" i="150"/>
  <c r="P38" i="150"/>
  <c r="N38" i="150"/>
  <c r="H38" i="150"/>
  <c r="F38" i="150"/>
  <c r="P37" i="150"/>
  <c r="N37" i="150"/>
  <c r="H37" i="150"/>
  <c r="F37" i="150"/>
  <c r="P36" i="150"/>
  <c r="N36" i="150"/>
  <c r="H36" i="150"/>
  <c r="F36" i="150"/>
  <c r="P35" i="150"/>
  <c r="N35" i="150"/>
  <c r="H35" i="150"/>
  <c r="F35" i="150"/>
  <c r="P34" i="150"/>
  <c r="N34" i="150"/>
  <c r="H34" i="150"/>
  <c r="F34" i="150"/>
  <c r="P33" i="150"/>
  <c r="N33" i="150"/>
  <c r="H33" i="150"/>
  <c r="F33" i="150"/>
  <c r="P32" i="150"/>
  <c r="N32" i="150"/>
  <c r="H32" i="150"/>
  <c r="F32" i="150"/>
  <c r="P31" i="150"/>
  <c r="N31" i="150"/>
  <c r="H31" i="150"/>
  <c r="F31" i="150"/>
  <c r="P30" i="150"/>
  <c r="N30" i="150"/>
  <c r="H30" i="150"/>
  <c r="F30" i="150"/>
  <c r="P29" i="150"/>
  <c r="N29" i="150"/>
  <c r="H29" i="150"/>
  <c r="F29" i="150"/>
  <c r="P28" i="150"/>
  <c r="N28" i="150"/>
  <c r="H28" i="150"/>
  <c r="F28" i="150"/>
  <c r="P27" i="150"/>
  <c r="N27" i="150"/>
  <c r="H27" i="150"/>
  <c r="F27" i="150"/>
  <c r="P26" i="150"/>
  <c r="N26" i="150"/>
  <c r="H26" i="150"/>
  <c r="F26" i="150"/>
  <c r="P25" i="150"/>
  <c r="N25" i="150"/>
  <c r="H25" i="150"/>
  <c r="F25" i="150"/>
  <c r="P24" i="150"/>
  <c r="N24" i="150"/>
  <c r="H24" i="150"/>
  <c r="F24" i="150"/>
  <c r="P23" i="150"/>
  <c r="N23" i="150"/>
  <c r="H23" i="150"/>
  <c r="F23" i="150"/>
  <c r="P22" i="150"/>
  <c r="N22" i="150"/>
  <c r="H22" i="150"/>
  <c r="F22" i="150"/>
  <c r="P21" i="150"/>
  <c r="N21" i="150"/>
  <c r="H21" i="150"/>
  <c r="F21" i="150"/>
  <c r="P20" i="150"/>
  <c r="N20" i="150"/>
  <c r="H20" i="150"/>
  <c r="F20" i="150"/>
  <c r="P19" i="150"/>
  <c r="N19" i="150"/>
  <c r="H19" i="150"/>
  <c r="F19" i="150"/>
  <c r="P18" i="150"/>
  <c r="N18" i="150"/>
  <c r="H18" i="150"/>
  <c r="F18" i="150"/>
  <c r="P17" i="150"/>
  <c r="N17" i="150"/>
  <c r="H17" i="150"/>
  <c r="F17" i="150"/>
  <c r="P16" i="150"/>
  <c r="N16" i="150"/>
  <c r="H16" i="150"/>
  <c r="F16" i="150"/>
  <c r="P15" i="150"/>
  <c r="N15" i="150"/>
  <c r="H15" i="150"/>
  <c r="F15" i="150"/>
  <c r="P14" i="150"/>
  <c r="N14" i="150"/>
  <c r="H14" i="150"/>
  <c r="F14" i="150"/>
  <c r="P13" i="150"/>
  <c r="N13" i="150"/>
  <c r="H13" i="150"/>
  <c r="F13" i="150"/>
  <c r="P12" i="150"/>
  <c r="N12" i="150"/>
  <c r="H12" i="150"/>
  <c r="F12" i="150"/>
  <c r="P11" i="150"/>
  <c r="N11" i="150"/>
  <c r="H11" i="150"/>
  <c r="F11" i="150"/>
  <c r="P10" i="150"/>
  <c r="N10" i="150"/>
  <c r="H10" i="150"/>
  <c r="F10" i="150"/>
  <c r="P9" i="150"/>
  <c r="N9" i="150"/>
  <c r="H9" i="150"/>
  <c r="F9" i="150"/>
  <c r="P8" i="150"/>
  <c r="N8" i="150"/>
  <c r="H8" i="150"/>
  <c r="F8" i="150"/>
  <c r="P7" i="150"/>
  <c r="N7" i="150"/>
  <c r="H7" i="150"/>
  <c r="F7" i="150"/>
  <c r="P6" i="150"/>
  <c r="N6" i="150"/>
  <c r="H6" i="150"/>
  <c r="F6" i="150"/>
  <c r="P5" i="150"/>
  <c r="N5" i="150"/>
  <c r="H5" i="150"/>
  <c r="F5" i="150"/>
  <c r="P2" i="150"/>
  <c r="I2" i="150"/>
  <c r="A29" i="153" s="1"/>
  <c r="A2" i="150"/>
  <c r="A1" i="150"/>
  <c r="G68" i="149"/>
  <c r="E68" i="149"/>
  <c r="G67" i="149"/>
  <c r="E67" i="149"/>
  <c r="G66" i="149"/>
  <c r="E66" i="149"/>
  <c r="G65" i="149"/>
  <c r="E65" i="149"/>
  <c r="G64" i="149"/>
  <c r="E64" i="149"/>
  <c r="G63" i="149"/>
  <c r="E63" i="149"/>
  <c r="G62" i="149"/>
  <c r="E62" i="149"/>
  <c r="G61" i="149"/>
  <c r="E61" i="149"/>
  <c r="O60" i="149"/>
  <c r="M60" i="149"/>
  <c r="G60" i="149"/>
  <c r="E60" i="149"/>
  <c r="O59" i="149"/>
  <c r="M59" i="149"/>
  <c r="G59" i="149"/>
  <c r="E59" i="149"/>
  <c r="O58" i="149"/>
  <c r="M58" i="149"/>
  <c r="G58" i="149"/>
  <c r="E58" i="149"/>
  <c r="O57" i="149"/>
  <c r="M57" i="149"/>
  <c r="G57" i="149"/>
  <c r="E57" i="149"/>
  <c r="O56" i="149"/>
  <c r="M56" i="149"/>
  <c r="G56" i="149"/>
  <c r="E56" i="149"/>
  <c r="O55" i="149"/>
  <c r="M55" i="149"/>
  <c r="G55" i="149"/>
  <c r="E55" i="149"/>
  <c r="O54" i="149"/>
  <c r="M54" i="149"/>
  <c r="G54" i="149"/>
  <c r="E54" i="149"/>
  <c r="O53" i="149"/>
  <c r="M53" i="149"/>
  <c r="G53" i="149"/>
  <c r="E53" i="149"/>
  <c r="O52" i="149"/>
  <c r="M52" i="149"/>
  <c r="G52" i="149"/>
  <c r="E52" i="149"/>
  <c r="O51" i="149"/>
  <c r="M51" i="149"/>
  <c r="G51" i="149"/>
  <c r="E51" i="149"/>
  <c r="O50" i="149"/>
  <c r="M50" i="149"/>
  <c r="G50" i="149"/>
  <c r="E50" i="149"/>
  <c r="O49" i="149"/>
  <c r="M49" i="149"/>
  <c r="G49" i="149"/>
  <c r="E49" i="149"/>
  <c r="O48" i="149"/>
  <c r="M48" i="149"/>
  <c r="G48" i="149"/>
  <c r="H48" i="149" s="1"/>
  <c r="E48" i="149"/>
  <c r="F48" i="149" s="1"/>
  <c r="O47" i="149"/>
  <c r="M47" i="149"/>
  <c r="N47" i="149" s="1"/>
  <c r="G47" i="149"/>
  <c r="E47" i="149"/>
  <c r="F47" i="149" s="1"/>
  <c r="O46" i="149"/>
  <c r="M46" i="149"/>
  <c r="N46" i="149" s="1"/>
  <c r="G46" i="149"/>
  <c r="E46" i="149"/>
  <c r="F46" i="149" s="1"/>
  <c r="O45" i="149"/>
  <c r="M45" i="149"/>
  <c r="N45" i="149" s="1"/>
  <c r="G45" i="149"/>
  <c r="E45" i="149"/>
  <c r="F45" i="149" s="1"/>
  <c r="O44" i="149"/>
  <c r="M44" i="149"/>
  <c r="N44" i="149" s="1"/>
  <c r="G44" i="149"/>
  <c r="E44" i="149"/>
  <c r="F44" i="149" s="1"/>
  <c r="O43" i="149"/>
  <c r="M43" i="149"/>
  <c r="N43" i="149" s="1"/>
  <c r="G43" i="149"/>
  <c r="E43" i="149"/>
  <c r="F43" i="149" s="1"/>
  <c r="O42" i="149"/>
  <c r="M42" i="149"/>
  <c r="N42" i="149" s="1"/>
  <c r="G42" i="149"/>
  <c r="E42" i="149"/>
  <c r="F42" i="149" s="1"/>
  <c r="O41" i="149"/>
  <c r="M41" i="149"/>
  <c r="N41" i="149" s="1"/>
  <c r="G41" i="149"/>
  <c r="E41" i="149"/>
  <c r="F41" i="149" s="1"/>
  <c r="O40" i="149"/>
  <c r="M40" i="149"/>
  <c r="N40" i="149" s="1"/>
  <c r="G40" i="149"/>
  <c r="E40" i="149"/>
  <c r="F40" i="149" s="1"/>
  <c r="O39" i="149"/>
  <c r="M39" i="149"/>
  <c r="N39" i="149" s="1"/>
  <c r="G39" i="149"/>
  <c r="E39" i="149"/>
  <c r="F39" i="149" s="1"/>
  <c r="O38" i="149"/>
  <c r="M38" i="149"/>
  <c r="N38" i="149" s="1"/>
  <c r="G38" i="149"/>
  <c r="E38" i="149"/>
  <c r="F38" i="149" s="1"/>
  <c r="O37" i="149"/>
  <c r="M37" i="149"/>
  <c r="N37" i="149" s="1"/>
  <c r="G37" i="149"/>
  <c r="E37" i="149"/>
  <c r="F37" i="149" s="1"/>
  <c r="O36" i="149"/>
  <c r="M36" i="149"/>
  <c r="N36" i="149" s="1"/>
  <c r="G36" i="149"/>
  <c r="E36" i="149"/>
  <c r="F36" i="149" s="1"/>
  <c r="O35" i="149"/>
  <c r="M35" i="149"/>
  <c r="N35" i="149" s="1"/>
  <c r="G35" i="149"/>
  <c r="E35" i="149"/>
  <c r="F35" i="149" s="1"/>
  <c r="O34" i="149"/>
  <c r="M34" i="149"/>
  <c r="N34" i="149" s="1"/>
  <c r="G34" i="149"/>
  <c r="E34" i="149"/>
  <c r="F34" i="149" s="1"/>
  <c r="O33" i="149"/>
  <c r="M33" i="149"/>
  <c r="N33" i="149" s="1"/>
  <c r="G33" i="149"/>
  <c r="E33" i="149"/>
  <c r="F33" i="149" s="1"/>
  <c r="O32" i="149"/>
  <c r="M32" i="149"/>
  <c r="N32" i="149" s="1"/>
  <c r="G32" i="149"/>
  <c r="E32" i="149"/>
  <c r="F32" i="149" s="1"/>
  <c r="O31" i="149"/>
  <c r="M31" i="149"/>
  <c r="N31" i="149" s="1"/>
  <c r="G31" i="149"/>
  <c r="E31" i="149"/>
  <c r="F31" i="149" s="1"/>
  <c r="O30" i="149"/>
  <c r="M30" i="149"/>
  <c r="N30" i="149" s="1"/>
  <c r="G30" i="149"/>
  <c r="E30" i="149"/>
  <c r="F30" i="149" s="1"/>
  <c r="O29" i="149"/>
  <c r="M29" i="149"/>
  <c r="N29" i="149" s="1"/>
  <c r="G29" i="149"/>
  <c r="E29" i="149"/>
  <c r="F29" i="149" s="1"/>
  <c r="O28" i="149"/>
  <c r="M28" i="149"/>
  <c r="N28" i="149" s="1"/>
  <c r="G28" i="149"/>
  <c r="E28" i="149"/>
  <c r="F28" i="149" s="1"/>
  <c r="O27" i="149"/>
  <c r="M27" i="149"/>
  <c r="N27" i="149" s="1"/>
  <c r="G27" i="149"/>
  <c r="E27" i="149"/>
  <c r="F27" i="149" s="1"/>
  <c r="O26" i="149"/>
  <c r="M26" i="149"/>
  <c r="N26" i="149" s="1"/>
  <c r="G26" i="149"/>
  <c r="E26" i="149"/>
  <c r="F26" i="149" s="1"/>
  <c r="O25" i="149"/>
  <c r="M25" i="149"/>
  <c r="N25" i="149" s="1"/>
  <c r="G25" i="149"/>
  <c r="E25" i="149"/>
  <c r="F25" i="149" s="1"/>
  <c r="O24" i="149"/>
  <c r="M24" i="149"/>
  <c r="N24" i="149" s="1"/>
  <c r="G24" i="149"/>
  <c r="E24" i="149"/>
  <c r="F24" i="149" s="1"/>
  <c r="O23" i="149"/>
  <c r="M23" i="149"/>
  <c r="N23" i="149" s="1"/>
  <c r="G23" i="149"/>
  <c r="E23" i="149"/>
  <c r="F23" i="149" s="1"/>
  <c r="O22" i="149"/>
  <c r="M22" i="149"/>
  <c r="N22" i="149" s="1"/>
  <c r="G22" i="149"/>
  <c r="E22" i="149"/>
  <c r="F22" i="149" s="1"/>
  <c r="O21" i="149"/>
  <c r="M21" i="149"/>
  <c r="N21" i="149" s="1"/>
  <c r="G21" i="149"/>
  <c r="E21" i="149"/>
  <c r="F21" i="149" s="1"/>
  <c r="O20" i="149"/>
  <c r="M20" i="149"/>
  <c r="N20" i="149" s="1"/>
  <c r="G20" i="149"/>
  <c r="E20" i="149"/>
  <c r="F20" i="149" s="1"/>
  <c r="O19" i="149"/>
  <c r="M19" i="149"/>
  <c r="N19" i="149" s="1"/>
  <c r="G19" i="149"/>
  <c r="E19" i="149"/>
  <c r="F19" i="149" s="1"/>
  <c r="O18" i="149"/>
  <c r="M18" i="149"/>
  <c r="N18" i="149" s="1"/>
  <c r="G18" i="149"/>
  <c r="E18" i="149"/>
  <c r="F18" i="149" s="1"/>
  <c r="O17" i="149"/>
  <c r="M17" i="149"/>
  <c r="N17" i="149" s="1"/>
  <c r="G17" i="149"/>
  <c r="E17" i="149"/>
  <c r="F17" i="149" s="1"/>
  <c r="O16" i="149"/>
  <c r="M16" i="149"/>
  <c r="N16" i="149" s="1"/>
  <c r="G16" i="149"/>
  <c r="E16" i="149"/>
  <c r="F16" i="149" s="1"/>
  <c r="O15" i="149"/>
  <c r="M15" i="149"/>
  <c r="N15" i="149" s="1"/>
  <c r="G15" i="149"/>
  <c r="E15" i="149"/>
  <c r="F15" i="149" s="1"/>
  <c r="O14" i="149"/>
  <c r="M14" i="149"/>
  <c r="N14" i="149" s="1"/>
  <c r="G14" i="149"/>
  <c r="E14" i="149"/>
  <c r="F14" i="149" s="1"/>
  <c r="O13" i="149"/>
  <c r="M13" i="149"/>
  <c r="N13" i="149" s="1"/>
  <c r="G13" i="149"/>
  <c r="E13" i="149"/>
  <c r="F13" i="149" s="1"/>
  <c r="O12" i="149"/>
  <c r="M12" i="149"/>
  <c r="N12" i="149" s="1"/>
  <c r="G12" i="149"/>
  <c r="E12" i="149"/>
  <c r="F12" i="149" s="1"/>
  <c r="O11" i="149"/>
  <c r="M11" i="149"/>
  <c r="N11" i="149" s="1"/>
  <c r="G11" i="149"/>
  <c r="E11" i="149"/>
  <c r="F11" i="149" s="1"/>
  <c r="O10" i="149"/>
  <c r="M10" i="149"/>
  <c r="N10" i="149" s="1"/>
  <c r="G10" i="149"/>
  <c r="E10" i="149"/>
  <c r="F10" i="149" s="1"/>
  <c r="O9" i="149"/>
  <c r="M9" i="149"/>
  <c r="N9" i="149" s="1"/>
  <c r="G9" i="149"/>
  <c r="E9" i="149"/>
  <c r="F9" i="149" s="1"/>
  <c r="O8" i="149"/>
  <c r="M8" i="149"/>
  <c r="N8" i="149" s="1"/>
  <c r="G8" i="149"/>
  <c r="E8" i="149"/>
  <c r="F8" i="149" s="1"/>
  <c r="O7" i="149"/>
  <c r="M7" i="149"/>
  <c r="N7" i="149" s="1"/>
  <c r="G7" i="149"/>
  <c r="E7" i="149"/>
  <c r="F7" i="149" s="1"/>
  <c r="O6" i="149"/>
  <c r="M6" i="149"/>
  <c r="N6" i="149" s="1"/>
  <c r="G6" i="149"/>
  <c r="E6" i="149"/>
  <c r="F6" i="149" s="1"/>
  <c r="O5" i="149"/>
  <c r="M5" i="149"/>
  <c r="G5" i="149"/>
  <c r="E5" i="149"/>
  <c r="H68" i="149"/>
  <c r="F68" i="149"/>
  <c r="H67" i="149"/>
  <c r="F67" i="149"/>
  <c r="H66" i="149"/>
  <c r="F66" i="149"/>
  <c r="H65" i="149"/>
  <c r="F65" i="149"/>
  <c r="H64" i="149"/>
  <c r="F64" i="149"/>
  <c r="H63" i="149"/>
  <c r="F63" i="149"/>
  <c r="H62" i="149"/>
  <c r="F62" i="149"/>
  <c r="H61" i="149"/>
  <c r="F61" i="149"/>
  <c r="P60" i="149"/>
  <c r="N60" i="149"/>
  <c r="H60" i="149"/>
  <c r="F60" i="149"/>
  <c r="P59" i="149"/>
  <c r="N59" i="149"/>
  <c r="H59" i="149"/>
  <c r="F59" i="149"/>
  <c r="P58" i="149"/>
  <c r="N58" i="149"/>
  <c r="H58" i="149"/>
  <c r="F58" i="149"/>
  <c r="P57" i="149"/>
  <c r="N57" i="149"/>
  <c r="H57" i="149"/>
  <c r="F57" i="149"/>
  <c r="P56" i="149"/>
  <c r="N56" i="149"/>
  <c r="H56" i="149"/>
  <c r="F56" i="149"/>
  <c r="P55" i="149"/>
  <c r="N55" i="149"/>
  <c r="H55" i="149"/>
  <c r="F55" i="149"/>
  <c r="P54" i="149"/>
  <c r="N54" i="149"/>
  <c r="H54" i="149"/>
  <c r="F54" i="149"/>
  <c r="P53" i="149"/>
  <c r="N53" i="149"/>
  <c r="H53" i="149"/>
  <c r="F53" i="149"/>
  <c r="P52" i="149"/>
  <c r="N52" i="149"/>
  <c r="H52" i="149"/>
  <c r="F52" i="149"/>
  <c r="P51" i="149"/>
  <c r="N51" i="149"/>
  <c r="H51" i="149"/>
  <c r="F51" i="149"/>
  <c r="P50" i="149"/>
  <c r="N50" i="149"/>
  <c r="H50" i="149"/>
  <c r="F50" i="149"/>
  <c r="P49" i="149"/>
  <c r="N49" i="149"/>
  <c r="H49" i="149"/>
  <c r="F49" i="149"/>
  <c r="P48" i="149"/>
  <c r="N48" i="149"/>
  <c r="P47" i="149"/>
  <c r="H47" i="149"/>
  <c r="P46" i="149"/>
  <c r="H46" i="149"/>
  <c r="P45" i="149"/>
  <c r="H45" i="149"/>
  <c r="P44" i="149"/>
  <c r="H44" i="149"/>
  <c r="P43" i="149"/>
  <c r="H43" i="149"/>
  <c r="P42" i="149"/>
  <c r="H42" i="149"/>
  <c r="P41" i="149"/>
  <c r="H41" i="149"/>
  <c r="P40" i="149"/>
  <c r="H40" i="149"/>
  <c r="P39" i="149"/>
  <c r="H39" i="149"/>
  <c r="P38" i="149"/>
  <c r="H38" i="149"/>
  <c r="P37" i="149"/>
  <c r="H37" i="149"/>
  <c r="P36" i="149"/>
  <c r="H36" i="149"/>
  <c r="P35" i="149"/>
  <c r="H35" i="149"/>
  <c r="P34" i="149"/>
  <c r="H34" i="149"/>
  <c r="P33" i="149"/>
  <c r="H33" i="149"/>
  <c r="P32" i="149"/>
  <c r="H32" i="149"/>
  <c r="P31" i="149"/>
  <c r="H31" i="149"/>
  <c r="P30" i="149"/>
  <c r="H30" i="149"/>
  <c r="P29" i="149"/>
  <c r="H29" i="149"/>
  <c r="P28" i="149"/>
  <c r="H28" i="149"/>
  <c r="P27" i="149"/>
  <c r="H27" i="149"/>
  <c r="P26" i="149"/>
  <c r="H26" i="149"/>
  <c r="P25" i="149"/>
  <c r="H25" i="149"/>
  <c r="P24" i="149"/>
  <c r="H24" i="149"/>
  <c r="P23" i="149"/>
  <c r="H23" i="149"/>
  <c r="P22" i="149"/>
  <c r="H22" i="149"/>
  <c r="P21" i="149"/>
  <c r="H21" i="149"/>
  <c r="P20" i="149"/>
  <c r="H20" i="149"/>
  <c r="P19" i="149"/>
  <c r="H19" i="149"/>
  <c r="P18" i="149"/>
  <c r="H18" i="149"/>
  <c r="P17" i="149"/>
  <c r="H17" i="149"/>
  <c r="P16" i="149"/>
  <c r="H16" i="149"/>
  <c r="P15" i="149"/>
  <c r="H15" i="149"/>
  <c r="P14" i="149"/>
  <c r="H14" i="149"/>
  <c r="P13" i="149"/>
  <c r="H13" i="149"/>
  <c r="P12" i="149"/>
  <c r="H12" i="149"/>
  <c r="P11" i="149"/>
  <c r="H11" i="149"/>
  <c r="P10" i="149"/>
  <c r="H10" i="149"/>
  <c r="P9" i="149"/>
  <c r="H9" i="149"/>
  <c r="P8" i="149"/>
  <c r="H8" i="149"/>
  <c r="P7" i="149"/>
  <c r="H7" i="149"/>
  <c r="P6" i="149"/>
  <c r="H6" i="149"/>
  <c r="P5" i="149"/>
  <c r="N5" i="149"/>
  <c r="H5" i="149"/>
  <c r="F5" i="149"/>
  <c r="P2" i="149"/>
  <c r="I2" i="149"/>
  <c r="A13" i="152" s="1"/>
  <c r="A2" i="149"/>
  <c r="A1" i="149"/>
  <c r="G68" i="148"/>
  <c r="E68" i="148"/>
  <c r="G67" i="148"/>
  <c r="E67" i="148"/>
  <c r="G66" i="148"/>
  <c r="E66" i="148"/>
  <c r="G65" i="148"/>
  <c r="E65" i="148"/>
  <c r="G64" i="148"/>
  <c r="E64" i="148"/>
  <c r="G63" i="148"/>
  <c r="E63" i="148"/>
  <c r="G62" i="148"/>
  <c r="E62" i="148"/>
  <c r="G61" i="148"/>
  <c r="E61" i="148"/>
  <c r="O60" i="148"/>
  <c r="M60" i="148"/>
  <c r="G60" i="148"/>
  <c r="E60" i="148"/>
  <c r="O59" i="148"/>
  <c r="M59" i="148"/>
  <c r="G59" i="148"/>
  <c r="E59" i="148"/>
  <c r="O58" i="148"/>
  <c r="M58" i="148"/>
  <c r="G58" i="148"/>
  <c r="E58" i="148"/>
  <c r="O57" i="148"/>
  <c r="M57" i="148"/>
  <c r="G57" i="148"/>
  <c r="E57" i="148"/>
  <c r="O56" i="148"/>
  <c r="M56" i="148"/>
  <c r="G56" i="148"/>
  <c r="E56" i="148"/>
  <c r="O55" i="148"/>
  <c r="M55" i="148"/>
  <c r="G55" i="148"/>
  <c r="E55" i="148"/>
  <c r="O54" i="148"/>
  <c r="M54" i="148"/>
  <c r="G54" i="148"/>
  <c r="E54" i="148"/>
  <c r="O53" i="148"/>
  <c r="M53" i="148"/>
  <c r="G53" i="148"/>
  <c r="E53" i="148"/>
  <c r="O52" i="148"/>
  <c r="M52" i="148"/>
  <c r="G52" i="148"/>
  <c r="E52" i="148"/>
  <c r="O51" i="148"/>
  <c r="M51" i="148"/>
  <c r="G51" i="148"/>
  <c r="E51" i="148"/>
  <c r="O50" i="148"/>
  <c r="M50" i="148"/>
  <c r="G50" i="148"/>
  <c r="E50" i="148"/>
  <c r="O49" i="148"/>
  <c r="M49" i="148"/>
  <c r="G49" i="148"/>
  <c r="E49" i="148"/>
  <c r="O48" i="148"/>
  <c r="M48" i="148"/>
  <c r="G48" i="148"/>
  <c r="E48" i="148"/>
  <c r="O47" i="148"/>
  <c r="M47" i="148"/>
  <c r="G47" i="148"/>
  <c r="E47" i="148"/>
  <c r="O46" i="148"/>
  <c r="M46" i="148"/>
  <c r="G46" i="148"/>
  <c r="E46" i="148"/>
  <c r="O45" i="148"/>
  <c r="M45" i="148"/>
  <c r="G45" i="148"/>
  <c r="E45" i="148"/>
  <c r="O44" i="148"/>
  <c r="M44" i="148"/>
  <c r="G44" i="148"/>
  <c r="E44" i="148"/>
  <c r="O43" i="148"/>
  <c r="M43" i="148"/>
  <c r="G43" i="148"/>
  <c r="E43" i="148"/>
  <c r="O42" i="148"/>
  <c r="M42" i="148"/>
  <c r="G42" i="148"/>
  <c r="E42" i="148"/>
  <c r="O41" i="148"/>
  <c r="M41" i="148"/>
  <c r="G41" i="148"/>
  <c r="E41" i="148"/>
  <c r="O40" i="148"/>
  <c r="M40" i="148"/>
  <c r="G40" i="148"/>
  <c r="E40" i="148"/>
  <c r="O39" i="148"/>
  <c r="M39" i="148"/>
  <c r="G39" i="148"/>
  <c r="E39" i="148"/>
  <c r="O38" i="148"/>
  <c r="M38" i="148"/>
  <c r="G38" i="148"/>
  <c r="E38" i="148"/>
  <c r="O37" i="148"/>
  <c r="M37" i="148"/>
  <c r="G37" i="148"/>
  <c r="E37" i="148"/>
  <c r="O36" i="148"/>
  <c r="M36" i="148"/>
  <c r="G36" i="148"/>
  <c r="E36" i="148"/>
  <c r="O35" i="148"/>
  <c r="M35" i="148"/>
  <c r="G35" i="148"/>
  <c r="E35" i="148"/>
  <c r="O34" i="148"/>
  <c r="M34" i="148"/>
  <c r="G34" i="148"/>
  <c r="E34" i="148"/>
  <c r="O33" i="148"/>
  <c r="M33" i="148"/>
  <c r="G33" i="148"/>
  <c r="E33" i="148"/>
  <c r="O32" i="148"/>
  <c r="M32" i="148"/>
  <c r="G32" i="148"/>
  <c r="E32" i="148"/>
  <c r="O31" i="148"/>
  <c r="M31" i="148"/>
  <c r="G31" i="148"/>
  <c r="E31" i="148"/>
  <c r="O30" i="148"/>
  <c r="M30" i="148"/>
  <c r="G30" i="148"/>
  <c r="E30" i="148"/>
  <c r="O29" i="148"/>
  <c r="M29" i="148"/>
  <c r="G29" i="148"/>
  <c r="E29" i="148"/>
  <c r="O28" i="148"/>
  <c r="M28" i="148"/>
  <c r="G28" i="148"/>
  <c r="E28" i="148"/>
  <c r="O27" i="148"/>
  <c r="M27" i="148"/>
  <c r="G27" i="148"/>
  <c r="E27" i="148"/>
  <c r="O26" i="148"/>
  <c r="M26" i="148"/>
  <c r="G26" i="148"/>
  <c r="E26" i="148"/>
  <c r="O25" i="148"/>
  <c r="M25" i="148"/>
  <c r="G25" i="148"/>
  <c r="E25" i="148"/>
  <c r="O24" i="148"/>
  <c r="M24" i="148"/>
  <c r="G24" i="148"/>
  <c r="E24" i="148"/>
  <c r="O23" i="148"/>
  <c r="M23" i="148"/>
  <c r="G23" i="148"/>
  <c r="E23" i="148"/>
  <c r="O22" i="148"/>
  <c r="M22" i="148"/>
  <c r="G22" i="148"/>
  <c r="E22" i="148"/>
  <c r="O21" i="148"/>
  <c r="M21" i="148"/>
  <c r="G21" i="148"/>
  <c r="E21" i="148"/>
  <c r="O20" i="148"/>
  <c r="M20" i="148"/>
  <c r="G20" i="148"/>
  <c r="E20" i="148"/>
  <c r="O19" i="148"/>
  <c r="M19" i="148"/>
  <c r="G19" i="148"/>
  <c r="E19" i="148"/>
  <c r="O18" i="148"/>
  <c r="M18" i="148"/>
  <c r="G18" i="148"/>
  <c r="E18" i="148"/>
  <c r="O17" i="148"/>
  <c r="M17" i="148"/>
  <c r="G17" i="148"/>
  <c r="E17" i="148"/>
  <c r="O16" i="148"/>
  <c r="M16" i="148"/>
  <c r="G16" i="148"/>
  <c r="E16" i="148"/>
  <c r="O15" i="148"/>
  <c r="M15" i="148"/>
  <c r="G15" i="148"/>
  <c r="E15" i="148"/>
  <c r="O14" i="148"/>
  <c r="M14" i="148"/>
  <c r="G14" i="148"/>
  <c r="E14" i="148"/>
  <c r="O13" i="148"/>
  <c r="M13" i="148"/>
  <c r="G13" i="148"/>
  <c r="E13" i="148"/>
  <c r="O12" i="148"/>
  <c r="M12" i="148"/>
  <c r="G12" i="148"/>
  <c r="E12" i="148"/>
  <c r="O11" i="148"/>
  <c r="M11" i="148"/>
  <c r="G11" i="148"/>
  <c r="E11" i="148"/>
  <c r="O10" i="148"/>
  <c r="M10" i="148"/>
  <c r="G10" i="148"/>
  <c r="E10" i="148"/>
  <c r="O9" i="148"/>
  <c r="M9" i="148"/>
  <c r="G9" i="148"/>
  <c r="E9" i="148"/>
  <c r="O8" i="148"/>
  <c r="M8" i="148"/>
  <c r="G8" i="148"/>
  <c r="E8" i="148"/>
  <c r="O7" i="148"/>
  <c r="M7" i="148"/>
  <c r="G7" i="148"/>
  <c r="E7" i="148"/>
  <c r="O6" i="148"/>
  <c r="M6" i="148"/>
  <c r="G6" i="148"/>
  <c r="E6" i="148"/>
  <c r="O5" i="148"/>
  <c r="M5" i="148"/>
  <c r="G5" i="148"/>
  <c r="H5" i="148" s="1"/>
  <c r="E5" i="148"/>
  <c r="F5" i="148" s="1"/>
  <c r="H68" i="148"/>
  <c r="F68" i="148"/>
  <c r="H67" i="148"/>
  <c r="F67" i="148"/>
  <c r="H66" i="148"/>
  <c r="F66" i="148"/>
  <c r="H65" i="148"/>
  <c r="F65" i="148"/>
  <c r="H64" i="148"/>
  <c r="F64" i="148"/>
  <c r="H63" i="148"/>
  <c r="F63" i="148"/>
  <c r="H62" i="148"/>
  <c r="F62" i="148"/>
  <c r="H61" i="148"/>
  <c r="F61" i="148"/>
  <c r="P60" i="148"/>
  <c r="N60" i="148"/>
  <c r="H60" i="148"/>
  <c r="F60" i="148"/>
  <c r="P59" i="148"/>
  <c r="N59" i="148"/>
  <c r="H59" i="148"/>
  <c r="F59" i="148"/>
  <c r="P58" i="148"/>
  <c r="N58" i="148"/>
  <c r="H58" i="148"/>
  <c r="F58" i="148"/>
  <c r="P57" i="148"/>
  <c r="N57" i="148"/>
  <c r="H57" i="148"/>
  <c r="F57" i="148"/>
  <c r="P56" i="148"/>
  <c r="N56" i="148"/>
  <c r="H56" i="148"/>
  <c r="F56" i="148"/>
  <c r="P55" i="148"/>
  <c r="N55" i="148"/>
  <c r="H55" i="148"/>
  <c r="F55" i="148"/>
  <c r="P54" i="148"/>
  <c r="N54" i="148"/>
  <c r="H54" i="148"/>
  <c r="F54" i="148"/>
  <c r="P53" i="148"/>
  <c r="N53" i="148"/>
  <c r="H53" i="148"/>
  <c r="F53" i="148"/>
  <c r="P52" i="148"/>
  <c r="N52" i="148"/>
  <c r="H52" i="148"/>
  <c r="F52" i="148"/>
  <c r="P51" i="148"/>
  <c r="N51" i="148"/>
  <c r="H51" i="148"/>
  <c r="F51" i="148"/>
  <c r="P50" i="148"/>
  <c r="N50" i="148"/>
  <c r="H50" i="148"/>
  <c r="F50" i="148"/>
  <c r="P49" i="148"/>
  <c r="N49" i="148"/>
  <c r="H49" i="148"/>
  <c r="F49" i="148"/>
  <c r="P48" i="148"/>
  <c r="N48" i="148"/>
  <c r="H48" i="148"/>
  <c r="F48" i="148"/>
  <c r="P47" i="148"/>
  <c r="N47" i="148"/>
  <c r="H47" i="148"/>
  <c r="F47" i="148"/>
  <c r="P46" i="148"/>
  <c r="N46" i="148"/>
  <c r="H46" i="148"/>
  <c r="F46" i="148"/>
  <c r="P45" i="148"/>
  <c r="N45" i="148"/>
  <c r="H45" i="148"/>
  <c r="F45" i="148"/>
  <c r="P44" i="148"/>
  <c r="N44" i="148"/>
  <c r="H44" i="148"/>
  <c r="F44" i="148"/>
  <c r="P43" i="148"/>
  <c r="N43" i="148"/>
  <c r="H43" i="148"/>
  <c r="F43" i="148"/>
  <c r="P42" i="148"/>
  <c r="N42" i="148"/>
  <c r="H42" i="148"/>
  <c r="F42" i="148"/>
  <c r="P41" i="148"/>
  <c r="N41" i="148"/>
  <c r="H41" i="148"/>
  <c r="F41" i="148"/>
  <c r="P40" i="148"/>
  <c r="N40" i="148"/>
  <c r="H40" i="148"/>
  <c r="F40" i="148"/>
  <c r="P39" i="148"/>
  <c r="N39" i="148"/>
  <c r="H39" i="148"/>
  <c r="F39" i="148"/>
  <c r="P38" i="148"/>
  <c r="N38" i="148"/>
  <c r="H38" i="148"/>
  <c r="F38" i="148"/>
  <c r="P37" i="148"/>
  <c r="N37" i="148"/>
  <c r="H37" i="148"/>
  <c r="F37" i="148"/>
  <c r="P36" i="148"/>
  <c r="N36" i="148"/>
  <c r="H36" i="148"/>
  <c r="F36" i="148"/>
  <c r="P35" i="148"/>
  <c r="N35" i="148"/>
  <c r="H35" i="148"/>
  <c r="F35" i="148"/>
  <c r="P34" i="148"/>
  <c r="N34" i="148"/>
  <c r="H34" i="148"/>
  <c r="F34" i="148"/>
  <c r="P33" i="148"/>
  <c r="N33" i="148"/>
  <c r="H33" i="148"/>
  <c r="F33" i="148"/>
  <c r="P32" i="148"/>
  <c r="N32" i="148"/>
  <c r="H32" i="148"/>
  <c r="F32" i="148"/>
  <c r="P31" i="148"/>
  <c r="N31" i="148"/>
  <c r="H31" i="148"/>
  <c r="F31" i="148"/>
  <c r="P30" i="148"/>
  <c r="N30" i="148"/>
  <c r="H30" i="148"/>
  <c r="F30" i="148"/>
  <c r="P29" i="148"/>
  <c r="N29" i="148"/>
  <c r="H29" i="148"/>
  <c r="F29" i="148"/>
  <c r="P28" i="148"/>
  <c r="N28" i="148"/>
  <c r="H28" i="148"/>
  <c r="F28" i="148"/>
  <c r="P27" i="148"/>
  <c r="N27" i="148"/>
  <c r="H27" i="148"/>
  <c r="F27" i="148"/>
  <c r="P26" i="148"/>
  <c r="N26" i="148"/>
  <c r="H26" i="148"/>
  <c r="F26" i="148"/>
  <c r="P25" i="148"/>
  <c r="N25" i="148"/>
  <c r="H25" i="148"/>
  <c r="F25" i="148"/>
  <c r="P24" i="148"/>
  <c r="N24" i="148"/>
  <c r="H24" i="148"/>
  <c r="F24" i="148"/>
  <c r="P23" i="148"/>
  <c r="N23" i="148"/>
  <c r="H23" i="148"/>
  <c r="F23" i="148"/>
  <c r="P22" i="148"/>
  <c r="N22" i="148"/>
  <c r="H22" i="148"/>
  <c r="F22" i="148"/>
  <c r="P21" i="148"/>
  <c r="N21" i="148"/>
  <c r="H21" i="148"/>
  <c r="F21" i="148"/>
  <c r="P20" i="148"/>
  <c r="N20" i="148"/>
  <c r="H20" i="148"/>
  <c r="F20" i="148"/>
  <c r="P19" i="148"/>
  <c r="N19" i="148"/>
  <c r="H19" i="148"/>
  <c r="F19" i="148"/>
  <c r="P18" i="148"/>
  <c r="N18" i="148"/>
  <c r="H18" i="148"/>
  <c r="F18" i="148"/>
  <c r="P17" i="148"/>
  <c r="N17" i="148"/>
  <c r="H17" i="148"/>
  <c r="F17" i="148"/>
  <c r="P16" i="148"/>
  <c r="N16" i="148"/>
  <c r="H16" i="148"/>
  <c r="F16" i="148"/>
  <c r="P15" i="148"/>
  <c r="N15" i="148"/>
  <c r="H15" i="148"/>
  <c r="F15" i="148"/>
  <c r="P14" i="148"/>
  <c r="N14" i="148"/>
  <c r="H14" i="148"/>
  <c r="F14" i="148"/>
  <c r="P13" i="148"/>
  <c r="N13" i="148"/>
  <c r="H13" i="148"/>
  <c r="F13" i="148"/>
  <c r="P12" i="148"/>
  <c r="N12" i="148"/>
  <c r="H12" i="148"/>
  <c r="F12" i="148"/>
  <c r="P11" i="148"/>
  <c r="N11" i="148"/>
  <c r="H11" i="148"/>
  <c r="F11" i="148"/>
  <c r="P10" i="148"/>
  <c r="N10" i="148"/>
  <c r="H10" i="148"/>
  <c r="F10" i="148"/>
  <c r="P9" i="148"/>
  <c r="N9" i="148"/>
  <c r="H9" i="148"/>
  <c r="F9" i="148"/>
  <c r="P8" i="148"/>
  <c r="N8" i="148"/>
  <c r="H8" i="148"/>
  <c r="F8" i="148"/>
  <c r="P7" i="148"/>
  <c r="N7" i="148"/>
  <c r="H7" i="148"/>
  <c r="F7" i="148"/>
  <c r="P6" i="148"/>
  <c r="N6" i="148"/>
  <c r="H6" i="148"/>
  <c r="F6" i="148"/>
  <c r="P5" i="148"/>
  <c r="N5" i="148"/>
  <c r="P2" i="148"/>
  <c r="I2" i="148"/>
  <c r="A2" i="148"/>
  <c r="A1" i="148"/>
  <c r="F124" i="145"/>
  <c r="D124" i="145"/>
  <c r="F123" i="145"/>
  <c r="G123" i="145" s="1"/>
  <c r="D123" i="145"/>
  <c r="F122" i="145"/>
  <c r="D122" i="145"/>
  <c r="F121" i="145"/>
  <c r="G121" i="145" s="1"/>
  <c r="D121" i="145"/>
  <c r="F120" i="145"/>
  <c r="D120" i="145"/>
  <c r="F119" i="145"/>
  <c r="G119" i="145" s="1"/>
  <c r="D119" i="145"/>
  <c r="F118" i="145"/>
  <c r="D118" i="145"/>
  <c r="F117" i="145"/>
  <c r="G117" i="145" s="1"/>
  <c r="D117" i="145"/>
  <c r="F116" i="145"/>
  <c r="D116" i="145"/>
  <c r="F115" i="145"/>
  <c r="G115" i="145" s="1"/>
  <c r="D115" i="145"/>
  <c r="F114" i="145"/>
  <c r="D114" i="145"/>
  <c r="F113" i="145"/>
  <c r="G113" i="145" s="1"/>
  <c r="D113" i="145"/>
  <c r="F112" i="145"/>
  <c r="D112" i="145"/>
  <c r="F111" i="145"/>
  <c r="G111" i="145" s="1"/>
  <c r="D111" i="145"/>
  <c r="F110" i="145"/>
  <c r="D110" i="145"/>
  <c r="F109" i="145"/>
  <c r="G109" i="145" s="1"/>
  <c r="D109" i="145"/>
  <c r="F108" i="145"/>
  <c r="D108" i="145"/>
  <c r="F107" i="145"/>
  <c r="G107" i="145" s="1"/>
  <c r="D107" i="145"/>
  <c r="F106" i="145"/>
  <c r="D106" i="145"/>
  <c r="F105" i="145"/>
  <c r="G105" i="145" s="1"/>
  <c r="D105" i="145"/>
  <c r="F104" i="145"/>
  <c r="D104" i="145"/>
  <c r="F103" i="145"/>
  <c r="G103" i="145" s="1"/>
  <c r="D103" i="145"/>
  <c r="F102" i="145"/>
  <c r="D102" i="145"/>
  <c r="F101" i="145"/>
  <c r="G101" i="145" s="1"/>
  <c r="D101" i="145"/>
  <c r="F100" i="145"/>
  <c r="D100" i="145"/>
  <c r="F99" i="145"/>
  <c r="G99" i="145" s="1"/>
  <c r="D99" i="145"/>
  <c r="F98" i="145"/>
  <c r="D98" i="145"/>
  <c r="F97" i="145"/>
  <c r="G97" i="145" s="1"/>
  <c r="D97" i="145"/>
  <c r="F96" i="145"/>
  <c r="D96" i="145"/>
  <c r="F95" i="145"/>
  <c r="G95" i="145" s="1"/>
  <c r="D95" i="145"/>
  <c r="F94" i="145"/>
  <c r="D94" i="145"/>
  <c r="F93" i="145"/>
  <c r="G93" i="145" s="1"/>
  <c r="D93" i="145"/>
  <c r="F92" i="145"/>
  <c r="D92" i="145"/>
  <c r="F91" i="145"/>
  <c r="G91" i="145" s="1"/>
  <c r="D91" i="145"/>
  <c r="F90" i="145"/>
  <c r="D90" i="145"/>
  <c r="F89" i="145"/>
  <c r="G89" i="145" s="1"/>
  <c r="D89" i="145"/>
  <c r="F88" i="145"/>
  <c r="D88" i="145"/>
  <c r="F87" i="145"/>
  <c r="G87" i="145" s="1"/>
  <c r="D87" i="145"/>
  <c r="F86" i="145"/>
  <c r="D86" i="145"/>
  <c r="F85" i="145"/>
  <c r="G85" i="145" s="1"/>
  <c r="D85" i="145"/>
  <c r="F84" i="145"/>
  <c r="D84" i="145"/>
  <c r="F83" i="145"/>
  <c r="G83" i="145" s="1"/>
  <c r="D83" i="145"/>
  <c r="F82" i="145"/>
  <c r="D82" i="145"/>
  <c r="F81" i="145"/>
  <c r="G81" i="145" s="1"/>
  <c r="D81" i="145"/>
  <c r="F80" i="145"/>
  <c r="D80" i="145"/>
  <c r="F79" i="145"/>
  <c r="G79" i="145" s="1"/>
  <c r="D79" i="145"/>
  <c r="F78" i="145"/>
  <c r="D78" i="145"/>
  <c r="F77" i="145"/>
  <c r="G77" i="145" s="1"/>
  <c r="D77" i="145"/>
  <c r="F76" i="145"/>
  <c r="D76" i="145"/>
  <c r="F75" i="145"/>
  <c r="G75" i="145" s="1"/>
  <c r="D75" i="145"/>
  <c r="F74" i="145"/>
  <c r="D74" i="145"/>
  <c r="F73" i="145"/>
  <c r="G73" i="145" s="1"/>
  <c r="D73" i="145"/>
  <c r="F72" i="145"/>
  <c r="D72" i="145"/>
  <c r="F71" i="145"/>
  <c r="G71" i="145" s="1"/>
  <c r="D71" i="145"/>
  <c r="F70" i="145"/>
  <c r="D70" i="145"/>
  <c r="F69" i="145"/>
  <c r="G69" i="145" s="1"/>
  <c r="D69" i="145"/>
  <c r="F68" i="145"/>
  <c r="D68" i="145"/>
  <c r="F67" i="145"/>
  <c r="G67" i="145" s="1"/>
  <c r="D67" i="145"/>
  <c r="F66" i="145"/>
  <c r="D66" i="145"/>
  <c r="F65" i="145"/>
  <c r="G65" i="145" s="1"/>
  <c r="D65" i="145"/>
  <c r="F64" i="145"/>
  <c r="D64" i="145"/>
  <c r="F63" i="145"/>
  <c r="G63" i="145" s="1"/>
  <c r="D63" i="145"/>
  <c r="F62" i="145"/>
  <c r="D62" i="145"/>
  <c r="F61" i="145"/>
  <c r="G61" i="145" s="1"/>
  <c r="D61" i="145"/>
  <c r="F60" i="145"/>
  <c r="D60" i="145"/>
  <c r="F59" i="145"/>
  <c r="G59" i="145" s="1"/>
  <c r="D59" i="145"/>
  <c r="F58" i="145"/>
  <c r="D58" i="145"/>
  <c r="F57" i="145"/>
  <c r="G57" i="145" s="1"/>
  <c r="D57" i="145"/>
  <c r="F56" i="145"/>
  <c r="D56" i="145"/>
  <c r="F55" i="145"/>
  <c r="G55" i="145" s="1"/>
  <c r="D55" i="145"/>
  <c r="F54" i="145"/>
  <c r="D54" i="145"/>
  <c r="F53" i="145"/>
  <c r="D53" i="145"/>
  <c r="F52" i="145"/>
  <c r="D52" i="145"/>
  <c r="F51" i="145"/>
  <c r="D51" i="145"/>
  <c r="F50" i="145"/>
  <c r="D50" i="145"/>
  <c r="F49" i="145"/>
  <c r="D49" i="145"/>
  <c r="F48" i="145"/>
  <c r="D48" i="145"/>
  <c r="F47" i="145"/>
  <c r="D47" i="145"/>
  <c r="F46" i="145"/>
  <c r="D46" i="145"/>
  <c r="F45" i="145"/>
  <c r="D45" i="145"/>
  <c r="F44" i="145"/>
  <c r="D44" i="145"/>
  <c r="F43" i="145"/>
  <c r="D43" i="145"/>
  <c r="F42" i="145"/>
  <c r="D42" i="145"/>
  <c r="F41" i="145"/>
  <c r="D41" i="145"/>
  <c r="F40" i="145"/>
  <c r="D40" i="145"/>
  <c r="F39" i="145"/>
  <c r="D39" i="145"/>
  <c r="F38" i="145"/>
  <c r="D38" i="145"/>
  <c r="F37" i="145"/>
  <c r="D37" i="145"/>
  <c r="F36" i="145"/>
  <c r="D36" i="145"/>
  <c r="F35" i="145"/>
  <c r="D35" i="145"/>
  <c r="F34" i="145"/>
  <c r="D34" i="145"/>
  <c r="F33" i="145"/>
  <c r="D33" i="145"/>
  <c r="F32" i="145"/>
  <c r="D32" i="145"/>
  <c r="F31" i="145"/>
  <c r="D31" i="145"/>
  <c r="F30" i="145"/>
  <c r="D30" i="145"/>
  <c r="F29" i="145"/>
  <c r="D29" i="145"/>
  <c r="F28" i="145"/>
  <c r="D28" i="145"/>
  <c r="F27" i="145"/>
  <c r="D27" i="145"/>
  <c r="F26" i="145"/>
  <c r="D26" i="145"/>
  <c r="F25" i="145"/>
  <c r="D25" i="145"/>
  <c r="F24" i="145"/>
  <c r="D24" i="145"/>
  <c r="F23" i="145"/>
  <c r="D23" i="145"/>
  <c r="F22" i="145"/>
  <c r="D22" i="145"/>
  <c r="F21" i="145"/>
  <c r="D21" i="145"/>
  <c r="F20" i="145"/>
  <c r="D20" i="145"/>
  <c r="F19" i="145"/>
  <c r="D19" i="145"/>
  <c r="F18" i="145"/>
  <c r="D18" i="145"/>
  <c r="F17" i="145"/>
  <c r="D17" i="145"/>
  <c r="F16" i="145"/>
  <c r="D16" i="145"/>
  <c r="F15" i="145"/>
  <c r="D15" i="145"/>
  <c r="F14" i="145"/>
  <c r="D14" i="145"/>
  <c r="F13" i="145"/>
  <c r="D13" i="145"/>
  <c r="F12" i="145"/>
  <c r="D12" i="145"/>
  <c r="F11" i="145"/>
  <c r="D11" i="145"/>
  <c r="F10" i="145"/>
  <c r="D10" i="145"/>
  <c r="F9" i="145"/>
  <c r="D9" i="145"/>
  <c r="F8" i="145"/>
  <c r="D8" i="145"/>
  <c r="F7" i="145"/>
  <c r="D7" i="145"/>
  <c r="F6" i="145"/>
  <c r="D6" i="145"/>
  <c r="F5" i="145"/>
  <c r="D5" i="145"/>
  <c r="F124" i="144"/>
  <c r="D124" i="144"/>
  <c r="F123" i="144"/>
  <c r="D123" i="144"/>
  <c r="F122" i="144"/>
  <c r="D122" i="144"/>
  <c r="F121" i="144"/>
  <c r="D121" i="144"/>
  <c r="F120" i="144"/>
  <c r="D120" i="144"/>
  <c r="F119" i="144"/>
  <c r="D119" i="144"/>
  <c r="F118" i="144"/>
  <c r="D118" i="144"/>
  <c r="F117" i="144"/>
  <c r="D117" i="144"/>
  <c r="F116" i="144"/>
  <c r="D116" i="144"/>
  <c r="F115" i="144"/>
  <c r="D115" i="144"/>
  <c r="F114" i="144"/>
  <c r="D114" i="144"/>
  <c r="F113" i="144"/>
  <c r="D113" i="144"/>
  <c r="F112" i="144"/>
  <c r="D112" i="144"/>
  <c r="F111" i="144"/>
  <c r="D111" i="144"/>
  <c r="F110" i="144"/>
  <c r="D110" i="144"/>
  <c r="F109" i="144"/>
  <c r="D109" i="144"/>
  <c r="F108" i="144"/>
  <c r="D108" i="144"/>
  <c r="F107" i="144"/>
  <c r="D107" i="144"/>
  <c r="F106" i="144"/>
  <c r="D106" i="144"/>
  <c r="F105" i="144"/>
  <c r="D105" i="144"/>
  <c r="F104" i="144"/>
  <c r="D104" i="144"/>
  <c r="F103" i="144"/>
  <c r="D103" i="144"/>
  <c r="F102" i="144"/>
  <c r="D102" i="144"/>
  <c r="F101" i="144"/>
  <c r="D101" i="144"/>
  <c r="F100" i="144"/>
  <c r="D100" i="144"/>
  <c r="F99" i="144"/>
  <c r="D99" i="144"/>
  <c r="F98" i="144"/>
  <c r="D98" i="144"/>
  <c r="F97" i="144"/>
  <c r="D97" i="144"/>
  <c r="F96" i="144"/>
  <c r="D96" i="144"/>
  <c r="F95" i="144"/>
  <c r="D95" i="144"/>
  <c r="F94" i="144"/>
  <c r="D94" i="144"/>
  <c r="F93" i="144"/>
  <c r="D93" i="144"/>
  <c r="F92" i="144"/>
  <c r="D92" i="144"/>
  <c r="F91" i="144"/>
  <c r="D91" i="144"/>
  <c r="F90" i="144"/>
  <c r="D90" i="144"/>
  <c r="F89" i="144"/>
  <c r="D89" i="144"/>
  <c r="F88" i="144"/>
  <c r="D88" i="144"/>
  <c r="F87" i="144"/>
  <c r="D87" i="144"/>
  <c r="F86" i="144"/>
  <c r="D86" i="144"/>
  <c r="F85" i="144"/>
  <c r="D85" i="144"/>
  <c r="F84" i="144"/>
  <c r="D84" i="144"/>
  <c r="F83" i="144"/>
  <c r="D83" i="144"/>
  <c r="F82" i="144"/>
  <c r="D82" i="144"/>
  <c r="F81" i="144"/>
  <c r="D81" i="144"/>
  <c r="F80" i="144"/>
  <c r="D80" i="144"/>
  <c r="F79" i="144"/>
  <c r="D79" i="144"/>
  <c r="F78" i="144"/>
  <c r="D78" i="144"/>
  <c r="F77" i="144"/>
  <c r="D77" i="144"/>
  <c r="F76" i="144"/>
  <c r="D76" i="144"/>
  <c r="F75" i="144"/>
  <c r="D75" i="144"/>
  <c r="F74" i="144"/>
  <c r="D74" i="144"/>
  <c r="F73" i="144"/>
  <c r="D73" i="144"/>
  <c r="F72" i="144"/>
  <c r="D72" i="144"/>
  <c r="F71" i="144"/>
  <c r="D71" i="144"/>
  <c r="F70" i="144"/>
  <c r="D70" i="144"/>
  <c r="F69" i="144"/>
  <c r="D69" i="144"/>
  <c r="F68" i="144"/>
  <c r="D68" i="144"/>
  <c r="F67" i="144"/>
  <c r="D67" i="144"/>
  <c r="F66" i="144"/>
  <c r="D66" i="144"/>
  <c r="F65" i="144"/>
  <c r="D65" i="144"/>
  <c r="F64" i="144"/>
  <c r="D64" i="144"/>
  <c r="F63" i="144"/>
  <c r="D63" i="144"/>
  <c r="F62" i="144"/>
  <c r="D62" i="144"/>
  <c r="F61" i="144"/>
  <c r="D61" i="144"/>
  <c r="F60" i="144"/>
  <c r="D60" i="144"/>
  <c r="F59" i="144"/>
  <c r="D59" i="144"/>
  <c r="F58" i="144"/>
  <c r="D58" i="144"/>
  <c r="F57" i="144"/>
  <c r="D57" i="144"/>
  <c r="F56" i="144"/>
  <c r="D56" i="144"/>
  <c r="F55" i="144"/>
  <c r="D55" i="144"/>
  <c r="F54" i="144"/>
  <c r="D54" i="144"/>
  <c r="F53" i="144"/>
  <c r="D53" i="144"/>
  <c r="F52" i="144"/>
  <c r="D52" i="144"/>
  <c r="F51" i="144"/>
  <c r="D51" i="144"/>
  <c r="F50" i="144"/>
  <c r="D50" i="144"/>
  <c r="F49" i="144"/>
  <c r="D49" i="144"/>
  <c r="F48" i="144"/>
  <c r="D48" i="144"/>
  <c r="F47" i="144"/>
  <c r="D47" i="144"/>
  <c r="F46" i="144"/>
  <c r="D46" i="144"/>
  <c r="F45" i="144"/>
  <c r="D45" i="144"/>
  <c r="F44" i="144"/>
  <c r="D44" i="144"/>
  <c r="F43" i="144"/>
  <c r="D43" i="144"/>
  <c r="F42" i="144"/>
  <c r="D42" i="144"/>
  <c r="F41" i="144"/>
  <c r="D41" i="144"/>
  <c r="F40" i="144"/>
  <c r="D40" i="144"/>
  <c r="F39" i="144"/>
  <c r="D39" i="144"/>
  <c r="F38" i="144"/>
  <c r="D38" i="144"/>
  <c r="F37" i="144"/>
  <c r="D37" i="144"/>
  <c r="F36" i="144"/>
  <c r="D36" i="144"/>
  <c r="F35" i="144"/>
  <c r="D35" i="144"/>
  <c r="F34" i="144"/>
  <c r="D34" i="144"/>
  <c r="F33" i="144"/>
  <c r="D33" i="144"/>
  <c r="F32" i="144"/>
  <c r="D32" i="144"/>
  <c r="F31" i="144"/>
  <c r="D31" i="144"/>
  <c r="F30" i="144"/>
  <c r="D30" i="144"/>
  <c r="F29" i="144"/>
  <c r="D29" i="144"/>
  <c r="F28" i="144"/>
  <c r="D28" i="144"/>
  <c r="F27" i="144"/>
  <c r="D27" i="144"/>
  <c r="F26" i="144"/>
  <c r="D26" i="144"/>
  <c r="F25" i="144"/>
  <c r="D25" i="144"/>
  <c r="F24" i="144"/>
  <c r="D24" i="144"/>
  <c r="F23" i="144"/>
  <c r="D23" i="144"/>
  <c r="F22" i="144"/>
  <c r="D22" i="144"/>
  <c r="F21" i="144"/>
  <c r="D21" i="144"/>
  <c r="F20" i="144"/>
  <c r="D20" i="144"/>
  <c r="F19" i="144"/>
  <c r="D19" i="144"/>
  <c r="F18" i="144"/>
  <c r="D18" i="144"/>
  <c r="F17" i="144"/>
  <c r="D17" i="144"/>
  <c r="F16" i="144"/>
  <c r="D16" i="144"/>
  <c r="F15" i="144"/>
  <c r="D15" i="144"/>
  <c r="F14" i="144"/>
  <c r="D14" i="144"/>
  <c r="F13" i="144"/>
  <c r="D13" i="144"/>
  <c r="F12" i="144"/>
  <c r="D12" i="144"/>
  <c r="F11" i="144"/>
  <c r="D11" i="144"/>
  <c r="F10" i="144"/>
  <c r="D10" i="144"/>
  <c r="F9" i="144"/>
  <c r="D9" i="144"/>
  <c r="F8" i="144"/>
  <c r="D8" i="144"/>
  <c r="F7" i="144"/>
  <c r="D7" i="144"/>
  <c r="F6" i="144"/>
  <c r="D6" i="144"/>
  <c r="F5" i="144"/>
  <c r="D5" i="144"/>
  <c r="AY34" i="147"/>
  <c r="AW34" i="147"/>
  <c r="AW33" i="147"/>
  <c r="AY32" i="147"/>
  <c r="AS36" i="147" s="1"/>
  <c r="AW32" i="147"/>
  <c r="AV32" i="147"/>
  <c r="AT32" i="147"/>
  <c r="AW31" i="147"/>
  <c r="AT31" i="147"/>
  <c r="AY30" i="147"/>
  <c r="AW30" i="147"/>
  <c r="AV30" i="147"/>
  <c r="AP34" i="147" s="1"/>
  <c r="AT30" i="147"/>
  <c r="AS30" i="147"/>
  <c r="AQ30" i="147"/>
  <c r="AW29" i="147"/>
  <c r="AT29" i="147"/>
  <c r="AQ29" i="147"/>
  <c r="AR30" i="147" s="1"/>
  <c r="AO32" i="147" s="1"/>
  <c r="AY28" i="147"/>
  <c r="AW28" i="147"/>
  <c r="AV28" i="147"/>
  <c r="AT28" i="147"/>
  <c r="AS28" i="147"/>
  <c r="AQ28" i="147"/>
  <c r="AP28" i="147"/>
  <c r="AN28" i="147"/>
  <c r="AW27" i="147"/>
  <c r="AT27" i="147"/>
  <c r="AQ27" i="147"/>
  <c r="AN27" i="147"/>
  <c r="AY26" i="147"/>
  <c r="AW26" i="147"/>
  <c r="AV26" i="147"/>
  <c r="AT26" i="147"/>
  <c r="AS26" i="147"/>
  <c r="AQ26" i="147"/>
  <c r="AM26" i="147"/>
  <c r="AK26" i="147"/>
  <c r="AW25" i="147"/>
  <c r="AT25" i="147"/>
  <c r="AQ25" i="147"/>
  <c r="AN25" i="147"/>
  <c r="AK25" i="147"/>
  <c r="AY24" i="147"/>
  <c r="AG36" i="147" s="1"/>
  <c r="AW24" i="147"/>
  <c r="AV24" i="147"/>
  <c r="AT24" i="147"/>
  <c r="AS24" i="147"/>
  <c r="AG32" i="147" s="1"/>
  <c r="AQ24" i="147"/>
  <c r="AP24" i="147"/>
  <c r="AN24" i="147"/>
  <c r="AM24" i="147"/>
  <c r="AG28" i="147" s="1"/>
  <c r="AK24" i="147"/>
  <c r="AJ24" i="147"/>
  <c r="AH24" i="147"/>
  <c r="AW23" i="147"/>
  <c r="AT23" i="147"/>
  <c r="AQ23" i="147"/>
  <c r="AR24" i="147" s="1"/>
  <c r="AF32" i="147" s="1"/>
  <c r="AN23" i="147"/>
  <c r="AK23" i="147"/>
  <c r="AH23" i="147"/>
  <c r="AY22" i="147"/>
  <c r="AD36" i="147" s="1"/>
  <c r="AW22" i="147"/>
  <c r="AV22" i="147"/>
  <c r="AT22" i="147"/>
  <c r="AS22" i="147"/>
  <c r="AD32" i="147" s="1"/>
  <c r="AQ22" i="147"/>
  <c r="AP22" i="147"/>
  <c r="AN22" i="147"/>
  <c r="AM22" i="147"/>
  <c r="AD28" i="147" s="1"/>
  <c r="AK22" i="147"/>
  <c r="AJ22" i="147"/>
  <c r="AH22" i="147"/>
  <c r="AG22" i="147"/>
  <c r="AD24" i="147" s="1"/>
  <c r="AE22" i="147"/>
  <c r="AW21" i="147"/>
  <c r="AX22" i="147" s="1"/>
  <c r="AC36" i="147" s="1"/>
  <c r="AT21" i="147"/>
  <c r="AQ21" i="147"/>
  <c r="AN21" i="147"/>
  <c r="AK21" i="147"/>
  <c r="AL22" i="147" s="1"/>
  <c r="AC28" i="147" s="1"/>
  <c r="AH21" i="147"/>
  <c r="AE21" i="147"/>
  <c r="AB24" i="147" s="1"/>
  <c r="AY20" i="147"/>
  <c r="AW20" i="147"/>
  <c r="AV20" i="147"/>
  <c r="AT20" i="147"/>
  <c r="AS20" i="147"/>
  <c r="AQ20" i="147"/>
  <c r="AP20" i="147"/>
  <c r="AN20" i="147"/>
  <c r="AM20" i="147"/>
  <c r="AK20" i="147"/>
  <c r="AJ20" i="147"/>
  <c r="AH20" i="147"/>
  <c r="AG20" i="147"/>
  <c r="AE20" i="147"/>
  <c r="AD20" i="147"/>
  <c r="AB20" i="147"/>
  <c r="AW19" i="147"/>
  <c r="AT19" i="147"/>
  <c r="AQ19" i="147"/>
  <c r="AN19" i="147"/>
  <c r="AK19" i="147"/>
  <c r="AH19" i="147"/>
  <c r="Y26" i="147" s="1"/>
  <c r="AE19" i="147"/>
  <c r="AB19" i="147"/>
  <c r="AC20" i="147" s="1"/>
  <c r="Z22" i="147" s="1"/>
  <c r="AY18" i="147"/>
  <c r="AW18" i="147"/>
  <c r="AV18" i="147"/>
  <c r="AT18" i="147"/>
  <c r="AS18" i="147"/>
  <c r="AQ18" i="147"/>
  <c r="AP18" i="147"/>
  <c r="AN18" i="147"/>
  <c r="AM18" i="147"/>
  <c r="AK18" i="147"/>
  <c r="AJ18" i="147"/>
  <c r="AH18" i="147"/>
  <c r="AG18" i="147"/>
  <c r="AE18" i="147"/>
  <c r="AD18" i="147"/>
  <c r="AB18" i="147"/>
  <c r="AA18" i="147"/>
  <c r="Y18" i="147"/>
  <c r="AW17" i="147"/>
  <c r="AT17" i="147"/>
  <c r="AQ17" i="147"/>
  <c r="AN17" i="147"/>
  <c r="AK17" i="147"/>
  <c r="AH17" i="147"/>
  <c r="AE17" i="147"/>
  <c r="AB17" i="147"/>
  <c r="Y17" i="147"/>
  <c r="AY16" i="147"/>
  <c r="U36" i="147" s="1"/>
  <c r="AW16" i="147"/>
  <c r="AV16" i="147"/>
  <c r="AT16" i="147"/>
  <c r="AS16" i="147"/>
  <c r="U32" i="147" s="1"/>
  <c r="AQ16" i="147"/>
  <c r="AP16" i="147"/>
  <c r="AN16" i="147"/>
  <c r="AM16" i="147"/>
  <c r="U28" i="147" s="1"/>
  <c r="AK16" i="147"/>
  <c r="AJ16" i="147"/>
  <c r="AH16" i="147"/>
  <c r="AG16" i="147"/>
  <c r="U24" i="147" s="1"/>
  <c r="AE16" i="147"/>
  <c r="AD16" i="147"/>
  <c r="AB16" i="147"/>
  <c r="AA16" i="147"/>
  <c r="U20" i="147" s="1"/>
  <c r="Y16" i="147"/>
  <c r="X16" i="147"/>
  <c r="V16" i="147"/>
  <c r="AW15" i="147"/>
  <c r="AT15" i="147"/>
  <c r="AQ15" i="147"/>
  <c r="AR16" i="147" s="1"/>
  <c r="T32" i="147" s="1"/>
  <c r="AN15" i="147"/>
  <c r="AK15" i="147"/>
  <c r="AH15" i="147"/>
  <c r="AE15" i="147"/>
  <c r="AB15" i="147"/>
  <c r="Y15" i="147"/>
  <c r="V15" i="147"/>
  <c r="AY14" i="147"/>
  <c r="R36" i="147" s="1"/>
  <c r="AW14" i="147"/>
  <c r="AV14" i="147"/>
  <c r="AT14" i="147"/>
  <c r="AS14" i="147"/>
  <c r="R32" i="147" s="1"/>
  <c r="AQ14" i="147"/>
  <c r="AP14" i="147"/>
  <c r="AN14" i="147"/>
  <c r="AM14" i="147"/>
  <c r="R28" i="147" s="1"/>
  <c r="AK14" i="147"/>
  <c r="AJ14" i="147"/>
  <c r="AH14" i="147"/>
  <c r="AG14" i="147"/>
  <c r="R24" i="147" s="1"/>
  <c r="AE14" i="147"/>
  <c r="AD14" i="147"/>
  <c r="AB14" i="147"/>
  <c r="AA14" i="147"/>
  <c r="R20" i="147" s="1"/>
  <c r="Y14" i="147"/>
  <c r="X14" i="147"/>
  <c r="R18" i="147" s="1"/>
  <c r="V14" i="147"/>
  <c r="U14" i="147"/>
  <c r="R16" i="147" s="1"/>
  <c r="S14" i="147"/>
  <c r="AW13" i="147"/>
  <c r="AX14" i="147" s="1"/>
  <c r="Q36" i="147" s="1"/>
  <c r="AT13" i="147"/>
  <c r="AQ13" i="147"/>
  <c r="AR14" i="147" s="1"/>
  <c r="Q32" i="147" s="1"/>
  <c r="AN13" i="147"/>
  <c r="AK13" i="147"/>
  <c r="AL14" i="147" s="1"/>
  <c r="Q28" i="147" s="1"/>
  <c r="AH13" i="147"/>
  <c r="AE13" i="147"/>
  <c r="P24" i="147" s="1"/>
  <c r="AB13" i="147"/>
  <c r="Y13" i="147"/>
  <c r="P20" i="147" s="1"/>
  <c r="V13" i="147"/>
  <c r="S13" i="147"/>
  <c r="P16" i="147" s="1"/>
  <c r="AY12" i="147"/>
  <c r="AW12" i="147"/>
  <c r="AV12" i="147"/>
  <c r="AT12" i="147"/>
  <c r="AS12" i="147"/>
  <c r="AQ12" i="147"/>
  <c r="AP12" i="147"/>
  <c r="AN12" i="147"/>
  <c r="AM12" i="147"/>
  <c r="AK12" i="147"/>
  <c r="AJ12" i="147"/>
  <c r="AH12" i="147"/>
  <c r="AG12" i="147"/>
  <c r="AE12" i="147"/>
  <c r="AD12" i="147"/>
  <c r="AB12" i="147"/>
  <c r="AA12" i="147"/>
  <c r="Y12" i="147"/>
  <c r="X12" i="147"/>
  <c r="V12" i="147"/>
  <c r="U12" i="147"/>
  <c r="S12" i="147"/>
  <c r="R12" i="147"/>
  <c r="P12" i="147"/>
  <c r="AW11" i="147"/>
  <c r="AT11" i="147"/>
  <c r="AQ11" i="147"/>
  <c r="AN11" i="147"/>
  <c r="AK11" i="147"/>
  <c r="AH11" i="147"/>
  <c r="M26" i="147" s="1"/>
  <c r="AE11" i="147"/>
  <c r="AB11" i="147"/>
  <c r="AC12" i="147" s="1"/>
  <c r="N22" i="147" s="1"/>
  <c r="Y11" i="147"/>
  <c r="V11" i="147"/>
  <c r="W12" i="147" s="1"/>
  <c r="N18" i="147" s="1"/>
  <c r="S11" i="147"/>
  <c r="P11" i="147"/>
  <c r="Q12" i="147" s="1"/>
  <c r="N14" i="147" s="1"/>
  <c r="AY10" i="147"/>
  <c r="AW10" i="147"/>
  <c r="J36" i="147" s="1"/>
  <c r="AV10" i="147"/>
  <c r="AT10" i="147"/>
  <c r="J34" i="147" s="1"/>
  <c r="AS10" i="147"/>
  <c r="AQ10" i="147"/>
  <c r="AP10" i="147"/>
  <c r="AN10" i="147"/>
  <c r="AM10" i="147"/>
  <c r="AK10" i="147"/>
  <c r="AJ10" i="147"/>
  <c r="AH10" i="147"/>
  <c r="AG10" i="147"/>
  <c r="AE10" i="147"/>
  <c r="AD10" i="147"/>
  <c r="L22" i="147" s="1"/>
  <c r="AB10" i="147"/>
  <c r="AA10" i="147"/>
  <c r="Y10" i="147"/>
  <c r="X10" i="147"/>
  <c r="V10" i="147"/>
  <c r="U10" i="147"/>
  <c r="S10" i="147"/>
  <c r="R10" i="147"/>
  <c r="P10" i="147"/>
  <c r="O10" i="147"/>
  <c r="M10" i="147"/>
  <c r="AW9" i="147"/>
  <c r="AT9" i="147"/>
  <c r="J33" i="147" s="1"/>
  <c r="AQ9" i="147"/>
  <c r="AN9" i="147"/>
  <c r="AK9" i="147"/>
  <c r="AH9" i="147"/>
  <c r="J26" i="147" s="1"/>
  <c r="AE9" i="147"/>
  <c r="AB9" i="147"/>
  <c r="J22" i="147" s="1"/>
  <c r="Y9" i="147"/>
  <c r="V9" i="147"/>
  <c r="J18" i="147" s="1"/>
  <c r="S9" i="147"/>
  <c r="P9" i="147"/>
  <c r="J14" i="147" s="1"/>
  <c r="M9" i="147"/>
  <c r="AY8" i="147"/>
  <c r="I36" i="147" s="1"/>
  <c r="AW8" i="147"/>
  <c r="AV8" i="147"/>
  <c r="I34" i="147" s="1"/>
  <c r="AT8" i="147"/>
  <c r="AS8" i="147"/>
  <c r="AQ8" i="147"/>
  <c r="AP8" i="147"/>
  <c r="I30" i="147" s="1"/>
  <c r="AN8" i="147"/>
  <c r="AM8" i="147"/>
  <c r="I28" i="147" s="1"/>
  <c r="AK8" i="147"/>
  <c r="AJ8" i="147"/>
  <c r="I26" i="147" s="1"/>
  <c r="AH8" i="147"/>
  <c r="AG8" i="147"/>
  <c r="AE8" i="147"/>
  <c r="AD8" i="147"/>
  <c r="I22" i="147" s="1"/>
  <c r="AB8" i="147"/>
  <c r="AA8" i="147"/>
  <c r="I20" i="147" s="1"/>
  <c r="Y8" i="147"/>
  <c r="X8" i="147"/>
  <c r="I18" i="147" s="1"/>
  <c r="V8" i="147"/>
  <c r="U8" i="147"/>
  <c r="I16" i="147" s="1"/>
  <c r="S8" i="147"/>
  <c r="R8" i="147"/>
  <c r="I14" i="147" s="1"/>
  <c r="P8" i="147"/>
  <c r="O8" i="147"/>
  <c r="I12" i="147" s="1"/>
  <c r="M8" i="147"/>
  <c r="L8" i="147"/>
  <c r="I10" i="147" s="1"/>
  <c r="J8" i="147"/>
  <c r="AW7" i="147"/>
  <c r="AX8" i="147" s="1"/>
  <c r="H36" i="147" s="1"/>
  <c r="AT7" i="147"/>
  <c r="AQ7" i="147"/>
  <c r="AR8" i="147" s="1"/>
  <c r="H32" i="147" s="1"/>
  <c r="AN7" i="147"/>
  <c r="AK7" i="147"/>
  <c r="AL8" i="147" s="1"/>
  <c r="H28" i="147" s="1"/>
  <c r="AH7" i="147"/>
  <c r="AE7" i="147"/>
  <c r="AF8" i="147" s="1"/>
  <c r="H24" i="147" s="1"/>
  <c r="AB7" i="147"/>
  <c r="Y7" i="147"/>
  <c r="G20" i="147" s="1"/>
  <c r="V7" i="147"/>
  <c r="S7" i="147"/>
  <c r="T8" i="147" s="1"/>
  <c r="H16" i="147" s="1"/>
  <c r="P7" i="147"/>
  <c r="M7" i="147"/>
  <c r="G12" i="147" s="1"/>
  <c r="J7" i="147"/>
  <c r="BS6" i="147"/>
  <c r="BP6" i="147"/>
  <c r="BM6" i="147"/>
  <c r="BJ6" i="147"/>
  <c r="BG6" i="147"/>
  <c r="AY6" i="147"/>
  <c r="F36" i="147" s="1"/>
  <c r="AW6" i="147"/>
  <c r="AV6" i="147"/>
  <c r="AT6" i="147"/>
  <c r="AS6" i="147"/>
  <c r="AQ6" i="147"/>
  <c r="AP6" i="147"/>
  <c r="AN6" i="147"/>
  <c r="AM6" i="147"/>
  <c r="F28" i="147" s="1"/>
  <c r="AK6" i="147"/>
  <c r="AJ6" i="147"/>
  <c r="AH6" i="147"/>
  <c r="AG6" i="147"/>
  <c r="AE6" i="147"/>
  <c r="AD6" i="147"/>
  <c r="AB6" i="147"/>
  <c r="AA6" i="147"/>
  <c r="F20" i="147" s="1"/>
  <c r="Y6" i="147"/>
  <c r="X6" i="147"/>
  <c r="V6" i="147"/>
  <c r="U6" i="147"/>
  <c r="S6" i="147"/>
  <c r="R6" i="147"/>
  <c r="P6" i="147"/>
  <c r="O6" i="147"/>
  <c r="F12" i="147" s="1"/>
  <c r="M6" i="147"/>
  <c r="L6" i="147"/>
  <c r="J6" i="147"/>
  <c r="I6" i="147"/>
  <c r="G6" i="147"/>
  <c r="CT5" i="147"/>
  <c r="CQ5" i="147"/>
  <c r="CN5" i="147"/>
  <c r="CK5" i="147"/>
  <c r="CH5" i="147"/>
  <c r="CE5" i="147"/>
  <c r="CB5" i="147"/>
  <c r="BY5" i="147"/>
  <c r="BV5" i="147"/>
  <c r="BS5" i="147"/>
  <c r="BP5" i="147"/>
  <c r="BM5" i="147"/>
  <c r="BJ5" i="147"/>
  <c r="BG5" i="147"/>
  <c r="BD5" i="147"/>
  <c r="AW5" i="147"/>
  <c r="AT5" i="147"/>
  <c r="AQ5" i="147"/>
  <c r="AN5" i="147"/>
  <c r="AK5" i="147"/>
  <c r="AH5" i="147"/>
  <c r="AE5" i="147"/>
  <c r="AB5" i="147"/>
  <c r="Y5" i="147"/>
  <c r="V5" i="147"/>
  <c r="S5" i="147"/>
  <c r="P5" i="147"/>
  <c r="M5" i="147"/>
  <c r="J5" i="147"/>
  <c r="G5" i="147"/>
  <c r="AL38" i="147"/>
  <c r="E38" i="147"/>
  <c r="C36" i="147"/>
  <c r="C35" i="147"/>
  <c r="AV36" i="147"/>
  <c r="C34" i="147"/>
  <c r="AT36" i="147"/>
  <c r="C33" i="147"/>
  <c r="AS34" i="147"/>
  <c r="C32" i="147"/>
  <c r="AQ36" i="147"/>
  <c r="C31" i="147"/>
  <c r="AP36" i="147"/>
  <c r="AP32" i="147"/>
  <c r="C30" i="147"/>
  <c r="AX30" i="147"/>
  <c r="AO36" i="147" s="1"/>
  <c r="C29" i="147"/>
  <c r="AM36" i="147"/>
  <c r="AM34" i="147"/>
  <c r="AM32" i="147"/>
  <c r="AM30" i="147"/>
  <c r="C28" i="147"/>
  <c r="AX28" i="147"/>
  <c r="AL36" i="147" s="1"/>
  <c r="AK31" i="147"/>
  <c r="AO28" i="147"/>
  <c r="AL30" i="147" s="1"/>
  <c r="C27" i="147"/>
  <c r="AJ36" i="147"/>
  <c r="AJ34" i="147"/>
  <c r="AJ32" i="147"/>
  <c r="AJ30" i="147"/>
  <c r="AJ28" i="147"/>
  <c r="C26" i="147"/>
  <c r="C25" i="147"/>
  <c r="AG34" i="147"/>
  <c r="AG30" i="147"/>
  <c r="AG26" i="147"/>
  <c r="C24" i="147"/>
  <c r="AX24" i="147"/>
  <c r="AF36" i="147" s="1"/>
  <c r="AL24" i="147"/>
  <c r="AF28" i="147" s="1"/>
  <c r="AE26" i="147"/>
  <c r="C23" i="147"/>
  <c r="AD34" i="147"/>
  <c r="AD30" i="147"/>
  <c r="AD26" i="147"/>
  <c r="C22" i="147"/>
  <c r="AR22" i="147"/>
  <c r="AC32" i="147" s="1"/>
  <c r="AB25" i="147"/>
  <c r="C21" i="147"/>
  <c r="AA36" i="147"/>
  <c r="AA34" i="147"/>
  <c r="AA32" i="147"/>
  <c r="AA30" i="147"/>
  <c r="AA28" i="147"/>
  <c r="AA26" i="147"/>
  <c r="AA24" i="147"/>
  <c r="AA22" i="147"/>
  <c r="C20" i="147"/>
  <c r="AX20" i="147"/>
  <c r="Z36" i="147" s="1"/>
  <c r="AR20" i="147"/>
  <c r="Z32" i="147" s="1"/>
  <c r="AL20" i="147"/>
  <c r="Z28" i="147" s="1"/>
  <c r="Y24" i="147"/>
  <c r="C19" i="147"/>
  <c r="X36" i="147"/>
  <c r="X34" i="147"/>
  <c r="X32" i="147"/>
  <c r="X30" i="147"/>
  <c r="X28" i="147"/>
  <c r="X26" i="147"/>
  <c r="X24" i="147"/>
  <c r="X22" i="147"/>
  <c r="X20" i="147"/>
  <c r="C18" i="147"/>
  <c r="AX18" i="147"/>
  <c r="W36" i="147" s="1"/>
  <c r="AR18" i="147"/>
  <c r="W32" i="147" s="1"/>
  <c r="AL18" i="147"/>
  <c r="W28" i="147" s="1"/>
  <c r="V26" i="147"/>
  <c r="V24" i="147"/>
  <c r="V22" i="147"/>
  <c r="V20" i="147"/>
  <c r="C17" i="147"/>
  <c r="U34" i="147"/>
  <c r="U30" i="147"/>
  <c r="U26" i="147"/>
  <c r="U22" i="147"/>
  <c r="U18" i="147"/>
  <c r="C16" i="147"/>
  <c r="AX16" i="147"/>
  <c r="T36" i="147" s="1"/>
  <c r="AL16" i="147"/>
  <c r="T28" i="147" s="1"/>
  <c r="S26" i="147"/>
  <c r="S24" i="147"/>
  <c r="AC16" i="147"/>
  <c r="T22" i="147" s="1"/>
  <c r="S20" i="147"/>
  <c r="W16" i="147"/>
  <c r="T18" i="147" s="1"/>
  <c r="C15" i="147"/>
  <c r="R34" i="147"/>
  <c r="R30" i="147"/>
  <c r="R26" i="147"/>
  <c r="R22" i="147"/>
  <c r="C14" i="147"/>
  <c r="P25" i="147"/>
  <c r="P22" i="147"/>
  <c r="P18" i="147"/>
  <c r="C13" i="147"/>
  <c r="O36" i="147"/>
  <c r="O34" i="147"/>
  <c r="O32" i="147"/>
  <c r="O30" i="147"/>
  <c r="O28" i="147"/>
  <c r="O26" i="147"/>
  <c r="O24" i="147"/>
  <c r="O22" i="147"/>
  <c r="O20" i="147"/>
  <c r="O18" i="147"/>
  <c r="O16" i="147"/>
  <c r="O14" i="147"/>
  <c r="C12" i="147"/>
  <c r="AX12" i="147"/>
  <c r="N36" i="147" s="1"/>
  <c r="AR12" i="147"/>
  <c r="N32" i="147" s="1"/>
  <c r="AL12" i="147"/>
  <c r="N28" i="147" s="1"/>
  <c r="M24" i="147"/>
  <c r="M20" i="147"/>
  <c r="M16" i="147"/>
  <c r="C11" i="147"/>
  <c r="L36" i="147"/>
  <c r="L34" i="147"/>
  <c r="L32" i="147"/>
  <c r="L30" i="147"/>
  <c r="L28" i="147"/>
  <c r="L26" i="147"/>
  <c r="L24" i="147"/>
  <c r="L20" i="147"/>
  <c r="L18" i="147"/>
  <c r="L16" i="147"/>
  <c r="T10" i="147"/>
  <c r="K16" i="147" s="1"/>
  <c r="L14" i="147"/>
  <c r="L12" i="147"/>
  <c r="N10" i="147"/>
  <c r="K12" i="147" s="1"/>
  <c r="C10" i="147"/>
  <c r="J35" i="147"/>
  <c r="AR10" i="147"/>
  <c r="K32" i="147" s="1"/>
  <c r="AL10" i="147"/>
  <c r="K28" i="147" s="1"/>
  <c r="J24" i="147"/>
  <c r="J20" i="147"/>
  <c r="J16" i="147"/>
  <c r="J12" i="147"/>
  <c r="C9" i="147"/>
  <c r="I32" i="147"/>
  <c r="I24" i="147"/>
  <c r="Z8" i="147"/>
  <c r="H20" i="147" s="1"/>
  <c r="C8" i="147"/>
  <c r="G24" i="147"/>
  <c r="C7" i="147"/>
  <c r="F34" i="147"/>
  <c r="F32" i="147"/>
  <c r="F30" i="147"/>
  <c r="F26" i="147"/>
  <c r="F24" i="147"/>
  <c r="F22" i="147"/>
  <c r="F18" i="147"/>
  <c r="F16" i="147"/>
  <c r="F14" i="147"/>
  <c r="F10" i="147"/>
  <c r="F8" i="147"/>
  <c r="C6" i="147"/>
  <c r="C5" i="147"/>
  <c r="D3" i="147"/>
  <c r="AK2" i="147"/>
  <c r="I2" i="147"/>
  <c r="C2" i="147"/>
  <c r="A1" i="147"/>
  <c r="AY34" i="146"/>
  <c r="AW34" i="146"/>
  <c r="AW33" i="146"/>
  <c r="AY32" i="146"/>
  <c r="AW32" i="146"/>
  <c r="AV32" i="146"/>
  <c r="AT32" i="146"/>
  <c r="AW31" i="146"/>
  <c r="AT31" i="146"/>
  <c r="AY30" i="146"/>
  <c r="AW30" i="146"/>
  <c r="AV30" i="146"/>
  <c r="AT30" i="146"/>
  <c r="AS30" i="146"/>
  <c r="AQ30" i="146"/>
  <c r="AW29" i="146"/>
  <c r="AT29" i="146"/>
  <c r="AQ29" i="146"/>
  <c r="AY28" i="146"/>
  <c r="AW28" i="146"/>
  <c r="AV28" i="146"/>
  <c r="AT28" i="146"/>
  <c r="AS28" i="146"/>
  <c r="AQ28" i="146"/>
  <c r="AP28" i="146"/>
  <c r="AN28" i="146"/>
  <c r="AW27" i="146"/>
  <c r="AT27" i="146"/>
  <c r="AQ27" i="146"/>
  <c r="AN27" i="146"/>
  <c r="AY26" i="146"/>
  <c r="AW26" i="146"/>
  <c r="AV26" i="146"/>
  <c r="AT26" i="146"/>
  <c r="AS26" i="146"/>
  <c r="AQ26" i="146"/>
  <c r="AM26" i="146"/>
  <c r="AK26" i="146"/>
  <c r="AW25" i="146"/>
  <c r="AT25" i="146"/>
  <c r="AQ25" i="146"/>
  <c r="AN25" i="146"/>
  <c r="AK25" i="146"/>
  <c r="AY24" i="146"/>
  <c r="AW24" i="146"/>
  <c r="AV24" i="146"/>
  <c r="AT24" i="146"/>
  <c r="AS24" i="146"/>
  <c r="AQ24" i="146"/>
  <c r="AP24" i="146"/>
  <c r="AN24" i="146"/>
  <c r="AM24" i="146"/>
  <c r="AK24" i="146"/>
  <c r="AJ24" i="146"/>
  <c r="AH24" i="146"/>
  <c r="AW23" i="146"/>
  <c r="AT23" i="146"/>
  <c r="AQ23" i="146"/>
  <c r="AN23" i="146"/>
  <c r="AK23" i="146"/>
  <c r="AH23" i="146"/>
  <c r="AY22" i="146"/>
  <c r="AW22" i="146"/>
  <c r="AV22" i="146"/>
  <c r="AT22" i="146"/>
  <c r="AS22" i="146"/>
  <c r="AQ22" i="146"/>
  <c r="AP22" i="146"/>
  <c r="AN22" i="146"/>
  <c r="AM22" i="146"/>
  <c r="AK22" i="146"/>
  <c r="AJ22" i="146"/>
  <c r="AH22" i="146"/>
  <c r="AG22" i="146"/>
  <c r="AE22" i="146"/>
  <c r="AW21" i="146"/>
  <c r="AT21" i="146"/>
  <c r="AQ21" i="146"/>
  <c r="AN21" i="146"/>
  <c r="AK21" i="146"/>
  <c r="AH21" i="146"/>
  <c r="AE21" i="146"/>
  <c r="AY20" i="146"/>
  <c r="AW20" i="146"/>
  <c r="AV20" i="146"/>
  <c r="AT20" i="146"/>
  <c r="AS20" i="146"/>
  <c r="AQ20" i="146"/>
  <c r="AP20" i="146"/>
  <c r="AN20" i="146"/>
  <c r="AM20" i="146"/>
  <c r="AK20" i="146"/>
  <c r="AJ20" i="146"/>
  <c r="AH20" i="146"/>
  <c r="AG20" i="146"/>
  <c r="AE20" i="146"/>
  <c r="AD20" i="146"/>
  <c r="AB20" i="146"/>
  <c r="AW19" i="146"/>
  <c r="AT19" i="146"/>
  <c r="AQ19" i="146"/>
  <c r="AN19" i="146"/>
  <c r="AK19" i="146"/>
  <c r="AH19" i="146"/>
  <c r="AE19" i="146"/>
  <c r="AB19" i="146"/>
  <c r="AY18" i="146"/>
  <c r="AW18" i="146"/>
  <c r="AV18" i="146"/>
  <c r="AT18" i="146"/>
  <c r="AS18" i="146"/>
  <c r="AQ18" i="146"/>
  <c r="AP18" i="146"/>
  <c r="AN18" i="146"/>
  <c r="AM18" i="146"/>
  <c r="AK18" i="146"/>
  <c r="AJ18" i="146"/>
  <c r="AH18" i="146"/>
  <c r="AG18" i="146"/>
  <c r="AE18" i="146"/>
  <c r="AD18" i="146"/>
  <c r="AB18" i="146"/>
  <c r="AA18" i="146"/>
  <c r="Y18" i="146"/>
  <c r="AW17" i="146"/>
  <c r="AT17" i="146"/>
  <c r="AQ17" i="146"/>
  <c r="AN17" i="146"/>
  <c r="AK17" i="146"/>
  <c r="AH17" i="146"/>
  <c r="AE17" i="146"/>
  <c r="AB17" i="146"/>
  <c r="Y17" i="146"/>
  <c r="AY16" i="146"/>
  <c r="AW16" i="146"/>
  <c r="AV16" i="146"/>
  <c r="AT16" i="146"/>
  <c r="AS16" i="146"/>
  <c r="AQ16" i="146"/>
  <c r="AP16" i="146"/>
  <c r="AN16" i="146"/>
  <c r="AM16" i="146"/>
  <c r="AK16" i="146"/>
  <c r="AJ16" i="146"/>
  <c r="AH16" i="146"/>
  <c r="AG16" i="146"/>
  <c r="AE16" i="146"/>
  <c r="AD16" i="146"/>
  <c r="AB16" i="146"/>
  <c r="AA16" i="146"/>
  <c r="Y16" i="146"/>
  <c r="X16" i="146"/>
  <c r="V16" i="146"/>
  <c r="AW15" i="146"/>
  <c r="AT15" i="146"/>
  <c r="AQ15" i="146"/>
  <c r="AN15" i="146"/>
  <c r="AK15" i="146"/>
  <c r="AH15" i="146"/>
  <c r="AE15" i="146"/>
  <c r="AB15" i="146"/>
  <c r="Y15" i="146"/>
  <c r="V15" i="146"/>
  <c r="AY14" i="146"/>
  <c r="AW14" i="146"/>
  <c r="AV14" i="146"/>
  <c r="AT14" i="146"/>
  <c r="AS14" i="146"/>
  <c r="AQ14" i="146"/>
  <c r="AP14" i="146"/>
  <c r="AN14" i="146"/>
  <c r="AM14" i="146"/>
  <c r="AK14" i="146"/>
  <c r="AJ14" i="146"/>
  <c r="AH14" i="146"/>
  <c r="AG14" i="146"/>
  <c r="AE14" i="146"/>
  <c r="AD14" i="146"/>
  <c r="AB14" i="146"/>
  <c r="AA14" i="146"/>
  <c r="Y14" i="146"/>
  <c r="X14" i="146"/>
  <c r="V14" i="146"/>
  <c r="U14" i="146"/>
  <c r="S14" i="146"/>
  <c r="AW13" i="146"/>
  <c r="AT13" i="146"/>
  <c r="AQ13" i="146"/>
  <c r="AN13" i="146"/>
  <c r="AK13" i="146"/>
  <c r="AH13" i="146"/>
  <c r="AE13" i="146"/>
  <c r="AB13" i="146"/>
  <c r="Y13" i="146"/>
  <c r="V13" i="146"/>
  <c r="S13" i="146"/>
  <c r="AY12" i="146"/>
  <c r="O36" i="146" s="1"/>
  <c r="AW12" i="146"/>
  <c r="AV12" i="146"/>
  <c r="AT12" i="146"/>
  <c r="AS12" i="146"/>
  <c r="O32" i="146" s="1"/>
  <c r="AQ12" i="146"/>
  <c r="AP12" i="146"/>
  <c r="AN12" i="146"/>
  <c r="AM12" i="146"/>
  <c r="O28" i="146" s="1"/>
  <c r="AK12" i="146"/>
  <c r="AJ12" i="146"/>
  <c r="AH12" i="146"/>
  <c r="AG12" i="146"/>
  <c r="O24" i="146" s="1"/>
  <c r="AE12" i="146"/>
  <c r="AD12" i="146"/>
  <c r="AB12" i="146"/>
  <c r="AA12" i="146"/>
  <c r="O20" i="146" s="1"/>
  <c r="Y12" i="146"/>
  <c r="X12" i="146"/>
  <c r="V12" i="146"/>
  <c r="U12" i="146"/>
  <c r="O16" i="146" s="1"/>
  <c r="S12" i="146"/>
  <c r="R12" i="146"/>
  <c r="P12" i="146"/>
  <c r="AW11" i="146"/>
  <c r="AT11" i="146"/>
  <c r="AQ11" i="146"/>
  <c r="AR12" i="146" s="1"/>
  <c r="N32" i="146" s="1"/>
  <c r="AN11" i="146"/>
  <c r="AK11" i="146"/>
  <c r="AH11" i="146"/>
  <c r="AE11" i="146"/>
  <c r="AB11" i="146"/>
  <c r="Y11" i="146"/>
  <c r="V11" i="146"/>
  <c r="S11" i="146"/>
  <c r="P11" i="146"/>
  <c r="AY10" i="146"/>
  <c r="L36" i="146" s="1"/>
  <c r="AW10" i="146"/>
  <c r="AV10" i="146"/>
  <c r="L34" i="146" s="1"/>
  <c r="AT10" i="146"/>
  <c r="AS10" i="146"/>
  <c r="L32" i="146" s="1"/>
  <c r="AQ10" i="146"/>
  <c r="AP10" i="146"/>
  <c r="AN10" i="146"/>
  <c r="AM10" i="146"/>
  <c r="L28" i="146" s="1"/>
  <c r="AK10" i="146"/>
  <c r="AJ10" i="146"/>
  <c r="AH10" i="146"/>
  <c r="AG10" i="146"/>
  <c r="L24" i="146" s="1"/>
  <c r="AE10" i="146"/>
  <c r="AD10" i="146"/>
  <c r="AB10" i="146"/>
  <c r="AA10" i="146"/>
  <c r="L20" i="146" s="1"/>
  <c r="Y10" i="146"/>
  <c r="X10" i="146"/>
  <c r="V10" i="146"/>
  <c r="U10" i="146"/>
  <c r="L16" i="146" s="1"/>
  <c r="S10" i="146"/>
  <c r="R10" i="146"/>
  <c r="P10" i="146"/>
  <c r="O10" i="146"/>
  <c r="L12" i="146" s="1"/>
  <c r="M10" i="146"/>
  <c r="AW9" i="146"/>
  <c r="AT9" i="146"/>
  <c r="AQ9" i="146"/>
  <c r="AN9" i="146"/>
  <c r="AK9" i="146"/>
  <c r="AH9" i="146"/>
  <c r="AE9" i="146"/>
  <c r="AB9" i="146"/>
  <c r="Y9" i="146"/>
  <c r="V9" i="146"/>
  <c r="S9" i="146"/>
  <c r="P9" i="146"/>
  <c r="M9" i="146"/>
  <c r="AY8" i="146"/>
  <c r="AW8" i="146"/>
  <c r="AV8" i="146"/>
  <c r="I34" i="146" s="1"/>
  <c r="AT8" i="146"/>
  <c r="AS8" i="146"/>
  <c r="AQ8" i="146"/>
  <c r="AP8" i="146"/>
  <c r="I30" i="146" s="1"/>
  <c r="AN8" i="146"/>
  <c r="AM8" i="146"/>
  <c r="AK8" i="146"/>
  <c r="AJ8" i="146"/>
  <c r="I26" i="146" s="1"/>
  <c r="AH8" i="146"/>
  <c r="AG8" i="146"/>
  <c r="AE8" i="146"/>
  <c r="AD8" i="146"/>
  <c r="I22" i="146" s="1"/>
  <c r="AB8" i="146"/>
  <c r="AA8" i="146"/>
  <c r="Y8" i="146"/>
  <c r="X8" i="146"/>
  <c r="I18" i="146" s="1"/>
  <c r="V8" i="146"/>
  <c r="U8" i="146"/>
  <c r="I16" i="146" s="1"/>
  <c r="S8" i="146"/>
  <c r="R8" i="146"/>
  <c r="P8" i="146"/>
  <c r="O8" i="146"/>
  <c r="I12" i="146" s="1"/>
  <c r="M8" i="146"/>
  <c r="L8" i="146"/>
  <c r="I10" i="146" s="1"/>
  <c r="J8" i="146"/>
  <c r="AW7" i="146"/>
  <c r="AX8" i="146" s="1"/>
  <c r="H36" i="146" s="1"/>
  <c r="AT7" i="146"/>
  <c r="AQ7" i="146"/>
  <c r="AN7" i="146"/>
  <c r="AK7" i="146"/>
  <c r="AL8" i="146" s="1"/>
  <c r="H28" i="146" s="1"/>
  <c r="AH7" i="146"/>
  <c r="AE7" i="146"/>
  <c r="AF8" i="146" s="1"/>
  <c r="H24" i="146" s="1"/>
  <c r="AB7" i="146"/>
  <c r="Y7" i="146"/>
  <c r="Z8" i="146" s="1"/>
  <c r="H20" i="146" s="1"/>
  <c r="V7" i="146"/>
  <c r="S7" i="146"/>
  <c r="P7" i="146"/>
  <c r="Q8" i="146" s="1"/>
  <c r="H14" i="146" s="1"/>
  <c r="M7" i="146"/>
  <c r="N8" i="146" s="1"/>
  <c r="H12" i="146" s="1"/>
  <c r="J7" i="146"/>
  <c r="G10" i="146" s="1"/>
  <c r="BS6" i="146"/>
  <c r="BP6" i="146"/>
  <c r="BM6" i="146"/>
  <c r="BJ6" i="146"/>
  <c r="BG6" i="146"/>
  <c r="AY6" i="146"/>
  <c r="F36" i="146" s="1"/>
  <c r="AW6" i="146"/>
  <c r="AV6" i="146"/>
  <c r="AT6" i="146"/>
  <c r="AS6" i="146"/>
  <c r="F32" i="146" s="1"/>
  <c r="AQ6" i="146"/>
  <c r="AP6" i="146"/>
  <c r="AN6" i="146"/>
  <c r="AM6" i="146"/>
  <c r="F28" i="146" s="1"/>
  <c r="AK6" i="146"/>
  <c r="AJ6" i="146"/>
  <c r="AH6" i="146"/>
  <c r="AG6" i="146"/>
  <c r="F24" i="146" s="1"/>
  <c r="AE6" i="146"/>
  <c r="AD6" i="146"/>
  <c r="AB6" i="146"/>
  <c r="AA6" i="146"/>
  <c r="F20" i="146" s="1"/>
  <c r="Y6" i="146"/>
  <c r="X6" i="146"/>
  <c r="V6" i="146"/>
  <c r="U6" i="146"/>
  <c r="F16" i="146" s="1"/>
  <c r="S6" i="146"/>
  <c r="R6" i="146"/>
  <c r="P6" i="146"/>
  <c r="O6" i="146"/>
  <c r="F12" i="146" s="1"/>
  <c r="M6" i="146"/>
  <c r="L6" i="146"/>
  <c r="J6" i="146"/>
  <c r="I6" i="146"/>
  <c r="F8" i="146" s="1"/>
  <c r="G6" i="146"/>
  <c r="CT5" i="146"/>
  <c r="CQ5" i="146"/>
  <c r="CN5" i="146"/>
  <c r="CK5" i="146"/>
  <c r="CH5" i="146"/>
  <c r="CE5" i="146"/>
  <c r="CB5" i="146"/>
  <c r="BY5" i="146"/>
  <c r="BV5" i="146"/>
  <c r="BS5" i="146"/>
  <c r="BP5" i="146"/>
  <c r="BM5" i="146"/>
  <c r="BJ5" i="146"/>
  <c r="BG5" i="146"/>
  <c r="BD5" i="146"/>
  <c r="AW5" i="146"/>
  <c r="AT5" i="146"/>
  <c r="AQ5" i="146"/>
  <c r="AN5" i="146"/>
  <c r="AK5" i="146"/>
  <c r="AH5" i="146"/>
  <c r="AE5" i="146"/>
  <c r="AB5" i="146"/>
  <c r="Y5" i="146"/>
  <c r="V5" i="146"/>
  <c r="S5" i="146"/>
  <c r="P5" i="146"/>
  <c r="M5" i="146"/>
  <c r="J5" i="146"/>
  <c r="D10" i="146" s="1"/>
  <c r="G5" i="146"/>
  <c r="D8" i="146" s="1"/>
  <c r="AL38" i="146"/>
  <c r="E38" i="146"/>
  <c r="C36" i="146"/>
  <c r="C35" i="146"/>
  <c r="AV36" i="146"/>
  <c r="C34" i="146"/>
  <c r="AT36" i="146"/>
  <c r="C33" i="146"/>
  <c r="AS36" i="146"/>
  <c r="AS34" i="146"/>
  <c r="C32" i="146"/>
  <c r="AQ36" i="146"/>
  <c r="C31" i="146"/>
  <c r="AP36" i="146"/>
  <c r="AP34" i="146"/>
  <c r="AU30" i="146"/>
  <c r="AO34" i="146" s="1"/>
  <c r="AP32" i="146"/>
  <c r="AJ30" i="146"/>
  <c r="C30" i="146"/>
  <c r="C29" i="146"/>
  <c r="AM36" i="146"/>
  <c r="AM34" i="146"/>
  <c r="AU28" i="146"/>
  <c r="AL34" i="146" s="1"/>
  <c r="AM32" i="146"/>
  <c r="AM30" i="146"/>
  <c r="AO28" i="146"/>
  <c r="AL30" i="146" s="1"/>
  <c r="C28" i="146"/>
  <c r="AK30" i="146"/>
  <c r="C27" i="146"/>
  <c r="AJ36" i="146"/>
  <c r="AJ34" i="146"/>
  <c r="AU26" i="146"/>
  <c r="AI34" i="146" s="1"/>
  <c r="AJ32" i="146"/>
  <c r="AJ28" i="146"/>
  <c r="C26" i="146"/>
  <c r="AH30" i="146"/>
  <c r="AL26" i="146"/>
  <c r="AI28" i="146" s="1"/>
  <c r="C25" i="146"/>
  <c r="AG36" i="146"/>
  <c r="AG34" i="146"/>
  <c r="AG32" i="146"/>
  <c r="AG30" i="146"/>
  <c r="AG28" i="146"/>
  <c r="AG26" i="146"/>
  <c r="AI24" i="146"/>
  <c r="AF26" i="146" s="1"/>
  <c r="C24" i="146"/>
  <c r="AX24" i="146"/>
  <c r="AF36" i="146" s="1"/>
  <c r="AR24" i="146"/>
  <c r="AF32" i="146" s="1"/>
  <c r="AL24" i="146"/>
  <c r="AF28" i="146" s="1"/>
  <c r="AE26" i="146"/>
  <c r="C23" i="146"/>
  <c r="AD36" i="146"/>
  <c r="AD34" i="146"/>
  <c r="AD32" i="146"/>
  <c r="AD30" i="146"/>
  <c r="AD28" i="146"/>
  <c r="AD26" i="146"/>
  <c r="AI22" i="146"/>
  <c r="AC26" i="146" s="1"/>
  <c r="AD24" i="146"/>
  <c r="C22" i="146"/>
  <c r="AX22" i="146"/>
  <c r="AC36" i="146" s="1"/>
  <c r="AR22" i="146"/>
  <c r="AC32" i="146" s="1"/>
  <c r="AB30" i="146"/>
  <c r="AB28" i="146"/>
  <c r="AB25" i="146"/>
  <c r="AB24" i="146"/>
  <c r="C21" i="146"/>
  <c r="AA36" i="146"/>
  <c r="AA34" i="146"/>
  <c r="AA32" i="146"/>
  <c r="AA30" i="146"/>
  <c r="AA28" i="146"/>
  <c r="AA26" i="146"/>
  <c r="AI20" i="146"/>
  <c r="Z26" i="146" s="1"/>
  <c r="AA24" i="146"/>
  <c r="AA22" i="146"/>
  <c r="AC20" i="146"/>
  <c r="Z22" i="146" s="1"/>
  <c r="C20" i="146"/>
  <c r="AX20" i="146"/>
  <c r="Z36" i="146" s="1"/>
  <c r="AR20" i="146"/>
  <c r="Z32" i="146" s="1"/>
  <c r="AL20" i="146"/>
  <c r="Z28" i="146" s="1"/>
  <c r="Y26" i="146"/>
  <c r="Y24" i="146"/>
  <c r="Y22" i="146"/>
  <c r="C19" i="146"/>
  <c r="X36" i="146"/>
  <c r="X34" i="146"/>
  <c r="X32" i="146"/>
  <c r="X30" i="146"/>
  <c r="X28" i="146"/>
  <c r="X26" i="146"/>
  <c r="X24" i="146"/>
  <c r="X22" i="146"/>
  <c r="X20" i="146"/>
  <c r="C18" i="146"/>
  <c r="AX18" i="146"/>
  <c r="W36" i="146" s="1"/>
  <c r="AR18" i="146"/>
  <c r="W32" i="146" s="1"/>
  <c r="V29" i="146"/>
  <c r="V28" i="146"/>
  <c r="V26" i="146"/>
  <c r="V24" i="146"/>
  <c r="V22" i="146"/>
  <c r="V20" i="146"/>
  <c r="C17" i="146"/>
  <c r="U36" i="146"/>
  <c r="U34" i="146"/>
  <c r="U32" i="146"/>
  <c r="U30" i="146"/>
  <c r="U28" i="146"/>
  <c r="U26" i="146"/>
  <c r="U24" i="146"/>
  <c r="U22" i="146"/>
  <c r="U20" i="146"/>
  <c r="U18" i="146"/>
  <c r="C16" i="146"/>
  <c r="AX16" i="146"/>
  <c r="T36" i="146" s="1"/>
  <c r="AR16" i="146"/>
  <c r="T32" i="146" s="1"/>
  <c r="AL16" i="146"/>
  <c r="T28" i="146" s="1"/>
  <c r="S26" i="146"/>
  <c r="S24" i="146"/>
  <c r="AC16" i="146"/>
  <c r="T22" i="146" s="1"/>
  <c r="S20" i="146"/>
  <c r="W16" i="146"/>
  <c r="T18" i="146" s="1"/>
  <c r="C15" i="146"/>
  <c r="R36" i="146"/>
  <c r="R34" i="146"/>
  <c r="R32" i="146"/>
  <c r="R30" i="146"/>
  <c r="R28" i="146"/>
  <c r="R26" i="146"/>
  <c r="R24" i="146"/>
  <c r="R22" i="146"/>
  <c r="R20" i="146"/>
  <c r="R18" i="146"/>
  <c r="R16" i="146"/>
  <c r="C14" i="146"/>
  <c r="AX14" i="146"/>
  <c r="Q36" i="146" s="1"/>
  <c r="AR14" i="146"/>
  <c r="Q32" i="146" s="1"/>
  <c r="P30" i="146"/>
  <c r="P28" i="146"/>
  <c r="P25" i="146"/>
  <c r="P24" i="146"/>
  <c r="P22" i="146"/>
  <c r="P20" i="146"/>
  <c r="P18" i="146"/>
  <c r="P16" i="146"/>
  <c r="C13" i="146"/>
  <c r="O34" i="146"/>
  <c r="O30" i="146"/>
  <c r="O26" i="146"/>
  <c r="O22" i="146"/>
  <c r="O18" i="146"/>
  <c r="O14" i="146"/>
  <c r="C12" i="146"/>
  <c r="AX12" i="146"/>
  <c r="N36" i="146" s="1"/>
  <c r="AL12" i="146"/>
  <c r="N28" i="146" s="1"/>
  <c r="M26" i="146"/>
  <c r="M24" i="146"/>
  <c r="AC12" i="146"/>
  <c r="N22" i="146" s="1"/>
  <c r="M20" i="146"/>
  <c r="W12" i="146"/>
  <c r="N18" i="146" s="1"/>
  <c r="M16" i="146"/>
  <c r="Q12" i="146"/>
  <c r="N14" i="146" s="1"/>
  <c r="C11" i="146"/>
  <c r="J36" i="146"/>
  <c r="J34" i="146"/>
  <c r="L30" i="146"/>
  <c r="L26" i="146"/>
  <c r="L22" i="146"/>
  <c r="L18" i="146"/>
  <c r="L14" i="146"/>
  <c r="C10" i="146"/>
  <c r="C9" i="146"/>
  <c r="I36" i="146"/>
  <c r="I32" i="146"/>
  <c r="I28" i="146"/>
  <c r="I24" i="146"/>
  <c r="I20" i="146"/>
  <c r="W8" i="146"/>
  <c r="H18" i="146" s="1"/>
  <c r="I14" i="146"/>
  <c r="K8" i="146"/>
  <c r="H10" i="146" s="1"/>
  <c r="C8" i="146"/>
  <c r="AR8" i="146"/>
  <c r="H32" i="146" s="1"/>
  <c r="T8" i="146"/>
  <c r="H16" i="146" s="1"/>
  <c r="C7" i="146"/>
  <c r="F34" i="146"/>
  <c r="F30" i="146"/>
  <c r="F26" i="146"/>
  <c r="F22" i="146"/>
  <c r="F18" i="146"/>
  <c r="F14" i="146"/>
  <c r="F10" i="146"/>
  <c r="C6" i="146"/>
  <c r="C5" i="146"/>
  <c r="D3" i="146"/>
  <c r="AK2" i="146"/>
  <c r="I2" i="146"/>
  <c r="C2" i="146"/>
  <c r="A1" i="146"/>
  <c r="F124" i="141"/>
  <c r="D124" i="141"/>
  <c r="F123" i="141"/>
  <c r="D123" i="141"/>
  <c r="F122" i="141"/>
  <c r="D122" i="141"/>
  <c r="F121" i="141"/>
  <c r="D121" i="141"/>
  <c r="F120" i="141"/>
  <c r="D120" i="141"/>
  <c r="F119" i="141"/>
  <c r="D119" i="141"/>
  <c r="F118" i="141"/>
  <c r="D118" i="141"/>
  <c r="F117" i="141"/>
  <c r="D117" i="141"/>
  <c r="F116" i="141"/>
  <c r="D116" i="141"/>
  <c r="F115" i="141"/>
  <c r="D115" i="141"/>
  <c r="F114" i="141"/>
  <c r="D114" i="141"/>
  <c r="F113" i="141"/>
  <c r="D113" i="141"/>
  <c r="F112" i="141"/>
  <c r="D112" i="141"/>
  <c r="F111" i="141"/>
  <c r="D111" i="141"/>
  <c r="F110" i="141"/>
  <c r="D110" i="141"/>
  <c r="F109" i="141"/>
  <c r="D109" i="141"/>
  <c r="F108" i="141"/>
  <c r="D108" i="141"/>
  <c r="F107" i="141"/>
  <c r="D107" i="141"/>
  <c r="F106" i="141"/>
  <c r="D106" i="141"/>
  <c r="F105" i="141"/>
  <c r="D105" i="141"/>
  <c r="F104" i="141"/>
  <c r="D104" i="141"/>
  <c r="F103" i="141"/>
  <c r="D103" i="141"/>
  <c r="F102" i="141"/>
  <c r="D102" i="141"/>
  <c r="F101" i="141"/>
  <c r="D101" i="141"/>
  <c r="F100" i="141"/>
  <c r="D100" i="141"/>
  <c r="F99" i="141"/>
  <c r="D99" i="141"/>
  <c r="F98" i="141"/>
  <c r="D98" i="141"/>
  <c r="F97" i="141"/>
  <c r="D97" i="141"/>
  <c r="F96" i="141"/>
  <c r="D96" i="141"/>
  <c r="F95" i="141"/>
  <c r="D95" i="141"/>
  <c r="F94" i="141"/>
  <c r="D94" i="141"/>
  <c r="F93" i="141"/>
  <c r="D93" i="141"/>
  <c r="F92" i="141"/>
  <c r="D92" i="141"/>
  <c r="F91" i="141"/>
  <c r="D91" i="141"/>
  <c r="F90" i="141"/>
  <c r="D90" i="141"/>
  <c r="F89" i="141"/>
  <c r="D89" i="141"/>
  <c r="F88" i="141"/>
  <c r="D88" i="141"/>
  <c r="F87" i="141"/>
  <c r="D87" i="141"/>
  <c r="F86" i="141"/>
  <c r="D86" i="141"/>
  <c r="F85" i="141"/>
  <c r="D85" i="141"/>
  <c r="F84" i="141"/>
  <c r="D84" i="141"/>
  <c r="F83" i="141"/>
  <c r="D83" i="141"/>
  <c r="F82" i="141"/>
  <c r="D82" i="141"/>
  <c r="F81" i="141"/>
  <c r="D81" i="141"/>
  <c r="F80" i="141"/>
  <c r="D80" i="141"/>
  <c r="F79" i="141"/>
  <c r="D79" i="141"/>
  <c r="F78" i="141"/>
  <c r="D78" i="141"/>
  <c r="F77" i="141"/>
  <c r="D77" i="141"/>
  <c r="F76" i="141"/>
  <c r="D76" i="141"/>
  <c r="F75" i="141"/>
  <c r="D75" i="141"/>
  <c r="F74" i="141"/>
  <c r="D74" i="141"/>
  <c r="F73" i="141"/>
  <c r="D73" i="141"/>
  <c r="F72" i="141"/>
  <c r="D72" i="141"/>
  <c r="F71" i="141"/>
  <c r="D71" i="141"/>
  <c r="F70" i="141"/>
  <c r="D70" i="141"/>
  <c r="F69" i="141"/>
  <c r="D69" i="141"/>
  <c r="F68" i="141"/>
  <c r="D68" i="141"/>
  <c r="F67" i="141"/>
  <c r="D67" i="141"/>
  <c r="F66" i="141"/>
  <c r="D66" i="141"/>
  <c r="F65" i="141"/>
  <c r="D65" i="141"/>
  <c r="F64" i="141"/>
  <c r="D64" i="141"/>
  <c r="F63" i="141"/>
  <c r="D63" i="141"/>
  <c r="F62" i="141"/>
  <c r="D62" i="141"/>
  <c r="F61" i="141"/>
  <c r="D61" i="141"/>
  <c r="F60" i="141"/>
  <c r="D60" i="141"/>
  <c r="F59" i="141"/>
  <c r="D59" i="141"/>
  <c r="F58" i="141"/>
  <c r="D58" i="141"/>
  <c r="F57" i="141"/>
  <c r="D57" i="141"/>
  <c r="F56" i="141"/>
  <c r="D56" i="141"/>
  <c r="F55" i="141"/>
  <c r="D55" i="141"/>
  <c r="F54" i="141"/>
  <c r="D54" i="141"/>
  <c r="F53" i="141"/>
  <c r="D53" i="141"/>
  <c r="F52" i="141"/>
  <c r="D52" i="141"/>
  <c r="F51" i="141"/>
  <c r="D51" i="141"/>
  <c r="F50" i="141"/>
  <c r="D50" i="141"/>
  <c r="F49" i="141"/>
  <c r="D49" i="141"/>
  <c r="F48" i="141"/>
  <c r="D48" i="141"/>
  <c r="F47" i="141"/>
  <c r="D47" i="141"/>
  <c r="F46" i="141"/>
  <c r="D46" i="141"/>
  <c r="F45" i="141"/>
  <c r="D45" i="141"/>
  <c r="F44" i="141"/>
  <c r="D44" i="141"/>
  <c r="F43" i="141"/>
  <c r="D43" i="141"/>
  <c r="F42" i="141"/>
  <c r="D42" i="141"/>
  <c r="F41" i="141"/>
  <c r="D41" i="141"/>
  <c r="F40" i="141"/>
  <c r="D40" i="141"/>
  <c r="F39" i="141"/>
  <c r="D39" i="141"/>
  <c r="F38" i="141"/>
  <c r="D38" i="141"/>
  <c r="F37" i="141"/>
  <c r="D37" i="141"/>
  <c r="F36" i="141"/>
  <c r="D36" i="141"/>
  <c r="F35" i="141"/>
  <c r="D35" i="141"/>
  <c r="F34" i="141"/>
  <c r="D34" i="141"/>
  <c r="F33" i="141"/>
  <c r="D33" i="141"/>
  <c r="F32" i="141"/>
  <c r="D32" i="141"/>
  <c r="F31" i="141"/>
  <c r="D31" i="141"/>
  <c r="F30" i="141"/>
  <c r="D30" i="141"/>
  <c r="F29" i="141"/>
  <c r="D29" i="141"/>
  <c r="F28" i="141"/>
  <c r="D28" i="141"/>
  <c r="F27" i="141"/>
  <c r="D27" i="141"/>
  <c r="F26" i="141"/>
  <c r="D26" i="141"/>
  <c r="F25" i="141"/>
  <c r="D25" i="141"/>
  <c r="F24" i="141"/>
  <c r="D24" i="141"/>
  <c r="F23" i="141"/>
  <c r="D23" i="141"/>
  <c r="F22" i="141"/>
  <c r="D22" i="141"/>
  <c r="F21" i="141"/>
  <c r="D21" i="141"/>
  <c r="F20" i="141"/>
  <c r="D20" i="141"/>
  <c r="F19" i="141"/>
  <c r="D19" i="141"/>
  <c r="F18" i="141"/>
  <c r="D18" i="141"/>
  <c r="F17" i="141"/>
  <c r="D17" i="141"/>
  <c r="F16" i="141"/>
  <c r="D16" i="141"/>
  <c r="F15" i="141"/>
  <c r="D15" i="141"/>
  <c r="F14" i="141"/>
  <c r="D14" i="141"/>
  <c r="F13" i="141"/>
  <c r="D13" i="141"/>
  <c r="F12" i="141"/>
  <c r="D12" i="141"/>
  <c r="F11" i="141"/>
  <c r="D11" i="141"/>
  <c r="F10" i="141"/>
  <c r="D10" i="141"/>
  <c r="F9" i="141"/>
  <c r="D9" i="141"/>
  <c r="F8" i="141"/>
  <c r="D8" i="141"/>
  <c r="F7" i="141"/>
  <c r="D7" i="141"/>
  <c r="F6" i="141"/>
  <c r="D6" i="141"/>
  <c r="F5" i="141"/>
  <c r="D5" i="141"/>
  <c r="P124" i="145"/>
  <c r="O124" i="145"/>
  <c r="I124" i="145"/>
  <c r="G124" i="145"/>
  <c r="E124" i="145"/>
  <c r="P123" i="145"/>
  <c r="O123" i="145"/>
  <c r="I123" i="145"/>
  <c r="E123" i="145"/>
  <c r="P122" i="145"/>
  <c r="O122" i="145"/>
  <c r="I122" i="145"/>
  <c r="G122" i="145"/>
  <c r="E122" i="145"/>
  <c r="P121" i="145"/>
  <c r="O121" i="145"/>
  <c r="I121" i="145"/>
  <c r="E121" i="145"/>
  <c r="P120" i="145"/>
  <c r="O120" i="145"/>
  <c r="I120" i="145"/>
  <c r="G120" i="145"/>
  <c r="E120" i="145"/>
  <c r="P119" i="145"/>
  <c r="O119" i="145"/>
  <c r="I119" i="145"/>
  <c r="E119" i="145"/>
  <c r="P118" i="145"/>
  <c r="O118" i="145"/>
  <c r="I118" i="145"/>
  <c r="G118" i="145"/>
  <c r="E118" i="145"/>
  <c r="P117" i="145"/>
  <c r="O117" i="145"/>
  <c r="I117" i="145"/>
  <c r="E117" i="145"/>
  <c r="P116" i="145"/>
  <c r="O116" i="145"/>
  <c r="I116" i="145"/>
  <c r="G116" i="145"/>
  <c r="E116" i="145"/>
  <c r="P115" i="145"/>
  <c r="O115" i="145"/>
  <c r="I115" i="145"/>
  <c r="E115" i="145"/>
  <c r="P114" i="145"/>
  <c r="O114" i="145"/>
  <c r="I114" i="145"/>
  <c r="G114" i="145"/>
  <c r="E114" i="145"/>
  <c r="P113" i="145"/>
  <c r="O113" i="145"/>
  <c r="I113" i="145"/>
  <c r="E113" i="145"/>
  <c r="P112" i="145"/>
  <c r="O112" i="145"/>
  <c r="I112" i="145"/>
  <c r="G112" i="145"/>
  <c r="E112" i="145"/>
  <c r="P111" i="145"/>
  <c r="O111" i="145"/>
  <c r="I111" i="145"/>
  <c r="E111" i="145"/>
  <c r="P110" i="145"/>
  <c r="O110" i="145"/>
  <c r="I110" i="145"/>
  <c r="G110" i="145"/>
  <c r="E110" i="145"/>
  <c r="P109" i="145"/>
  <c r="O109" i="145"/>
  <c r="I109" i="145"/>
  <c r="E109" i="145"/>
  <c r="P108" i="145"/>
  <c r="O108" i="145"/>
  <c r="I108" i="145"/>
  <c r="G108" i="145"/>
  <c r="E108" i="145"/>
  <c r="P107" i="145"/>
  <c r="O107" i="145"/>
  <c r="I107" i="145"/>
  <c r="E107" i="145"/>
  <c r="P106" i="145"/>
  <c r="O106" i="145"/>
  <c r="I106" i="145"/>
  <c r="G106" i="145"/>
  <c r="E106" i="145"/>
  <c r="P105" i="145"/>
  <c r="O105" i="145"/>
  <c r="I105" i="145"/>
  <c r="E105" i="145"/>
  <c r="P104" i="145"/>
  <c r="O104" i="145"/>
  <c r="I104" i="145"/>
  <c r="G104" i="145"/>
  <c r="E104" i="145"/>
  <c r="P103" i="145"/>
  <c r="O103" i="145"/>
  <c r="I103" i="145"/>
  <c r="E103" i="145"/>
  <c r="P102" i="145"/>
  <c r="O102" i="145"/>
  <c r="I102" i="145"/>
  <c r="G102" i="145"/>
  <c r="E102" i="145"/>
  <c r="P101" i="145"/>
  <c r="O101" i="145"/>
  <c r="I101" i="145"/>
  <c r="E101" i="145"/>
  <c r="P100" i="145"/>
  <c r="O100" i="145"/>
  <c r="I100" i="145"/>
  <c r="G100" i="145"/>
  <c r="E100" i="145"/>
  <c r="P99" i="145"/>
  <c r="O99" i="145"/>
  <c r="I99" i="145"/>
  <c r="E99" i="145"/>
  <c r="P98" i="145"/>
  <c r="O98" i="145"/>
  <c r="I98" i="145"/>
  <c r="G98" i="145"/>
  <c r="E98" i="145"/>
  <c r="P97" i="145"/>
  <c r="O97" i="145"/>
  <c r="I97" i="145"/>
  <c r="E97" i="145"/>
  <c r="P96" i="145"/>
  <c r="O96" i="145"/>
  <c r="I96" i="145"/>
  <c r="G96" i="145"/>
  <c r="E96" i="145"/>
  <c r="P95" i="145"/>
  <c r="O95" i="145"/>
  <c r="I95" i="145"/>
  <c r="E95" i="145"/>
  <c r="P94" i="145"/>
  <c r="O94" i="145"/>
  <c r="I94" i="145"/>
  <c r="G94" i="145"/>
  <c r="E94" i="145"/>
  <c r="P93" i="145"/>
  <c r="O93" i="145"/>
  <c r="I93" i="145"/>
  <c r="E93" i="145"/>
  <c r="P92" i="145"/>
  <c r="O92" i="145"/>
  <c r="I92" i="145"/>
  <c r="G92" i="145"/>
  <c r="E92" i="145"/>
  <c r="P91" i="145"/>
  <c r="O91" i="145"/>
  <c r="I91" i="145"/>
  <c r="E91" i="145"/>
  <c r="P90" i="145"/>
  <c r="O90" i="145"/>
  <c r="I90" i="145"/>
  <c r="G90" i="145"/>
  <c r="E90" i="145"/>
  <c r="P89" i="145"/>
  <c r="O89" i="145"/>
  <c r="I89" i="145"/>
  <c r="E89" i="145"/>
  <c r="P88" i="145"/>
  <c r="O88" i="145"/>
  <c r="I88" i="145"/>
  <c r="G88" i="145"/>
  <c r="E88" i="145"/>
  <c r="P87" i="145"/>
  <c r="O87" i="145"/>
  <c r="I87" i="145"/>
  <c r="E87" i="145"/>
  <c r="P86" i="145"/>
  <c r="O86" i="145"/>
  <c r="I86" i="145"/>
  <c r="G86" i="145"/>
  <c r="E86" i="145"/>
  <c r="P85" i="145"/>
  <c r="O85" i="145"/>
  <c r="I85" i="145"/>
  <c r="E85" i="145"/>
  <c r="P84" i="145"/>
  <c r="O84" i="145"/>
  <c r="I84" i="145"/>
  <c r="G84" i="145"/>
  <c r="E84" i="145"/>
  <c r="P83" i="145"/>
  <c r="O83" i="145"/>
  <c r="I83" i="145"/>
  <c r="E83" i="145"/>
  <c r="P82" i="145"/>
  <c r="O82" i="145"/>
  <c r="I82" i="145"/>
  <c r="G82" i="145"/>
  <c r="E82" i="145"/>
  <c r="P81" i="145"/>
  <c r="O81" i="145"/>
  <c r="I81" i="145"/>
  <c r="E81" i="145"/>
  <c r="P80" i="145"/>
  <c r="O80" i="145"/>
  <c r="I80" i="145"/>
  <c r="G80" i="145"/>
  <c r="E80" i="145"/>
  <c r="P79" i="145"/>
  <c r="O79" i="145"/>
  <c r="I79" i="145"/>
  <c r="E79" i="145"/>
  <c r="P78" i="145"/>
  <c r="O78" i="145"/>
  <c r="I78" i="145"/>
  <c r="G78" i="145"/>
  <c r="E78" i="145"/>
  <c r="P77" i="145"/>
  <c r="O77" i="145"/>
  <c r="I77" i="145"/>
  <c r="E77" i="145"/>
  <c r="P76" i="145"/>
  <c r="O76" i="145"/>
  <c r="I76" i="145"/>
  <c r="G76" i="145"/>
  <c r="E76" i="145"/>
  <c r="P75" i="145"/>
  <c r="O75" i="145"/>
  <c r="I75" i="145"/>
  <c r="E75" i="145"/>
  <c r="P74" i="145"/>
  <c r="O74" i="145"/>
  <c r="I74" i="145"/>
  <c r="G74" i="145"/>
  <c r="E74" i="145"/>
  <c r="P73" i="145"/>
  <c r="O73" i="145"/>
  <c r="I73" i="145"/>
  <c r="E73" i="145"/>
  <c r="P72" i="145"/>
  <c r="O72" i="145"/>
  <c r="I72" i="145"/>
  <c r="G72" i="145"/>
  <c r="E72" i="145"/>
  <c r="P71" i="145"/>
  <c r="O71" i="145"/>
  <c r="I71" i="145"/>
  <c r="E71" i="145"/>
  <c r="P70" i="145"/>
  <c r="O70" i="145"/>
  <c r="I70" i="145"/>
  <c r="G70" i="145"/>
  <c r="E70" i="145"/>
  <c r="P69" i="145"/>
  <c r="O69" i="145"/>
  <c r="I69" i="145"/>
  <c r="E69" i="145"/>
  <c r="P68" i="145"/>
  <c r="O68" i="145"/>
  <c r="I68" i="145"/>
  <c r="G68" i="145"/>
  <c r="E68" i="145"/>
  <c r="P67" i="145"/>
  <c r="O67" i="145"/>
  <c r="I67" i="145"/>
  <c r="E67" i="145"/>
  <c r="P66" i="145"/>
  <c r="O66" i="145"/>
  <c r="I66" i="145"/>
  <c r="G66" i="145"/>
  <c r="E66" i="145"/>
  <c r="P65" i="145"/>
  <c r="O65" i="145"/>
  <c r="I65" i="145"/>
  <c r="E65" i="145"/>
  <c r="P64" i="145"/>
  <c r="O64" i="145"/>
  <c r="I64" i="145"/>
  <c r="G64" i="145"/>
  <c r="E64" i="145"/>
  <c r="P63" i="145"/>
  <c r="O63" i="145"/>
  <c r="I63" i="145"/>
  <c r="E63" i="145"/>
  <c r="P62" i="145"/>
  <c r="O62" i="145"/>
  <c r="I62" i="145"/>
  <c r="G62" i="145"/>
  <c r="E62" i="145"/>
  <c r="P61" i="145"/>
  <c r="O61" i="145"/>
  <c r="I61" i="145"/>
  <c r="E61" i="145"/>
  <c r="P60" i="145"/>
  <c r="O60" i="145"/>
  <c r="I60" i="145"/>
  <c r="G60" i="145"/>
  <c r="E60" i="145"/>
  <c r="P59" i="145"/>
  <c r="O59" i="145"/>
  <c r="I59" i="145"/>
  <c r="E59" i="145"/>
  <c r="P58" i="145"/>
  <c r="O58" i="145"/>
  <c r="I58" i="145"/>
  <c r="G58" i="145"/>
  <c r="E58" i="145"/>
  <c r="P57" i="145"/>
  <c r="O57" i="145"/>
  <c r="I57" i="145"/>
  <c r="E57" i="145"/>
  <c r="P56" i="145"/>
  <c r="O56" i="145"/>
  <c r="I56" i="145"/>
  <c r="G56" i="145"/>
  <c r="E56" i="145"/>
  <c r="P55" i="145"/>
  <c r="O55" i="145"/>
  <c r="I55" i="145"/>
  <c r="E55" i="145"/>
  <c r="P54" i="145"/>
  <c r="O54" i="145"/>
  <c r="I54" i="145"/>
  <c r="G54" i="145"/>
  <c r="E54" i="145"/>
  <c r="P53" i="145"/>
  <c r="O53" i="145"/>
  <c r="I53" i="145"/>
  <c r="G53" i="145"/>
  <c r="E53" i="145"/>
  <c r="P52" i="145"/>
  <c r="O52" i="145"/>
  <c r="I52" i="145"/>
  <c r="G52" i="145"/>
  <c r="E52" i="145"/>
  <c r="P51" i="145"/>
  <c r="O51" i="145"/>
  <c r="I51" i="145"/>
  <c r="G51" i="145"/>
  <c r="E51" i="145"/>
  <c r="P50" i="145"/>
  <c r="O50" i="145"/>
  <c r="I50" i="145"/>
  <c r="G50" i="145"/>
  <c r="E50" i="145"/>
  <c r="P49" i="145"/>
  <c r="O49" i="145"/>
  <c r="I49" i="145"/>
  <c r="G49" i="145"/>
  <c r="E49" i="145"/>
  <c r="P48" i="145"/>
  <c r="O48" i="145"/>
  <c r="I48" i="145"/>
  <c r="G48" i="145"/>
  <c r="E48" i="145"/>
  <c r="P47" i="145"/>
  <c r="O47" i="145"/>
  <c r="I47" i="145"/>
  <c r="G47" i="145"/>
  <c r="E47" i="145"/>
  <c r="P46" i="145"/>
  <c r="O46" i="145"/>
  <c r="I46" i="145"/>
  <c r="G46" i="145"/>
  <c r="E46" i="145"/>
  <c r="P45" i="145"/>
  <c r="O45" i="145"/>
  <c r="I45" i="145"/>
  <c r="G45" i="145"/>
  <c r="E45" i="145"/>
  <c r="P44" i="145"/>
  <c r="O44" i="145"/>
  <c r="I44" i="145"/>
  <c r="G44" i="145"/>
  <c r="E44" i="145"/>
  <c r="P43" i="145"/>
  <c r="O43" i="145"/>
  <c r="I43" i="145"/>
  <c r="G43" i="145"/>
  <c r="E43" i="145"/>
  <c r="P42" i="145"/>
  <c r="O42" i="145"/>
  <c r="I42" i="145"/>
  <c r="G42" i="145"/>
  <c r="E42" i="145"/>
  <c r="P41" i="145"/>
  <c r="O41" i="145"/>
  <c r="I41" i="145"/>
  <c r="G41" i="145"/>
  <c r="E41" i="145"/>
  <c r="P40" i="145"/>
  <c r="O40" i="145"/>
  <c r="I40" i="145"/>
  <c r="G40" i="145"/>
  <c r="E40" i="145"/>
  <c r="P39" i="145"/>
  <c r="O39" i="145"/>
  <c r="I39" i="145"/>
  <c r="G39" i="145"/>
  <c r="E39" i="145"/>
  <c r="P38" i="145"/>
  <c r="O38" i="145"/>
  <c r="I38" i="145"/>
  <c r="G38" i="145"/>
  <c r="E38" i="145"/>
  <c r="P37" i="145"/>
  <c r="O37" i="145"/>
  <c r="I37" i="145"/>
  <c r="G37" i="145"/>
  <c r="E37" i="145"/>
  <c r="P36" i="145"/>
  <c r="O36" i="145"/>
  <c r="I36" i="145"/>
  <c r="G36" i="145"/>
  <c r="E36" i="145"/>
  <c r="P35" i="145"/>
  <c r="O35" i="145"/>
  <c r="I35" i="145"/>
  <c r="G35" i="145"/>
  <c r="E35" i="145"/>
  <c r="P34" i="145"/>
  <c r="O34" i="145"/>
  <c r="I34" i="145"/>
  <c r="G34" i="145"/>
  <c r="E34" i="145"/>
  <c r="P33" i="145"/>
  <c r="O33" i="145"/>
  <c r="I33" i="145"/>
  <c r="G33" i="145"/>
  <c r="E33" i="145"/>
  <c r="P32" i="145"/>
  <c r="O32" i="145"/>
  <c r="I32" i="145"/>
  <c r="G32" i="145"/>
  <c r="E32" i="145"/>
  <c r="P31" i="145"/>
  <c r="O31" i="145"/>
  <c r="I31" i="145"/>
  <c r="G31" i="145"/>
  <c r="E31" i="145"/>
  <c r="P30" i="145"/>
  <c r="O30" i="145"/>
  <c r="I30" i="145"/>
  <c r="G30" i="145"/>
  <c r="E30" i="145"/>
  <c r="P29" i="145"/>
  <c r="O29" i="145"/>
  <c r="I29" i="145"/>
  <c r="G29" i="145"/>
  <c r="E29" i="145"/>
  <c r="P28" i="145"/>
  <c r="O28" i="145"/>
  <c r="I28" i="145"/>
  <c r="G28" i="145"/>
  <c r="E28" i="145"/>
  <c r="P27" i="145"/>
  <c r="O27" i="145"/>
  <c r="I27" i="145"/>
  <c r="G27" i="145"/>
  <c r="E27" i="145"/>
  <c r="P26" i="145"/>
  <c r="O26" i="145"/>
  <c r="I26" i="145"/>
  <c r="G26" i="145"/>
  <c r="E26" i="145"/>
  <c r="P25" i="145"/>
  <c r="O25" i="145"/>
  <c r="I25" i="145"/>
  <c r="G25" i="145"/>
  <c r="E25" i="145"/>
  <c r="P24" i="145"/>
  <c r="O24" i="145"/>
  <c r="I24" i="145"/>
  <c r="G24" i="145"/>
  <c r="E24" i="145"/>
  <c r="P23" i="145"/>
  <c r="O23" i="145"/>
  <c r="I23" i="145"/>
  <c r="G23" i="145"/>
  <c r="E23" i="145"/>
  <c r="P22" i="145"/>
  <c r="O22" i="145"/>
  <c r="I22" i="145"/>
  <c r="G22" i="145"/>
  <c r="E22" i="145"/>
  <c r="P21" i="145"/>
  <c r="O21" i="145"/>
  <c r="I21" i="145"/>
  <c r="G21" i="145"/>
  <c r="E21" i="145"/>
  <c r="P20" i="145"/>
  <c r="O20" i="145"/>
  <c r="I20" i="145"/>
  <c r="G20" i="145"/>
  <c r="E20" i="145"/>
  <c r="P19" i="145"/>
  <c r="O19" i="145"/>
  <c r="I19" i="145"/>
  <c r="G19" i="145"/>
  <c r="E19" i="145"/>
  <c r="P18" i="145"/>
  <c r="O18" i="145"/>
  <c r="I18" i="145"/>
  <c r="G18" i="145"/>
  <c r="E18" i="145"/>
  <c r="P17" i="145"/>
  <c r="O17" i="145"/>
  <c r="I17" i="145"/>
  <c r="G17" i="145"/>
  <c r="E17" i="145"/>
  <c r="P16" i="145"/>
  <c r="O16" i="145"/>
  <c r="I16" i="145"/>
  <c r="G16" i="145"/>
  <c r="E16" i="145"/>
  <c r="P15" i="145"/>
  <c r="O15" i="145"/>
  <c r="I15" i="145"/>
  <c r="G15" i="145"/>
  <c r="E15" i="145"/>
  <c r="P14" i="145"/>
  <c r="O14" i="145"/>
  <c r="I14" i="145"/>
  <c r="G14" i="145"/>
  <c r="E14" i="145"/>
  <c r="P13" i="145"/>
  <c r="O13" i="145"/>
  <c r="I13" i="145"/>
  <c r="G13" i="145"/>
  <c r="E13" i="145"/>
  <c r="P12" i="145"/>
  <c r="O12" i="145"/>
  <c r="I12" i="145"/>
  <c r="G12" i="145"/>
  <c r="E12" i="145"/>
  <c r="P11" i="145"/>
  <c r="O11" i="145"/>
  <c r="I11" i="145"/>
  <c r="G11" i="145"/>
  <c r="E11" i="145"/>
  <c r="P10" i="145"/>
  <c r="O10" i="145"/>
  <c r="I10" i="145"/>
  <c r="G10" i="145"/>
  <c r="E10" i="145"/>
  <c r="P9" i="145"/>
  <c r="O9" i="145"/>
  <c r="I9" i="145"/>
  <c r="G9" i="145"/>
  <c r="E9" i="145"/>
  <c r="P8" i="145"/>
  <c r="O8" i="145"/>
  <c r="I8" i="145"/>
  <c r="G8" i="145"/>
  <c r="E8" i="145"/>
  <c r="P7" i="145"/>
  <c r="O7" i="145"/>
  <c r="I7" i="145"/>
  <c r="G7" i="145"/>
  <c r="E7" i="145"/>
  <c r="P6" i="145"/>
  <c r="O6" i="145"/>
  <c r="I6" i="145"/>
  <c r="G6" i="145"/>
  <c r="E6" i="145"/>
  <c r="P5" i="145"/>
  <c r="O5" i="145"/>
  <c r="I5" i="145"/>
  <c r="G5" i="145"/>
  <c r="E5" i="145"/>
  <c r="N2" i="145"/>
  <c r="E2" i="145"/>
  <c r="P124" i="144"/>
  <c r="O124" i="144"/>
  <c r="I124" i="144"/>
  <c r="G124" i="144"/>
  <c r="E124" i="144"/>
  <c r="P123" i="144"/>
  <c r="O123" i="144"/>
  <c r="I123" i="144"/>
  <c r="G123" i="144"/>
  <c r="E123" i="144"/>
  <c r="P122" i="144"/>
  <c r="O122" i="144"/>
  <c r="I122" i="144"/>
  <c r="G122" i="144"/>
  <c r="E122" i="144"/>
  <c r="P121" i="144"/>
  <c r="O121" i="144"/>
  <c r="I121" i="144"/>
  <c r="G121" i="144"/>
  <c r="E121" i="144"/>
  <c r="P120" i="144"/>
  <c r="O120" i="144"/>
  <c r="I120" i="144"/>
  <c r="G120" i="144"/>
  <c r="E120" i="144"/>
  <c r="P119" i="144"/>
  <c r="O119" i="144"/>
  <c r="I119" i="144"/>
  <c r="G119" i="144"/>
  <c r="E119" i="144"/>
  <c r="P118" i="144"/>
  <c r="O118" i="144"/>
  <c r="I118" i="144"/>
  <c r="G118" i="144"/>
  <c r="E118" i="144"/>
  <c r="P117" i="144"/>
  <c r="O117" i="144"/>
  <c r="I117" i="144"/>
  <c r="G117" i="144"/>
  <c r="E117" i="144"/>
  <c r="P116" i="144"/>
  <c r="O116" i="144"/>
  <c r="I116" i="144"/>
  <c r="G116" i="144"/>
  <c r="E116" i="144"/>
  <c r="P115" i="144"/>
  <c r="O115" i="144"/>
  <c r="I115" i="144"/>
  <c r="G115" i="144"/>
  <c r="E115" i="144"/>
  <c r="P114" i="144"/>
  <c r="O114" i="144"/>
  <c r="I114" i="144"/>
  <c r="G114" i="144"/>
  <c r="E114" i="144"/>
  <c r="P113" i="144"/>
  <c r="O113" i="144"/>
  <c r="I113" i="144"/>
  <c r="G113" i="144"/>
  <c r="E113" i="144"/>
  <c r="P112" i="144"/>
  <c r="O112" i="144"/>
  <c r="I112" i="144"/>
  <c r="G112" i="144"/>
  <c r="E112" i="144"/>
  <c r="P111" i="144"/>
  <c r="O111" i="144"/>
  <c r="I111" i="144"/>
  <c r="G111" i="144"/>
  <c r="E111" i="144"/>
  <c r="P110" i="144"/>
  <c r="O110" i="144"/>
  <c r="I110" i="144"/>
  <c r="G110" i="144"/>
  <c r="E110" i="144"/>
  <c r="P109" i="144"/>
  <c r="O109" i="144"/>
  <c r="I109" i="144"/>
  <c r="G109" i="144"/>
  <c r="E109" i="144"/>
  <c r="P108" i="144"/>
  <c r="O108" i="144"/>
  <c r="I108" i="144"/>
  <c r="G108" i="144"/>
  <c r="E108" i="144"/>
  <c r="P107" i="144"/>
  <c r="O107" i="144"/>
  <c r="I107" i="144"/>
  <c r="G107" i="144"/>
  <c r="E107" i="144"/>
  <c r="P106" i="144"/>
  <c r="O106" i="144"/>
  <c r="I106" i="144"/>
  <c r="G106" i="144"/>
  <c r="E106" i="144"/>
  <c r="P105" i="144"/>
  <c r="O105" i="144"/>
  <c r="I105" i="144"/>
  <c r="G105" i="144"/>
  <c r="E105" i="144"/>
  <c r="P104" i="144"/>
  <c r="O104" i="144"/>
  <c r="I104" i="144"/>
  <c r="G104" i="144"/>
  <c r="E104" i="144"/>
  <c r="P103" i="144"/>
  <c r="O103" i="144"/>
  <c r="I103" i="144"/>
  <c r="G103" i="144"/>
  <c r="E103" i="144"/>
  <c r="P102" i="144"/>
  <c r="O102" i="144"/>
  <c r="I102" i="144"/>
  <c r="G102" i="144"/>
  <c r="E102" i="144"/>
  <c r="P101" i="144"/>
  <c r="O101" i="144"/>
  <c r="I101" i="144"/>
  <c r="G101" i="144"/>
  <c r="E101" i="144"/>
  <c r="P100" i="144"/>
  <c r="O100" i="144"/>
  <c r="I100" i="144"/>
  <c r="G100" i="144"/>
  <c r="E100" i="144"/>
  <c r="P99" i="144"/>
  <c r="O99" i="144"/>
  <c r="I99" i="144"/>
  <c r="G99" i="144"/>
  <c r="E99" i="144"/>
  <c r="P98" i="144"/>
  <c r="O98" i="144"/>
  <c r="I98" i="144"/>
  <c r="G98" i="144"/>
  <c r="E98" i="144"/>
  <c r="P97" i="144"/>
  <c r="O97" i="144"/>
  <c r="I97" i="144"/>
  <c r="G97" i="144"/>
  <c r="E97" i="144"/>
  <c r="P96" i="144"/>
  <c r="O96" i="144"/>
  <c r="I96" i="144"/>
  <c r="G96" i="144"/>
  <c r="E96" i="144"/>
  <c r="P95" i="144"/>
  <c r="O95" i="144"/>
  <c r="I95" i="144"/>
  <c r="G95" i="144"/>
  <c r="E95" i="144"/>
  <c r="P94" i="144"/>
  <c r="O94" i="144"/>
  <c r="I94" i="144"/>
  <c r="G94" i="144"/>
  <c r="E94" i="144"/>
  <c r="P93" i="144"/>
  <c r="O93" i="144"/>
  <c r="I93" i="144"/>
  <c r="G93" i="144"/>
  <c r="E93" i="144"/>
  <c r="P92" i="144"/>
  <c r="O92" i="144"/>
  <c r="I92" i="144"/>
  <c r="G92" i="144"/>
  <c r="E92" i="144"/>
  <c r="P91" i="144"/>
  <c r="O91" i="144"/>
  <c r="I91" i="144"/>
  <c r="G91" i="144"/>
  <c r="E91" i="144"/>
  <c r="P90" i="144"/>
  <c r="O90" i="144"/>
  <c r="I90" i="144"/>
  <c r="G90" i="144"/>
  <c r="E90" i="144"/>
  <c r="P89" i="144"/>
  <c r="O89" i="144"/>
  <c r="I89" i="144"/>
  <c r="G89" i="144"/>
  <c r="E89" i="144"/>
  <c r="P88" i="144"/>
  <c r="O88" i="144"/>
  <c r="I88" i="144"/>
  <c r="G88" i="144"/>
  <c r="E88" i="144"/>
  <c r="P87" i="144"/>
  <c r="O87" i="144"/>
  <c r="I87" i="144"/>
  <c r="G87" i="144"/>
  <c r="E87" i="144"/>
  <c r="P86" i="144"/>
  <c r="O86" i="144"/>
  <c r="I86" i="144"/>
  <c r="G86" i="144"/>
  <c r="E86" i="144"/>
  <c r="P85" i="144"/>
  <c r="O85" i="144"/>
  <c r="I85" i="144"/>
  <c r="G85" i="144"/>
  <c r="E85" i="144"/>
  <c r="P84" i="144"/>
  <c r="O84" i="144"/>
  <c r="I84" i="144"/>
  <c r="G84" i="144"/>
  <c r="E84" i="144"/>
  <c r="P83" i="144"/>
  <c r="O83" i="144"/>
  <c r="I83" i="144"/>
  <c r="G83" i="144"/>
  <c r="E83" i="144"/>
  <c r="P82" i="144"/>
  <c r="O82" i="144"/>
  <c r="I82" i="144"/>
  <c r="G82" i="144"/>
  <c r="E82" i="144"/>
  <c r="P81" i="144"/>
  <c r="O81" i="144"/>
  <c r="I81" i="144"/>
  <c r="G81" i="144"/>
  <c r="E81" i="144"/>
  <c r="P80" i="144"/>
  <c r="O80" i="144"/>
  <c r="I80" i="144"/>
  <c r="G80" i="144"/>
  <c r="E80" i="144"/>
  <c r="P79" i="144"/>
  <c r="O79" i="144"/>
  <c r="I79" i="144"/>
  <c r="G79" i="144"/>
  <c r="E79" i="144"/>
  <c r="P78" i="144"/>
  <c r="O78" i="144"/>
  <c r="I78" i="144"/>
  <c r="G78" i="144"/>
  <c r="E78" i="144"/>
  <c r="P77" i="144"/>
  <c r="O77" i="144"/>
  <c r="I77" i="144"/>
  <c r="G77" i="144"/>
  <c r="E77" i="144"/>
  <c r="P76" i="144"/>
  <c r="O76" i="144"/>
  <c r="I76" i="144"/>
  <c r="G76" i="144"/>
  <c r="E76" i="144"/>
  <c r="P75" i="144"/>
  <c r="O75" i="144"/>
  <c r="I75" i="144"/>
  <c r="G75" i="144"/>
  <c r="E75" i="144"/>
  <c r="P74" i="144"/>
  <c r="O74" i="144"/>
  <c r="I74" i="144"/>
  <c r="G74" i="144"/>
  <c r="E74" i="144"/>
  <c r="P73" i="144"/>
  <c r="O73" i="144"/>
  <c r="I73" i="144"/>
  <c r="G73" i="144"/>
  <c r="E73" i="144"/>
  <c r="P72" i="144"/>
  <c r="O72" i="144"/>
  <c r="I72" i="144"/>
  <c r="G72" i="144"/>
  <c r="E72" i="144"/>
  <c r="P71" i="144"/>
  <c r="O71" i="144"/>
  <c r="I71" i="144"/>
  <c r="G71" i="144"/>
  <c r="E71" i="144"/>
  <c r="P70" i="144"/>
  <c r="O70" i="144"/>
  <c r="I70" i="144"/>
  <c r="G70" i="144"/>
  <c r="E70" i="144"/>
  <c r="P69" i="144"/>
  <c r="O69" i="144"/>
  <c r="I69" i="144"/>
  <c r="G69" i="144"/>
  <c r="E69" i="144"/>
  <c r="P68" i="144"/>
  <c r="O68" i="144"/>
  <c r="I68" i="144"/>
  <c r="G68" i="144"/>
  <c r="E68" i="144"/>
  <c r="P67" i="144"/>
  <c r="O67" i="144"/>
  <c r="I67" i="144"/>
  <c r="G67" i="144"/>
  <c r="E67" i="144"/>
  <c r="P66" i="144"/>
  <c r="O66" i="144"/>
  <c r="I66" i="144"/>
  <c r="G66" i="144"/>
  <c r="E66" i="144"/>
  <c r="P65" i="144"/>
  <c r="O65" i="144"/>
  <c r="I65" i="144"/>
  <c r="G65" i="144"/>
  <c r="E65" i="144"/>
  <c r="P64" i="144"/>
  <c r="O64" i="144"/>
  <c r="I64" i="144"/>
  <c r="G64" i="144"/>
  <c r="E64" i="144"/>
  <c r="P63" i="144"/>
  <c r="O63" i="144"/>
  <c r="I63" i="144"/>
  <c r="G63" i="144"/>
  <c r="E63" i="144"/>
  <c r="P62" i="144"/>
  <c r="O62" i="144"/>
  <c r="I62" i="144"/>
  <c r="G62" i="144"/>
  <c r="E62" i="144"/>
  <c r="P61" i="144"/>
  <c r="O61" i="144"/>
  <c r="I61" i="144"/>
  <c r="G61" i="144"/>
  <c r="E61" i="144"/>
  <c r="P60" i="144"/>
  <c r="O60" i="144"/>
  <c r="I60" i="144"/>
  <c r="G60" i="144"/>
  <c r="E60" i="144"/>
  <c r="P59" i="144"/>
  <c r="O59" i="144"/>
  <c r="I59" i="144"/>
  <c r="G59" i="144"/>
  <c r="E59" i="144"/>
  <c r="P58" i="144"/>
  <c r="O58" i="144"/>
  <c r="I58" i="144"/>
  <c r="G58" i="144"/>
  <c r="E58" i="144"/>
  <c r="P57" i="144"/>
  <c r="O57" i="144"/>
  <c r="I57" i="144"/>
  <c r="G57" i="144"/>
  <c r="E57" i="144"/>
  <c r="P56" i="144"/>
  <c r="O56" i="144"/>
  <c r="I56" i="144"/>
  <c r="G56" i="144"/>
  <c r="E56" i="144"/>
  <c r="P55" i="144"/>
  <c r="O55" i="144"/>
  <c r="I55" i="144"/>
  <c r="G55" i="144"/>
  <c r="E55" i="144"/>
  <c r="P54" i="144"/>
  <c r="O54" i="144"/>
  <c r="I54" i="144"/>
  <c r="G54" i="144"/>
  <c r="E54" i="144"/>
  <c r="P53" i="144"/>
  <c r="O53" i="144"/>
  <c r="I53" i="144"/>
  <c r="G53" i="144"/>
  <c r="E53" i="144"/>
  <c r="P52" i="144"/>
  <c r="O52" i="144"/>
  <c r="I52" i="144"/>
  <c r="G52" i="144"/>
  <c r="E52" i="144"/>
  <c r="P51" i="144"/>
  <c r="O51" i="144"/>
  <c r="I51" i="144"/>
  <c r="G51" i="144"/>
  <c r="E51" i="144"/>
  <c r="P50" i="144"/>
  <c r="O50" i="144"/>
  <c r="I50" i="144"/>
  <c r="G50" i="144"/>
  <c r="E50" i="144"/>
  <c r="P49" i="144"/>
  <c r="O49" i="144"/>
  <c r="I49" i="144"/>
  <c r="G49" i="144"/>
  <c r="E49" i="144"/>
  <c r="P48" i="144"/>
  <c r="O48" i="144"/>
  <c r="I48" i="144"/>
  <c r="G48" i="144"/>
  <c r="E48" i="144"/>
  <c r="P47" i="144"/>
  <c r="O47" i="144"/>
  <c r="I47" i="144"/>
  <c r="G47" i="144"/>
  <c r="E47" i="144"/>
  <c r="P46" i="144"/>
  <c r="O46" i="144"/>
  <c r="I46" i="144"/>
  <c r="G46" i="144"/>
  <c r="E46" i="144"/>
  <c r="P45" i="144"/>
  <c r="O45" i="144"/>
  <c r="I45" i="144"/>
  <c r="G45" i="144"/>
  <c r="E45" i="144"/>
  <c r="P44" i="144"/>
  <c r="O44" i="144"/>
  <c r="I44" i="144"/>
  <c r="G44" i="144"/>
  <c r="E44" i="144"/>
  <c r="P43" i="144"/>
  <c r="O43" i="144"/>
  <c r="I43" i="144"/>
  <c r="G43" i="144"/>
  <c r="E43" i="144"/>
  <c r="P42" i="144"/>
  <c r="O42" i="144"/>
  <c r="I42" i="144"/>
  <c r="G42" i="144"/>
  <c r="E42" i="144"/>
  <c r="P41" i="144"/>
  <c r="O41" i="144"/>
  <c r="I41" i="144"/>
  <c r="G41" i="144"/>
  <c r="E41" i="144"/>
  <c r="P40" i="144"/>
  <c r="O40" i="144"/>
  <c r="I40" i="144"/>
  <c r="G40" i="144"/>
  <c r="E40" i="144"/>
  <c r="P39" i="144"/>
  <c r="O39" i="144"/>
  <c r="I39" i="144"/>
  <c r="G39" i="144"/>
  <c r="E39" i="144"/>
  <c r="P38" i="144"/>
  <c r="O38" i="144"/>
  <c r="I38" i="144"/>
  <c r="G38" i="144"/>
  <c r="E38" i="144"/>
  <c r="P37" i="144"/>
  <c r="O37" i="144"/>
  <c r="I37" i="144"/>
  <c r="G37" i="144"/>
  <c r="E37" i="144"/>
  <c r="P36" i="144"/>
  <c r="O36" i="144"/>
  <c r="I36" i="144"/>
  <c r="G36" i="144"/>
  <c r="E36" i="144"/>
  <c r="P35" i="144"/>
  <c r="O35" i="144"/>
  <c r="I35" i="144"/>
  <c r="G35" i="144"/>
  <c r="E35" i="144"/>
  <c r="P34" i="144"/>
  <c r="O34" i="144"/>
  <c r="I34" i="144"/>
  <c r="G34" i="144"/>
  <c r="E34" i="144"/>
  <c r="P33" i="144"/>
  <c r="O33" i="144"/>
  <c r="I33" i="144"/>
  <c r="G33" i="144"/>
  <c r="E33" i="144"/>
  <c r="P32" i="144"/>
  <c r="O32" i="144"/>
  <c r="I32" i="144"/>
  <c r="G32" i="144"/>
  <c r="E32" i="144"/>
  <c r="P31" i="144"/>
  <c r="O31" i="144"/>
  <c r="I31" i="144"/>
  <c r="G31" i="144"/>
  <c r="E31" i="144"/>
  <c r="P30" i="144"/>
  <c r="O30" i="144"/>
  <c r="I30" i="144"/>
  <c r="G30" i="144"/>
  <c r="E30" i="144"/>
  <c r="P29" i="144"/>
  <c r="O29" i="144"/>
  <c r="I29" i="144"/>
  <c r="G29" i="144"/>
  <c r="E29" i="144"/>
  <c r="P28" i="144"/>
  <c r="O28" i="144"/>
  <c r="I28" i="144"/>
  <c r="G28" i="144"/>
  <c r="E28" i="144"/>
  <c r="P27" i="144"/>
  <c r="O27" i="144"/>
  <c r="I27" i="144"/>
  <c r="G27" i="144"/>
  <c r="E27" i="144"/>
  <c r="P26" i="144"/>
  <c r="O26" i="144"/>
  <c r="I26" i="144"/>
  <c r="G26" i="144"/>
  <c r="E26" i="144"/>
  <c r="P25" i="144"/>
  <c r="O25" i="144"/>
  <c r="I25" i="144"/>
  <c r="G25" i="144"/>
  <c r="E25" i="144"/>
  <c r="P24" i="144"/>
  <c r="O24" i="144"/>
  <c r="I24" i="144"/>
  <c r="G24" i="144"/>
  <c r="E24" i="144"/>
  <c r="P23" i="144"/>
  <c r="O23" i="144"/>
  <c r="I23" i="144"/>
  <c r="G23" i="144"/>
  <c r="E23" i="144"/>
  <c r="P22" i="144"/>
  <c r="O22" i="144"/>
  <c r="I22" i="144"/>
  <c r="G22" i="144"/>
  <c r="E22" i="144"/>
  <c r="P21" i="144"/>
  <c r="O21" i="144"/>
  <c r="I21" i="144"/>
  <c r="G21" i="144"/>
  <c r="E21" i="144"/>
  <c r="P20" i="144"/>
  <c r="O20" i="144"/>
  <c r="I20" i="144"/>
  <c r="G20" i="144"/>
  <c r="E20" i="144"/>
  <c r="P19" i="144"/>
  <c r="O19" i="144"/>
  <c r="I19" i="144"/>
  <c r="G19" i="144"/>
  <c r="E19" i="144"/>
  <c r="P18" i="144"/>
  <c r="O18" i="144"/>
  <c r="I18" i="144"/>
  <c r="G18" i="144"/>
  <c r="E18" i="144"/>
  <c r="P17" i="144"/>
  <c r="O17" i="144"/>
  <c r="I17" i="144"/>
  <c r="G17" i="144"/>
  <c r="E17" i="144"/>
  <c r="P16" i="144"/>
  <c r="O16" i="144"/>
  <c r="I16" i="144"/>
  <c r="G16" i="144"/>
  <c r="E16" i="144"/>
  <c r="P15" i="144"/>
  <c r="O15" i="144"/>
  <c r="I15" i="144"/>
  <c r="G15" i="144"/>
  <c r="E15" i="144"/>
  <c r="P14" i="144"/>
  <c r="O14" i="144"/>
  <c r="I14" i="144"/>
  <c r="G14" i="144"/>
  <c r="E14" i="144"/>
  <c r="P13" i="144"/>
  <c r="O13" i="144"/>
  <c r="I13" i="144"/>
  <c r="G13" i="144"/>
  <c r="E13" i="144"/>
  <c r="P12" i="144"/>
  <c r="O12" i="144"/>
  <c r="I12" i="144"/>
  <c r="G12" i="144"/>
  <c r="E12" i="144"/>
  <c r="P11" i="144"/>
  <c r="O11" i="144"/>
  <c r="I11" i="144"/>
  <c r="G11" i="144"/>
  <c r="E11" i="144"/>
  <c r="P10" i="144"/>
  <c r="O10" i="144"/>
  <c r="I10" i="144"/>
  <c r="G10" i="144"/>
  <c r="E10" i="144"/>
  <c r="P9" i="144"/>
  <c r="O9" i="144"/>
  <c r="I9" i="144"/>
  <c r="G9" i="144"/>
  <c r="E9" i="144"/>
  <c r="P8" i="144"/>
  <c r="O8" i="144"/>
  <c r="I8" i="144"/>
  <c r="G8" i="144"/>
  <c r="E8" i="144"/>
  <c r="P7" i="144"/>
  <c r="O7" i="144"/>
  <c r="I7" i="144"/>
  <c r="G7" i="144"/>
  <c r="E7" i="144"/>
  <c r="P6" i="144"/>
  <c r="O6" i="144"/>
  <c r="I6" i="144"/>
  <c r="G6" i="144"/>
  <c r="E6" i="144"/>
  <c r="P5" i="144"/>
  <c r="O5" i="144"/>
  <c r="I5" i="144"/>
  <c r="G5" i="144"/>
  <c r="E5" i="144"/>
  <c r="N2" i="144"/>
  <c r="E2" i="144"/>
  <c r="AY34" i="140"/>
  <c r="AW34" i="140"/>
  <c r="AW33" i="140"/>
  <c r="AY32" i="140"/>
  <c r="AW32" i="140"/>
  <c r="AV32" i="140"/>
  <c r="AT32" i="140"/>
  <c r="AW31" i="140"/>
  <c r="AT31" i="140"/>
  <c r="AY30" i="140"/>
  <c r="AW30" i="140"/>
  <c r="AV30" i="140"/>
  <c r="AT30" i="140"/>
  <c r="AS30" i="140"/>
  <c r="AQ30" i="140"/>
  <c r="AW29" i="140"/>
  <c r="AT29" i="140"/>
  <c r="AQ29" i="140"/>
  <c r="AY28" i="140"/>
  <c r="AW28" i="140"/>
  <c r="AV28" i="140"/>
  <c r="AT28" i="140"/>
  <c r="AS28" i="140"/>
  <c r="AQ28" i="140"/>
  <c r="AP28" i="140"/>
  <c r="AN28" i="140"/>
  <c r="AW27" i="140"/>
  <c r="AT27" i="140"/>
  <c r="AQ27" i="140"/>
  <c r="AN27" i="140"/>
  <c r="AY26" i="140"/>
  <c r="AW26" i="140"/>
  <c r="AV26" i="140"/>
  <c r="AT26" i="140"/>
  <c r="AS26" i="140"/>
  <c r="AQ26" i="140"/>
  <c r="AM26" i="140"/>
  <c r="AK26" i="140"/>
  <c r="AW25" i="140"/>
  <c r="AT25" i="140"/>
  <c r="AQ25" i="140"/>
  <c r="AN25" i="140"/>
  <c r="AK25" i="140"/>
  <c r="AY24" i="140"/>
  <c r="AW24" i="140"/>
  <c r="AV24" i="140"/>
  <c r="AT24" i="140"/>
  <c r="AS24" i="140"/>
  <c r="AQ24" i="140"/>
  <c r="AP24" i="140"/>
  <c r="AN24" i="140"/>
  <c r="AM24" i="140"/>
  <c r="AK24" i="140"/>
  <c r="AJ24" i="140"/>
  <c r="AH24" i="140"/>
  <c r="AW23" i="140"/>
  <c r="AT23" i="140"/>
  <c r="AQ23" i="140"/>
  <c r="AN23" i="140"/>
  <c r="AK23" i="140"/>
  <c r="AH23" i="140"/>
  <c r="AY22" i="140"/>
  <c r="AW22" i="140"/>
  <c r="AV22" i="140"/>
  <c r="AT22" i="140"/>
  <c r="AS22" i="140"/>
  <c r="AQ22" i="140"/>
  <c r="AP22" i="140"/>
  <c r="AN22" i="140"/>
  <c r="AM22" i="140"/>
  <c r="AK22" i="140"/>
  <c r="AJ22" i="140"/>
  <c r="AH22" i="140"/>
  <c r="AG22" i="140"/>
  <c r="AE22" i="140"/>
  <c r="AW21" i="140"/>
  <c r="AT21" i="140"/>
  <c r="AQ21" i="140"/>
  <c r="AN21" i="140"/>
  <c r="AK21" i="140"/>
  <c r="AH21" i="140"/>
  <c r="AE21" i="140"/>
  <c r="AY20" i="140"/>
  <c r="AW20" i="140"/>
  <c r="AV20" i="140"/>
  <c r="AT20" i="140"/>
  <c r="AS20" i="140"/>
  <c r="AQ20" i="140"/>
  <c r="AP20" i="140"/>
  <c r="AN20" i="140"/>
  <c r="AM20" i="140"/>
  <c r="AK20" i="140"/>
  <c r="AJ20" i="140"/>
  <c r="AH20" i="140"/>
  <c r="AG20" i="140"/>
  <c r="AE20" i="140"/>
  <c r="AD20" i="140"/>
  <c r="AB20" i="140"/>
  <c r="AW19" i="140"/>
  <c r="AT19" i="140"/>
  <c r="AQ19" i="140"/>
  <c r="AN19" i="140"/>
  <c r="AK19" i="140"/>
  <c r="AH19" i="140"/>
  <c r="AE19" i="140"/>
  <c r="AB19" i="140"/>
  <c r="AY18" i="140"/>
  <c r="AW18" i="140"/>
  <c r="AV18" i="140"/>
  <c r="AT18" i="140"/>
  <c r="AS18" i="140"/>
  <c r="AQ18" i="140"/>
  <c r="AP18" i="140"/>
  <c r="AN18" i="140"/>
  <c r="AM18" i="140"/>
  <c r="AK18" i="140"/>
  <c r="AJ18" i="140"/>
  <c r="AH18" i="140"/>
  <c r="AG18" i="140"/>
  <c r="AE18" i="140"/>
  <c r="AD18" i="140"/>
  <c r="AB18" i="140"/>
  <c r="AA18" i="140"/>
  <c r="Y18" i="140"/>
  <c r="AW17" i="140"/>
  <c r="AT17" i="140"/>
  <c r="AQ17" i="140"/>
  <c r="AN17" i="140"/>
  <c r="AK17" i="140"/>
  <c r="AH17" i="140"/>
  <c r="AE17" i="140"/>
  <c r="AB17" i="140"/>
  <c r="Y17" i="140"/>
  <c r="AY16" i="140"/>
  <c r="AW16" i="140"/>
  <c r="AV16" i="140"/>
  <c r="AT16" i="140"/>
  <c r="AS16" i="140"/>
  <c r="AQ16" i="140"/>
  <c r="AP16" i="140"/>
  <c r="AN16" i="140"/>
  <c r="AM16" i="140"/>
  <c r="AK16" i="140"/>
  <c r="AJ16" i="140"/>
  <c r="AH16" i="140"/>
  <c r="AG16" i="140"/>
  <c r="AE16" i="140"/>
  <c r="AD16" i="140"/>
  <c r="AB16" i="140"/>
  <c r="AA16" i="140"/>
  <c r="Y16" i="140"/>
  <c r="X16" i="140"/>
  <c r="V16" i="140"/>
  <c r="AW15" i="140"/>
  <c r="AT15" i="140"/>
  <c r="AQ15" i="140"/>
  <c r="AN15" i="140"/>
  <c r="AK15" i="140"/>
  <c r="AH15" i="140"/>
  <c r="AE15" i="140"/>
  <c r="AB15" i="140"/>
  <c r="Y15" i="140"/>
  <c r="V15" i="140"/>
  <c r="AY14" i="140"/>
  <c r="AW14" i="140"/>
  <c r="AV14" i="140"/>
  <c r="AT14" i="140"/>
  <c r="AS14" i="140"/>
  <c r="AQ14" i="140"/>
  <c r="AP14" i="140"/>
  <c r="AN14" i="140"/>
  <c r="AM14" i="140"/>
  <c r="AK14" i="140"/>
  <c r="AJ14" i="140"/>
  <c r="AH14" i="140"/>
  <c r="AG14" i="140"/>
  <c r="AE14" i="140"/>
  <c r="AD14" i="140"/>
  <c r="AB14" i="140"/>
  <c r="AA14" i="140"/>
  <c r="Y14" i="140"/>
  <c r="X14" i="140"/>
  <c r="V14" i="140"/>
  <c r="U14" i="140"/>
  <c r="S14" i="140"/>
  <c r="AW13" i="140"/>
  <c r="AT13" i="140"/>
  <c r="AQ13" i="140"/>
  <c r="AN13" i="140"/>
  <c r="AK13" i="140"/>
  <c r="AH13" i="140"/>
  <c r="AE13" i="140"/>
  <c r="AB13" i="140"/>
  <c r="Y13" i="140"/>
  <c r="V13" i="140"/>
  <c r="S13" i="140"/>
  <c r="AY12" i="140"/>
  <c r="AW12" i="140"/>
  <c r="AV12" i="140"/>
  <c r="AT12" i="140"/>
  <c r="AS12" i="140"/>
  <c r="AQ12" i="140"/>
  <c r="AP12" i="140"/>
  <c r="AN12" i="140"/>
  <c r="AM12" i="140"/>
  <c r="AK12" i="140"/>
  <c r="AJ12" i="140"/>
  <c r="AH12" i="140"/>
  <c r="AG12" i="140"/>
  <c r="AE12" i="140"/>
  <c r="AD12" i="140"/>
  <c r="AB12" i="140"/>
  <c r="AA12" i="140"/>
  <c r="Y12" i="140"/>
  <c r="X12" i="140"/>
  <c r="V12" i="140"/>
  <c r="U12" i="140"/>
  <c r="S12" i="140"/>
  <c r="R12" i="140"/>
  <c r="P12" i="140"/>
  <c r="AW11" i="140"/>
  <c r="AT11" i="140"/>
  <c r="AQ11" i="140"/>
  <c r="AN11" i="140"/>
  <c r="AK11" i="140"/>
  <c r="AH11" i="140"/>
  <c r="AE11" i="140"/>
  <c r="AB11" i="140"/>
  <c r="Y11" i="140"/>
  <c r="V11" i="140"/>
  <c r="S11" i="140"/>
  <c r="P11" i="140"/>
  <c r="AY10" i="140"/>
  <c r="AW10" i="140"/>
  <c r="AV10" i="140"/>
  <c r="AT10" i="140"/>
  <c r="AS10" i="140"/>
  <c r="AQ10" i="140"/>
  <c r="AP10" i="140"/>
  <c r="AN10" i="140"/>
  <c r="AM10" i="140"/>
  <c r="AK10" i="140"/>
  <c r="AJ10" i="140"/>
  <c r="AH10" i="140"/>
  <c r="AG10" i="140"/>
  <c r="AE10" i="140"/>
  <c r="AD10" i="140"/>
  <c r="AB10" i="140"/>
  <c r="AA10" i="140"/>
  <c r="Y10" i="140"/>
  <c r="X10" i="140"/>
  <c r="V10" i="140"/>
  <c r="U10" i="140"/>
  <c r="S10" i="140"/>
  <c r="R10" i="140"/>
  <c r="P10" i="140"/>
  <c r="O10" i="140"/>
  <c r="M10" i="140"/>
  <c r="AW9" i="140"/>
  <c r="AT9" i="140"/>
  <c r="AQ9" i="140"/>
  <c r="AN9" i="140"/>
  <c r="AK9" i="140"/>
  <c r="AH9" i="140"/>
  <c r="AE9" i="140"/>
  <c r="AB9" i="140"/>
  <c r="Y9" i="140"/>
  <c r="V9" i="140"/>
  <c r="S9" i="140"/>
  <c r="P9" i="140"/>
  <c r="M9" i="140"/>
  <c r="AY8" i="140"/>
  <c r="AW8" i="140"/>
  <c r="AV8" i="140"/>
  <c r="AT8" i="140"/>
  <c r="AS8" i="140"/>
  <c r="AQ8" i="140"/>
  <c r="AP8" i="140"/>
  <c r="AN8" i="140"/>
  <c r="AM8" i="140"/>
  <c r="AK8" i="140"/>
  <c r="AJ8" i="140"/>
  <c r="AH8" i="140"/>
  <c r="AG8" i="140"/>
  <c r="AE8" i="140"/>
  <c r="AD8" i="140"/>
  <c r="AB8" i="140"/>
  <c r="AA8" i="140"/>
  <c r="Y8" i="140"/>
  <c r="X8" i="140"/>
  <c r="V8" i="140"/>
  <c r="U8" i="140"/>
  <c r="S8" i="140"/>
  <c r="R8" i="140"/>
  <c r="P8" i="140"/>
  <c r="O8" i="140"/>
  <c r="M8" i="140"/>
  <c r="L8" i="140"/>
  <c r="J8" i="140"/>
  <c r="AW7" i="140"/>
  <c r="AT7" i="140"/>
  <c r="AQ7" i="140"/>
  <c r="AN7" i="140"/>
  <c r="AK7" i="140"/>
  <c r="AH7" i="140"/>
  <c r="AE7" i="140"/>
  <c r="AB7" i="140"/>
  <c r="Y7" i="140"/>
  <c r="V7" i="140"/>
  <c r="S7" i="140"/>
  <c r="P7" i="140"/>
  <c r="M7" i="140"/>
  <c r="J7" i="140"/>
  <c r="BS6" i="140"/>
  <c r="BP6" i="140"/>
  <c r="BM6" i="140"/>
  <c r="BJ6" i="140"/>
  <c r="BG6" i="140"/>
  <c r="AY6" i="140"/>
  <c r="AW6" i="140"/>
  <c r="AV6" i="140"/>
  <c r="AT6" i="140"/>
  <c r="AS6" i="140"/>
  <c r="AQ6" i="140"/>
  <c r="AP6" i="140"/>
  <c r="AN6" i="140"/>
  <c r="AM6" i="140"/>
  <c r="AK6" i="140"/>
  <c r="AJ6" i="140"/>
  <c r="AH6" i="140"/>
  <c r="AG6" i="140"/>
  <c r="AE6" i="140"/>
  <c r="AD6" i="140"/>
  <c r="AB6" i="140"/>
  <c r="AA6" i="140"/>
  <c r="Y6" i="140"/>
  <c r="X6" i="140"/>
  <c r="V6" i="140"/>
  <c r="U6" i="140"/>
  <c r="S6" i="140"/>
  <c r="R6" i="140"/>
  <c r="P6" i="140"/>
  <c r="O6" i="140"/>
  <c r="M6" i="140"/>
  <c r="L6" i="140"/>
  <c r="J6" i="140"/>
  <c r="I6" i="140"/>
  <c r="G6" i="140"/>
  <c r="CT5" i="140"/>
  <c r="CQ5" i="140"/>
  <c r="CN5" i="140"/>
  <c r="CK5" i="140"/>
  <c r="CH5" i="140"/>
  <c r="CE5" i="140"/>
  <c r="CB5" i="140"/>
  <c r="BY5" i="140"/>
  <c r="BV5" i="140"/>
  <c r="BS5" i="140"/>
  <c r="BP5" i="140"/>
  <c r="BM5" i="140"/>
  <c r="BJ5" i="140"/>
  <c r="BG5" i="140"/>
  <c r="BD5" i="140"/>
  <c r="AW5" i="140"/>
  <c r="AT5" i="140"/>
  <c r="AQ5" i="140"/>
  <c r="AN5" i="140"/>
  <c r="AK5" i="140"/>
  <c r="AH5" i="140"/>
  <c r="AE5" i="140"/>
  <c r="AB5" i="140"/>
  <c r="Y5" i="140"/>
  <c r="V5" i="140"/>
  <c r="S5" i="140"/>
  <c r="P5" i="140"/>
  <c r="M5" i="140"/>
  <c r="J5" i="140"/>
  <c r="G5" i="140"/>
  <c r="P124" i="141"/>
  <c r="O124" i="141"/>
  <c r="I124" i="141"/>
  <c r="G124" i="141"/>
  <c r="E124" i="141"/>
  <c r="P123" i="141"/>
  <c r="O123" i="141"/>
  <c r="I123" i="141"/>
  <c r="G123" i="141"/>
  <c r="E123" i="141"/>
  <c r="P122" i="141"/>
  <c r="O122" i="141"/>
  <c r="I122" i="141"/>
  <c r="G122" i="141"/>
  <c r="E122" i="141"/>
  <c r="P121" i="141"/>
  <c r="O121" i="141"/>
  <c r="I121" i="141"/>
  <c r="G121" i="141"/>
  <c r="E121" i="141"/>
  <c r="P120" i="141"/>
  <c r="O120" i="141"/>
  <c r="I120" i="141"/>
  <c r="G120" i="141"/>
  <c r="E120" i="141"/>
  <c r="P119" i="141"/>
  <c r="O119" i="141"/>
  <c r="I119" i="141"/>
  <c r="G119" i="141"/>
  <c r="E119" i="141"/>
  <c r="P118" i="141"/>
  <c r="O118" i="141"/>
  <c r="I118" i="141"/>
  <c r="G118" i="141"/>
  <c r="E118" i="141"/>
  <c r="P117" i="141"/>
  <c r="O117" i="141"/>
  <c r="I117" i="141"/>
  <c r="G117" i="141"/>
  <c r="E117" i="141"/>
  <c r="P116" i="141"/>
  <c r="O116" i="141"/>
  <c r="I116" i="141"/>
  <c r="G116" i="141"/>
  <c r="E116" i="141"/>
  <c r="P115" i="141"/>
  <c r="O115" i="141"/>
  <c r="I115" i="141"/>
  <c r="G115" i="141"/>
  <c r="E115" i="141"/>
  <c r="P114" i="141"/>
  <c r="O114" i="141"/>
  <c r="I114" i="141"/>
  <c r="G114" i="141"/>
  <c r="E114" i="141"/>
  <c r="P113" i="141"/>
  <c r="O113" i="141"/>
  <c r="I113" i="141"/>
  <c r="G113" i="141"/>
  <c r="E113" i="141"/>
  <c r="P112" i="141"/>
  <c r="O112" i="141"/>
  <c r="I112" i="141"/>
  <c r="G112" i="141"/>
  <c r="E112" i="141"/>
  <c r="P111" i="141"/>
  <c r="O111" i="141"/>
  <c r="I111" i="141"/>
  <c r="G111" i="141"/>
  <c r="E111" i="141"/>
  <c r="P110" i="141"/>
  <c r="O110" i="141"/>
  <c r="I110" i="141"/>
  <c r="G110" i="141"/>
  <c r="E110" i="141"/>
  <c r="P109" i="141"/>
  <c r="O109" i="141"/>
  <c r="I109" i="141"/>
  <c r="G109" i="141"/>
  <c r="E109" i="141"/>
  <c r="P108" i="141"/>
  <c r="O108" i="141"/>
  <c r="I108" i="141"/>
  <c r="G108" i="141"/>
  <c r="E108" i="141"/>
  <c r="P107" i="141"/>
  <c r="O107" i="141"/>
  <c r="I107" i="141"/>
  <c r="G107" i="141"/>
  <c r="E107" i="141"/>
  <c r="P106" i="141"/>
  <c r="O106" i="141"/>
  <c r="I106" i="141"/>
  <c r="G106" i="141"/>
  <c r="E106" i="141"/>
  <c r="P105" i="141"/>
  <c r="O105" i="141"/>
  <c r="I105" i="141"/>
  <c r="G105" i="141"/>
  <c r="E105" i="141"/>
  <c r="P104" i="141"/>
  <c r="O104" i="141"/>
  <c r="I104" i="141"/>
  <c r="G104" i="141"/>
  <c r="E104" i="141"/>
  <c r="P103" i="141"/>
  <c r="O103" i="141"/>
  <c r="I103" i="141"/>
  <c r="G103" i="141"/>
  <c r="E103" i="141"/>
  <c r="P102" i="141"/>
  <c r="O102" i="141"/>
  <c r="I102" i="141"/>
  <c r="G102" i="141"/>
  <c r="E102" i="141"/>
  <c r="P101" i="141"/>
  <c r="O101" i="141"/>
  <c r="I101" i="141"/>
  <c r="G101" i="141"/>
  <c r="E101" i="141"/>
  <c r="P100" i="141"/>
  <c r="O100" i="141"/>
  <c r="I100" i="141"/>
  <c r="G100" i="141"/>
  <c r="E100" i="141"/>
  <c r="P99" i="141"/>
  <c r="O99" i="141"/>
  <c r="I99" i="141"/>
  <c r="G99" i="141"/>
  <c r="E99" i="141"/>
  <c r="P98" i="141"/>
  <c r="O98" i="141"/>
  <c r="I98" i="141"/>
  <c r="G98" i="141"/>
  <c r="E98" i="141"/>
  <c r="P97" i="141"/>
  <c r="O97" i="141"/>
  <c r="I97" i="141"/>
  <c r="G97" i="141"/>
  <c r="E97" i="141"/>
  <c r="P96" i="141"/>
  <c r="O96" i="141"/>
  <c r="I96" i="141"/>
  <c r="G96" i="141"/>
  <c r="E96" i="141"/>
  <c r="P95" i="141"/>
  <c r="O95" i="141"/>
  <c r="I95" i="141"/>
  <c r="G95" i="141"/>
  <c r="E95" i="141"/>
  <c r="P94" i="141"/>
  <c r="O94" i="141"/>
  <c r="I94" i="141"/>
  <c r="G94" i="141"/>
  <c r="E94" i="141"/>
  <c r="P93" i="141"/>
  <c r="O93" i="141"/>
  <c r="I93" i="141"/>
  <c r="G93" i="141"/>
  <c r="E93" i="141"/>
  <c r="P92" i="141"/>
  <c r="O92" i="141"/>
  <c r="I92" i="141"/>
  <c r="G92" i="141"/>
  <c r="E92" i="141"/>
  <c r="P91" i="141"/>
  <c r="O91" i="141"/>
  <c r="I91" i="141"/>
  <c r="G91" i="141"/>
  <c r="E91" i="141"/>
  <c r="P90" i="141"/>
  <c r="O90" i="141"/>
  <c r="I90" i="141"/>
  <c r="G90" i="141"/>
  <c r="E90" i="141"/>
  <c r="P89" i="141"/>
  <c r="O89" i="141"/>
  <c r="I89" i="141"/>
  <c r="G89" i="141"/>
  <c r="E89" i="141"/>
  <c r="P88" i="141"/>
  <c r="O88" i="141"/>
  <c r="I88" i="141"/>
  <c r="G88" i="141"/>
  <c r="E88" i="141"/>
  <c r="P87" i="141"/>
  <c r="O87" i="141"/>
  <c r="I87" i="141"/>
  <c r="G87" i="141"/>
  <c r="E87" i="141"/>
  <c r="P86" i="141"/>
  <c r="O86" i="141"/>
  <c r="I86" i="141"/>
  <c r="G86" i="141"/>
  <c r="E86" i="141"/>
  <c r="P85" i="141"/>
  <c r="O85" i="141"/>
  <c r="I85" i="141"/>
  <c r="G85" i="141"/>
  <c r="E85" i="141"/>
  <c r="P84" i="141"/>
  <c r="O84" i="141"/>
  <c r="I84" i="141"/>
  <c r="G84" i="141"/>
  <c r="E84" i="141"/>
  <c r="P83" i="141"/>
  <c r="O83" i="141"/>
  <c r="I83" i="141"/>
  <c r="G83" i="141"/>
  <c r="E83" i="141"/>
  <c r="P82" i="141"/>
  <c r="O82" i="141"/>
  <c r="I82" i="141"/>
  <c r="G82" i="141"/>
  <c r="E82" i="141"/>
  <c r="P81" i="141"/>
  <c r="O81" i="141"/>
  <c r="I81" i="141"/>
  <c r="G81" i="141"/>
  <c r="E81" i="141"/>
  <c r="P80" i="141"/>
  <c r="O80" i="141"/>
  <c r="I80" i="141"/>
  <c r="G80" i="141"/>
  <c r="E80" i="141"/>
  <c r="P79" i="141"/>
  <c r="O79" i="141"/>
  <c r="I79" i="141"/>
  <c r="G79" i="141"/>
  <c r="E79" i="141"/>
  <c r="P78" i="141"/>
  <c r="O78" i="141"/>
  <c r="I78" i="141"/>
  <c r="G78" i="141"/>
  <c r="E78" i="141"/>
  <c r="P77" i="141"/>
  <c r="O77" i="141"/>
  <c r="I77" i="141"/>
  <c r="G77" i="141"/>
  <c r="E77" i="141"/>
  <c r="P76" i="141"/>
  <c r="O76" i="141"/>
  <c r="I76" i="141"/>
  <c r="G76" i="141"/>
  <c r="E76" i="141"/>
  <c r="P75" i="141"/>
  <c r="O75" i="141"/>
  <c r="I75" i="141"/>
  <c r="G75" i="141"/>
  <c r="E75" i="141"/>
  <c r="P74" i="141"/>
  <c r="O74" i="141"/>
  <c r="I74" i="141"/>
  <c r="G74" i="141"/>
  <c r="E74" i="141"/>
  <c r="P73" i="141"/>
  <c r="O73" i="141"/>
  <c r="I73" i="141"/>
  <c r="G73" i="141"/>
  <c r="E73" i="141"/>
  <c r="P72" i="141"/>
  <c r="O72" i="141"/>
  <c r="I72" i="141"/>
  <c r="G72" i="141"/>
  <c r="E72" i="141"/>
  <c r="P71" i="141"/>
  <c r="O71" i="141"/>
  <c r="I71" i="141"/>
  <c r="G71" i="141"/>
  <c r="E71" i="141"/>
  <c r="P70" i="141"/>
  <c r="O70" i="141"/>
  <c r="I70" i="141"/>
  <c r="G70" i="141"/>
  <c r="E70" i="141"/>
  <c r="P69" i="141"/>
  <c r="O69" i="141"/>
  <c r="I69" i="141"/>
  <c r="G69" i="141"/>
  <c r="E69" i="141"/>
  <c r="P68" i="141"/>
  <c r="O68" i="141"/>
  <c r="I68" i="141"/>
  <c r="G68" i="141"/>
  <c r="E68" i="141"/>
  <c r="P67" i="141"/>
  <c r="O67" i="141"/>
  <c r="I67" i="141"/>
  <c r="G67" i="141"/>
  <c r="E67" i="141"/>
  <c r="P66" i="141"/>
  <c r="O66" i="141"/>
  <c r="I66" i="141"/>
  <c r="G66" i="141"/>
  <c r="E66" i="141"/>
  <c r="P65" i="141"/>
  <c r="O65" i="141"/>
  <c r="I65" i="141"/>
  <c r="G65" i="141"/>
  <c r="E65" i="141"/>
  <c r="P64" i="141"/>
  <c r="O64" i="141"/>
  <c r="I64" i="141"/>
  <c r="G64" i="141"/>
  <c r="E64" i="141"/>
  <c r="P63" i="141"/>
  <c r="O63" i="141"/>
  <c r="I63" i="141"/>
  <c r="G63" i="141"/>
  <c r="E63" i="141"/>
  <c r="P62" i="141"/>
  <c r="O62" i="141"/>
  <c r="I62" i="141"/>
  <c r="G62" i="141"/>
  <c r="E62" i="141"/>
  <c r="P61" i="141"/>
  <c r="O61" i="141"/>
  <c r="I61" i="141"/>
  <c r="G61" i="141"/>
  <c r="E61" i="141"/>
  <c r="P60" i="141"/>
  <c r="O60" i="141"/>
  <c r="I60" i="141"/>
  <c r="G60" i="141"/>
  <c r="E60" i="141"/>
  <c r="P59" i="141"/>
  <c r="O59" i="141"/>
  <c r="I59" i="141"/>
  <c r="G59" i="141"/>
  <c r="E59" i="141"/>
  <c r="P58" i="141"/>
  <c r="O58" i="141"/>
  <c r="I58" i="141"/>
  <c r="G58" i="141"/>
  <c r="E58" i="141"/>
  <c r="P57" i="141"/>
  <c r="O57" i="141"/>
  <c r="I57" i="141"/>
  <c r="G57" i="141"/>
  <c r="E57" i="141"/>
  <c r="P56" i="141"/>
  <c r="O56" i="141"/>
  <c r="I56" i="141"/>
  <c r="G56" i="141"/>
  <c r="E56" i="141"/>
  <c r="P55" i="141"/>
  <c r="O55" i="141"/>
  <c r="I55" i="141"/>
  <c r="G55" i="141"/>
  <c r="E55" i="141"/>
  <c r="P54" i="141"/>
  <c r="O54" i="141"/>
  <c r="I54" i="141"/>
  <c r="G54" i="141"/>
  <c r="E54" i="141"/>
  <c r="P53" i="141"/>
  <c r="O53" i="141"/>
  <c r="I53" i="141"/>
  <c r="G53" i="141"/>
  <c r="E53" i="141"/>
  <c r="P52" i="141"/>
  <c r="O52" i="141"/>
  <c r="I52" i="141"/>
  <c r="G52" i="141"/>
  <c r="E52" i="141"/>
  <c r="P51" i="141"/>
  <c r="O51" i="141"/>
  <c r="I51" i="141"/>
  <c r="G51" i="141"/>
  <c r="E51" i="141"/>
  <c r="P50" i="141"/>
  <c r="O50" i="141"/>
  <c r="I50" i="141"/>
  <c r="G50" i="141"/>
  <c r="E50" i="141"/>
  <c r="P49" i="141"/>
  <c r="O49" i="141"/>
  <c r="I49" i="141"/>
  <c r="G49" i="141"/>
  <c r="E49" i="141"/>
  <c r="P48" i="141"/>
  <c r="O48" i="141"/>
  <c r="I48" i="141"/>
  <c r="G48" i="141"/>
  <c r="E48" i="141"/>
  <c r="P47" i="141"/>
  <c r="O47" i="141"/>
  <c r="I47" i="141"/>
  <c r="G47" i="141"/>
  <c r="E47" i="141"/>
  <c r="P46" i="141"/>
  <c r="O46" i="141"/>
  <c r="I46" i="141"/>
  <c r="G46" i="141"/>
  <c r="E46" i="141"/>
  <c r="P45" i="141"/>
  <c r="O45" i="141"/>
  <c r="I45" i="141"/>
  <c r="G45" i="141"/>
  <c r="E45" i="141"/>
  <c r="P44" i="141"/>
  <c r="O44" i="141"/>
  <c r="I44" i="141"/>
  <c r="G44" i="141"/>
  <c r="E44" i="141"/>
  <c r="P43" i="141"/>
  <c r="O43" i="141"/>
  <c r="I43" i="141"/>
  <c r="G43" i="141"/>
  <c r="E43" i="141"/>
  <c r="P42" i="141"/>
  <c r="O42" i="141"/>
  <c r="I42" i="141"/>
  <c r="G42" i="141"/>
  <c r="E42" i="141"/>
  <c r="P41" i="141"/>
  <c r="O41" i="141"/>
  <c r="I41" i="141"/>
  <c r="G41" i="141"/>
  <c r="E41" i="141"/>
  <c r="P40" i="141"/>
  <c r="O40" i="141"/>
  <c r="I40" i="141"/>
  <c r="G40" i="141"/>
  <c r="E40" i="141"/>
  <c r="P39" i="141"/>
  <c r="O39" i="141"/>
  <c r="I39" i="141"/>
  <c r="G39" i="141"/>
  <c r="E39" i="141"/>
  <c r="P38" i="141"/>
  <c r="O38" i="141"/>
  <c r="I38" i="141"/>
  <c r="G38" i="141"/>
  <c r="E38" i="141"/>
  <c r="P37" i="141"/>
  <c r="O37" i="141"/>
  <c r="I37" i="141"/>
  <c r="G37" i="141"/>
  <c r="E37" i="141"/>
  <c r="P36" i="141"/>
  <c r="O36" i="141"/>
  <c r="I36" i="141"/>
  <c r="G36" i="141"/>
  <c r="E36" i="141"/>
  <c r="P35" i="141"/>
  <c r="O35" i="141"/>
  <c r="I35" i="141"/>
  <c r="G35" i="141"/>
  <c r="E35" i="141"/>
  <c r="P34" i="141"/>
  <c r="O34" i="141"/>
  <c r="I34" i="141"/>
  <c r="G34" i="141"/>
  <c r="E34" i="141"/>
  <c r="P33" i="141"/>
  <c r="O33" i="141"/>
  <c r="I33" i="141"/>
  <c r="G33" i="141"/>
  <c r="E33" i="141"/>
  <c r="P32" i="141"/>
  <c r="O32" i="141"/>
  <c r="I32" i="141"/>
  <c r="G32" i="141"/>
  <c r="E32" i="141"/>
  <c r="P31" i="141"/>
  <c r="O31" i="141"/>
  <c r="I31" i="141"/>
  <c r="G31" i="141"/>
  <c r="E31" i="141"/>
  <c r="P30" i="141"/>
  <c r="O30" i="141"/>
  <c r="I30" i="141"/>
  <c r="G30" i="141"/>
  <c r="E30" i="141"/>
  <c r="P29" i="141"/>
  <c r="O29" i="141"/>
  <c r="I29" i="141"/>
  <c r="G29" i="141"/>
  <c r="E29" i="141"/>
  <c r="P28" i="141"/>
  <c r="O28" i="141"/>
  <c r="I28" i="141"/>
  <c r="G28" i="141"/>
  <c r="E28" i="141"/>
  <c r="P27" i="141"/>
  <c r="O27" i="141"/>
  <c r="I27" i="141"/>
  <c r="G27" i="141"/>
  <c r="E27" i="141"/>
  <c r="P26" i="141"/>
  <c r="O26" i="141"/>
  <c r="I26" i="141"/>
  <c r="G26" i="141"/>
  <c r="E26" i="141"/>
  <c r="P25" i="141"/>
  <c r="O25" i="141"/>
  <c r="I25" i="141"/>
  <c r="G25" i="141"/>
  <c r="E25" i="141"/>
  <c r="P24" i="141"/>
  <c r="O24" i="141"/>
  <c r="I24" i="141"/>
  <c r="G24" i="141"/>
  <c r="E24" i="141"/>
  <c r="P23" i="141"/>
  <c r="O23" i="141"/>
  <c r="I23" i="141"/>
  <c r="G23" i="141"/>
  <c r="E23" i="141"/>
  <c r="P22" i="141"/>
  <c r="O22" i="141"/>
  <c r="I22" i="141"/>
  <c r="G22" i="141"/>
  <c r="E22" i="141"/>
  <c r="P21" i="141"/>
  <c r="O21" i="141"/>
  <c r="I21" i="141"/>
  <c r="G21" i="141"/>
  <c r="E21" i="141"/>
  <c r="P20" i="141"/>
  <c r="O20" i="141"/>
  <c r="I20" i="141"/>
  <c r="G20" i="141"/>
  <c r="E20" i="141"/>
  <c r="P19" i="141"/>
  <c r="O19" i="141"/>
  <c r="I19" i="141"/>
  <c r="G19" i="141"/>
  <c r="E19" i="141"/>
  <c r="P18" i="141"/>
  <c r="O18" i="141"/>
  <c r="I18" i="141"/>
  <c r="G18" i="141"/>
  <c r="E18" i="141"/>
  <c r="P17" i="141"/>
  <c r="O17" i="141"/>
  <c r="I17" i="141"/>
  <c r="G17" i="141"/>
  <c r="E17" i="141"/>
  <c r="P16" i="141"/>
  <c r="O16" i="141"/>
  <c r="I16" i="141"/>
  <c r="G16" i="141"/>
  <c r="E16" i="141"/>
  <c r="P15" i="141"/>
  <c r="O15" i="141"/>
  <c r="I15" i="141"/>
  <c r="G15" i="141"/>
  <c r="E15" i="141"/>
  <c r="P14" i="141"/>
  <c r="O14" i="141"/>
  <c r="I14" i="141"/>
  <c r="G14" i="141"/>
  <c r="E14" i="141"/>
  <c r="P13" i="141"/>
  <c r="O13" i="141"/>
  <c r="I13" i="141"/>
  <c r="G13" i="141"/>
  <c r="E13" i="141"/>
  <c r="P12" i="141"/>
  <c r="O12" i="141"/>
  <c r="I12" i="141"/>
  <c r="G12" i="141"/>
  <c r="E12" i="141"/>
  <c r="P11" i="141"/>
  <c r="O11" i="141"/>
  <c r="I11" i="141"/>
  <c r="G11" i="141"/>
  <c r="E11" i="141"/>
  <c r="P10" i="141"/>
  <c r="O10" i="141"/>
  <c r="I10" i="141"/>
  <c r="G10" i="141"/>
  <c r="E10" i="141"/>
  <c r="P9" i="141"/>
  <c r="O9" i="141"/>
  <c r="I9" i="141"/>
  <c r="G9" i="141"/>
  <c r="E9" i="141"/>
  <c r="P8" i="141"/>
  <c r="O8" i="141"/>
  <c r="I8" i="141"/>
  <c r="G8" i="141"/>
  <c r="E8" i="141"/>
  <c r="P7" i="141"/>
  <c r="O7" i="141"/>
  <c r="I7" i="141"/>
  <c r="G7" i="141"/>
  <c r="E7" i="141"/>
  <c r="P6" i="141"/>
  <c r="O6" i="141"/>
  <c r="I6" i="141"/>
  <c r="G6" i="141"/>
  <c r="E6" i="141"/>
  <c r="P5" i="141"/>
  <c r="O5" i="141"/>
  <c r="I5" i="141"/>
  <c r="G5" i="141"/>
  <c r="E5" i="141"/>
  <c r="N2" i="141"/>
  <c r="E2" i="141"/>
  <c r="AL38" i="140"/>
  <c r="E38" i="140"/>
  <c r="C36" i="140"/>
  <c r="C35" i="140"/>
  <c r="AV36" i="140"/>
  <c r="C34" i="140"/>
  <c r="AT36" i="140"/>
  <c r="C33" i="140"/>
  <c r="AS36" i="140"/>
  <c r="AS34" i="140"/>
  <c r="C32" i="140"/>
  <c r="AQ36" i="140"/>
  <c r="C31" i="140"/>
  <c r="AP36" i="140"/>
  <c r="AP34" i="140"/>
  <c r="AP32" i="140"/>
  <c r="C30" i="140"/>
  <c r="AX30" i="140"/>
  <c r="AO36" i="140" s="1"/>
  <c r="AR30" i="140"/>
  <c r="AO32" i="140" s="1"/>
  <c r="C29" i="140"/>
  <c r="AM36" i="140"/>
  <c r="AM34" i="140"/>
  <c r="AM32" i="140"/>
  <c r="AM30" i="140"/>
  <c r="C28" i="140"/>
  <c r="AX28" i="140"/>
  <c r="AL36" i="140" s="1"/>
  <c r="AK31" i="140"/>
  <c r="AO28" i="140"/>
  <c r="AL30" i="140" s="1"/>
  <c r="C27" i="140"/>
  <c r="AJ36" i="140"/>
  <c r="AJ34" i="140"/>
  <c r="AJ32" i="140"/>
  <c r="AJ30" i="140"/>
  <c r="AJ28" i="140"/>
  <c r="C26" i="140"/>
  <c r="C25" i="140"/>
  <c r="AG36" i="140"/>
  <c r="AG34" i="140"/>
  <c r="AG32" i="140"/>
  <c r="AG30" i="140"/>
  <c r="AG28" i="140"/>
  <c r="AG26" i="140"/>
  <c r="C24" i="140"/>
  <c r="AX24" i="140"/>
  <c r="AF36" i="140" s="1"/>
  <c r="AR24" i="140"/>
  <c r="AF32" i="140" s="1"/>
  <c r="AL24" i="140"/>
  <c r="AF28" i="140" s="1"/>
  <c r="AE26" i="140"/>
  <c r="C23" i="140"/>
  <c r="AD36" i="140"/>
  <c r="AD34" i="140"/>
  <c r="AD32" i="140"/>
  <c r="AD30" i="140"/>
  <c r="AD28" i="140"/>
  <c r="AD26" i="140"/>
  <c r="AD24" i="140"/>
  <c r="C22" i="140"/>
  <c r="AX22" i="140"/>
  <c r="AC36" i="140" s="1"/>
  <c r="AR22" i="140"/>
  <c r="AC32" i="140" s="1"/>
  <c r="AL22" i="140"/>
  <c r="AC28" i="140" s="1"/>
  <c r="AB25" i="140"/>
  <c r="AB24" i="140"/>
  <c r="C21" i="140"/>
  <c r="AA36" i="140"/>
  <c r="AA34" i="140"/>
  <c r="AA32" i="140"/>
  <c r="AA30" i="140"/>
  <c r="AA28" i="140"/>
  <c r="AA26" i="140"/>
  <c r="AA24" i="140"/>
  <c r="AA22" i="140"/>
  <c r="C20" i="140"/>
  <c r="AX20" i="140"/>
  <c r="Z36" i="140" s="1"/>
  <c r="AR20" i="140"/>
  <c r="Z32" i="140" s="1"/>
  <c r="AL20" i="140"/>
  <c r="Z28" i="140" s="1"/>
  <c r="Y26" i="140"/>
  <c r="Y24" i="140"/>
  <c r="AC20" i="140"/>
  <c r="Z22" i="140" s="1"/>
  <c r="C19" i="140"/>
  <c r="X36" i="140"/>
  <c r="X34" i="140"/>
  <c r="X32" i="140"/>
  <c r="X30" i="140"/>
  <c r="X28" i="140"/>
  <c r="X26" i="140"/>
  <c r="X24" i="140"/>
  <c r="X22" i="140"/>
  <c r="X20" i="140"/>
  <c r="C18" i="140"/>
  <c r="AX18" i="140"/>
  <c r="W36" i="140" s="1"/>
  <c r="AR18" i="140"/>
  <c r="W32" i="140" s="1"/>
  <c r="AL18" i="140"/>
  <c r="W28" i="140" s="1"/>
  <c r="V26" i="140"/>
  <c r="V24" i="140"/>
  <c r="V22" i="140"/>
  <c r="V20" i="140"/>
  <c r="C17" i="140"/>
  <c r="U36" i="140"/>
  <c r="U34" i="140"/>
  <c r="U32" i="140"/>
  <c r="U30" i="140"/>
  <c r="U28" i="140"/>
  <c r="U26" i="140"/>
  <c r="U24" i="140"/>
  <c r="AF16" i="140"/>
  <c r="T24" i="140" s="1"/>
  <c r="U22" i="140"/>
  <c r="U20" i="140"/>
  <c r="Z16" i="140"/>
  <c r="T20" i="140" s="1"/>
  <c r="U18" i="140"/>
  <c r="C16" i="140"/>
  <c r="AX16" i="140"/>
  <c r="T36" i="140" s="1"/>
  <c r="AR16" i="140"/>
  <c r="T32" i="140" s="1"/>
  <c r="AL16" i="140"/>
  <c r="T28" i="140" s="1"/>
  <c r="S26" i="140"/>
  <c r="S24" i="140"/>
  <c r="AC16" i="140"/>
  <c r="T22" i="140" s="1"/>
  <c r="S20" i="140"/>
  <c r="W16" i="140"/>
  <c r="T18" i="140" s="1"/>
  <c r="C15" i="140"/>
  <c r="R36" i="140"/>
  <c r="R34" i="140"/>
  <c r="R32" i="140"/>
  <c r="AR14" i="140"/>
  <c r="Q32" i="140" s="1"/>
  <c r="R30" i="140"/>
  <c r="R28" i="140"/>
  <c r="AL14" i="140"/>
  <c r="Q28" i="140" s="1"/>
  <c r="R26" i="140"/>
  <c r="R24" i="140"/>
  <c r="AF14" i="140"/>
  <c r="Q24" i="140" s="1"/>
  <c r="R22" i="140"/>
  <c r="R20" i="140"/>
  <c r="Z14" i="140"/>
  <c r="Q20" i="140" s="1"/>
  <c r="R18" i="140"/>
  <c r="R16" i="140"/>
  <c r="T14" i="140"/>
  <c r="Q16" i="140" s="1"/>
  <c r="C14" i="140"/>
  <c r="AX14" i="140"/>
  <c r="Q36" i="140" s="1"/>
  <c r="P25" i="140"/>
  <c r="P24" i="140"/>
  <c r="P22" i="140"/>
  <c r="P20" i="140"/>
  <c r="P18" i="140"/>
  <c r="P16" i="140"/>
  <c r="C13" i="140"/>
  <c r="O36" i="140"/>
  <c r="AX12" i="140"/>
  <c r="N36" i="140" s="1"/>
  <c r="O34" i="140"/>
  <c r="O32" i="140"/>
  <c r="AR12" i="140"/>
  <c r="N32" i="140" s="1"/>
  <c r="O30" i="140"/>
  <c r="O28" i="140"/>
  <c r="AL12" i="140"/>
  <c r="N28" i="140" s="1"/>
  <c r="O26" i="140"/>
  <c r="O24" i="140"/>
  <c r="AF12" i="140"/>
  <c r="N24" i="140" s="1"/>
  <c r="O22" i="140"/>
  <c r="O20" i="140"/>
  <c r="Z12" i="140"/>
  <c r="N20" i="140" s="1"/>
  <c r="O18" i="140"/>
  <c r="O16" i="140"/>
  <c r="T12" i="140"/>
  <c r="N16" i="140" s="1"/>
  <c r="O14" i="140"/>
  <c r="C12" i="140"/>
  <c r="M26" i="140"/>
  <c r="M24" i="140"/>
  <c r="AC12" i="140"/>
  <c r="N22" i="140" s="1"/>
  <c r="M20" i="140"/>
  <c r="W12" i="140"/>
  <c r="N18" i="140" s="1"/>
  <c r="M16" i="140"/>
  <c r="Q12" i="140"/>
  <c r="N14" i="140" s="1"/>
  <c r="C11" i="140"/>
  <c r="L36" i="140"/>
  <c r="AX10" i="140"/>
  <c r="K36" i="140" s="1"/>
  <c r="J36" i="140"/>
  <c r="L34" i="140"/>
  <c r="J34" i="140"/>
  <c r="L32" i="140"/>
  <c r="AR10" i="140"/>
  <c r="K32" i="140" s="1"/>
  <c r="L30" i="140"/>
  <c r="L28" i="140"/>
  <c r="AL10" i="140"/>
  <c r="K28" i="140" s="1"/>
  <c r="L26" i="140"/>
  <c r="L24" i="140"/>
  <c r="AF10" i="140"/>
  <c r="K24" i="140" s="1"/>
  <c r="L22" i="140"/>
  <c r="L20" i="140"/>
  <c r="Z10" i="140"/>
  <c r="K20" i="140" s="1"/>
  <c r="L18" i="140"/>
  <c r="L16" i="140"/>
  <c r="T10" i="140"/>
  <c r="K16" i="140" s="1"/>
  <c r="L14" i="140"/>
  <c r="L12" i="140"/>
  <c r="N10" i="140"/>
  <c r="K12" i="140" s="1"/>
  <c r="C10" i="140"/>
  <c r="J35" i="140"/>
  <c r="J24" i="140"/>
  <c r="J20" i="140"/>
  <c r="J16" i="140"/>
  <c r="J12" i="140"/>
  <c r="C9" i="140"/>
  <c r="I36" i="140"/>
  <c r="AX8" i="140"/>
  <c r="H36" i="140" s="1"/>
  <c r="I34" i="140"/>
  <c r="I32" i="140"/>
  <c r="AR8" i="140"/>
  <c r="H32" i="140" s="1"/>
  <c r="I30" i="140"/>
  <c r="I28" i="140"/>
  <c r="AL8" i="140"/>
  <c r="H28" i="140" s="1"/>
  <c r="I26" i="140"/>
  <c r="I24" i="140"/>
  <c r="AF8" i="140"/>
  <c r="H24" i="140" s="1"/>
  <c r="I22" i="140"/>
  <c r="I20" i="140"/>
  <c r="Z8" i="140"/>
  <c r="H20" i="140" s="1"/>
  <c r="I18" i="140"/>
  <c r="I16" i="140"/>
  <c r="T8" i="140"/>
  <c r="H16" i="140" s="1"/>
  <c r="I14" i="140"/>
  <c r="I12" i="140"/>
  <c r="N8" i="140"/>
  <c r="H12" i="140" s="1"/>
  <c r="I10" i="140"/>
  <c r="C8" i="140"/>
  <c r="G24" i="140"/>
  <c r="G20" i="140"/>
  <c r="G16" i="140"/>
  <c r="G12" i="140"/>
  <c r="C7" i="140"/>
  <c r="F36" i="140"/>
  <c r="F34" i="140"/>
  <c r="F32" i="140"/>
  <c r="F30" i="140"/>
  <c r="F28" i="140"/>
  <c r="F26" i="140"/>
  <c r="F24" i="140"/>
  <c r="F22" i="140"/>
  <c r="F20" i="140"/>
  <c r="F18" i="140"/>
  <c r="F16" i="140"/>
  <c r="F14" i="140"/>
  <c r="F12" i="140"/>
  <c r="F10" i="140"/>
  <c r="F8" i="140"/>
  <c r="C6" i="140"/>
  <c r="C5" i="140"/>
  <c r="D3" i="140"/>
  <c r="AK2" i="140"/>
  <c r="I2" i="140"/>
  <c r="C2" i="140"/>
  <c r="A1" i="140"/>
  <c r="P5" i="115"/>
  <c r="P6" i="115"/>
  <c r="O5" i="115"/>
  <c r="O6" i="115"/>
  <c r="F93" i="115"/>
  <c r="D93" i="115"/>
  <c r="G16" i="147" l="1"/>
  <c r="N8" i="147"/>
  <c r="H12" i="147" s="1"/>
  <c r="A5" i="151"/>
  <c r="A4" i="151"/>
  <c r="P4" i="151"/>
  <c r="A12" i="151"/>
  <c r="B12" i="151" s="1"/>
  <c r="A21" i="151"/>
  <c r="A28" i="151"/>
  <c r="P12" i="151"/>
  <c r="R12" i="151" s="1"/>
  <c r="P21" i="151"/>
  <c r="R21" i="151" s="1"/>
  <c r="P29" i="151"/>
  <c r="P5" i="152"/>
  <c r="P13" i="152"/>
  <c r="R13" i="152" s="1"/>
  <c r="P21" i="152"/>
  <c r="R21" i="152" s="1"/>
  <c r="A21" i="152"/>
  <c r="C21" i="152" s="1"/>
  <c r="A28" i="152"/>
  <c r="B28" i="152" s="1"/>
  <c r="P29" i="152"/>
  <c r="P28" i="153"/>
  <c r="P13" i="153"/>
  <c r="Q13" i="153" s="1"/>
  <c r="P21" i="153"/>
  <c r="R21" i="153" s="1"/>
  <c r="P5" i="153"/>
  <c r="Q5" i="153" s="1"/>
  <c r="A13" i="153"/>
  <c r="B13" i="153" s="1"/>
  <c r="A20" i="153"/>
  <c r="C20" i="153" s="1"/>
  <c r="A5" i="152"/>
  <c r="A4" i="152"/>
  <c r="A5" i="153"/>
  <c r="A4" i="153"/>
  <c r="P5" i="151"/>
  <c r="Q5" i="151" s="1"/>
  <c r="A13" i="151"/>
  <c r="B13" i="151" s="1"/>
  <c r="A20" i="151"/>
  <c r="B20" i="151" s="1"/>
  <c r="A29" i="151"/>
  <c r="B29" i="151" s="1"/>
  <c r="P13" i="151"/>
  <c r="R13" i="151" s="1"/>
  <c r="P20" i="151"/>
  <c r="R20" i="151" s="1"/>
  <c r="P28" i="151"/>
  <c r="P4" i="152"/>
  <c r="Q4" i="152" s="1"/>
  <c r="P12" i="152"/>
  <c r="P20" i="152"/>
  <c r="Q20" i="152" s="1"/>
  <c r="A20" i="152"/>
  <c r="B20" i="152" s="1"/>
  <c r="A29" i="152"/>
  <c r="C29" i="152" s="1"/>
  <c r="P28" i="152"/>
  <c r="A12" i="152"/>
  <c r="P29" i="153"/>
  <c r="P12" i="153"/>
  <c r="Q12" i="153" s="1"/>
  <c r="P20" i="153"/>
  <c r="R20" i="153" s="1"/>
  <c r="P4" i="153"/>
  <c r="A12" i="153"/>
  <c r="B12" i="153" s="1"/>
  <c r="A21" i="153"/>
  <c r="C21" i="153" s="1"/>
  <c r="A28" i="153"/>
  <c r="B28" i="153" s="1"/>
  <c r="R5" i="153"/>
  <c r="B29" i="153"/>
  <c r="C29" i="153"/>
  <c r="C13" i="152"/>
  <c r="B13" i="152"/>
  <c r="D8" i="147"/>
  <c r="D7" i="147"/>
  <c r="D12" i="147"/>
  <c r="D11" i="147"/>
  <c r="D16" i="147"/>
  <c r="D15" i="147"/>
  <c r="D20" i="147"/>
  <c r="D19" i="147"/>
  <c r="D24" i="147"/>
  <c r="D23" i="147"/>
  <c r="D28" i="147"/>
  <c r="D27" i="147"/>
  <c r="D32" i="147"/>
  <c r="D31" i="147"/>
  <c r="D36" i="147"/>
  <c r="D35" i="147"/>
  <c r="H6" i="147"/>
  <c r="N6" i="147"/>
  <c r="E12" i="147" s="1"/>
  <c r="T6" i="147"/>
  <c r="E16" i="147" s="1"/>
  <c r="Z6" i="147"/>
  <c r="E20" i="147" s="1"/>
  <c r="AF6" i="147"/>
  <c r="E24" i="147" s="1"/>
  <c r="AL6" i="147"/>
  <c r="E28" i="147" s="1"/>
  <c r="AR6" i="147"/>
  <c r="E32" i="147" s="1"/>
  <c r="AX6" i="147"/>
  <c r="E36" i="147" s="1"/>
  <c r="K8" i="147"/>
  <c r="H10" i="147" s="1"/>
  <c r="G10" i="147"/>
  <c r="G9" i="147"/>
  <c r="Q8" i="147"/>
  <c r="H14" i="147" s="1"/>
  <c r="G14" i="147"/>
  <c r="G13" i="147"/>
  <c r="W8" i="147"/>
  <c r="H18" i="147" s="1"/>
  <c r="G18" i="147"/>
  <c r="G17" i="147"/>
  <c r="AC8" i="147"/>
  <c r="H22" i="147" s="1"/>
  <c r="G22" i="147"/>
  <c r="G21" i="147"/>
  <c r="G26" i="147"/>
  <c r="AI8" i="147"/>
  <c r="H26" i="147" s="1"/>
  <c r="G25" i="147"/>
  <c r="G30" i="147"/>
  <c r="G29" i="147"/>
  <c r="AO8" i="147"/>
  <c r="H30" i="147" s="1"/>
  <c r="G34" i="147"/>
  <c r="G33" i="147"/>
  <c r="AU8" i="147"/>
  <c r="H34" i="147" s="1"/>
  <c r="AZ7" i="147"/>
  <c r="E8" i="147"/>
  <c r="D10" i="147"/>
  <c r="D9" i="147"/>
  <c r="D14" i="147"/>
  <c r="D13" i="147"/>
  <c r="D18" i="147"/>
  <c r="D17" i="147"/>
  <c r="D22" i="147"/>
  <c r="D21" i="147"/>
  <c r="D26" i="147"/>
  <c r="D25" i="147"/>
  <c r="D30" i="147"/>
  <c r="D29" i="147"/>
  <c r="D34" i="147"/>
  <c r="D33" i="147"/>
  <c r="AZ5" i="147"/>
  <c r="K6" i="147"/>
  <c r="E10" i="147" s="1"/>
  <c r="Q6" i="147"/>
  <c r="E14" i="147" s="1"/>
  <c r="W6" i="147"/>
  <c r="E18" i="147" s="1"/>
  <c r="AC6" i="147"/>
  <c r="E22" i="147" s="1"/>
  <c r="AI6" i="147"/>
  <c r="E26" i="147" s="1"/>
  <c r="AO6" i="147"/>
  <c r="E30" i="147" s="1"/>
  <c r="AU6" i="147"/>
  <c r="E34" i="147" s="1"/>
  <c r="J30" i="147"/>
  <c r="J29" i="147"/>
  <c r="Z10" i="147"/>
  <c r="K20" i="147" s="1"/>
  <c r="AF10" i="147"/>
  <c r="K24" i="147" s="1"/>
  <c r="AX10" i="147"/>
  <c r="K36" i="147" s="1"/>
  <c r="G11" i="147"/>
  <c r="M30" i="147"/>
  <c r="M29" i="147"/>
  <c r="M34" i="147"/>
  <c r="M33" i="147"/>
  <c r="T12" i="147"/>
  <c r="N16" i="147" s="1"/>
  <c r="Z12" i="147"/>
  <c r="N20" i="147" s="1"/>
  <c r="AF12" i="147"/>
  <c r="N24" i="147" s="1"/>
  <c r="M13" i="147"/>
  <c r="P30" i="147"/>
  <c r="P29" i="147"/>
  <c r="P34" i="147"/>
  <c r="P33" i="147"/>
  <c r="M14" i="147"/>
  <c r="T14" i="147"/>
  <c r="Q16" i="147" s="1"/>
  <c r="Z14" i="147"/>
  <c r="Q20" i="147" s="1"/>
  <c r="AF14" i="147"/>
  <c r="Q24" i="147" s="1"/>
  <c r="G15" i="147"/>
  <c r="M15" i="147"/>
  <c r="S30" i="147"/>
  <c r="S29" i="147"/>
  <c r="S34" i="147"/>
  <c r="S33" i="147"/>
  <c r="Z16" i="147"/>
  <c r="T20" i="147" s="1"/>
  <c r="AF16" i="147"/>
  <c r="T24" i="147" s="1"/>
  <c r="M17" i="147"/>
  <c r="S17" i="147"/>
  <c r="V30" i="147"/>
  <c r="V29" i="147"/>
  <c r="V34" i="147"/>
  <c r="V33" i="147"/>
  <c r="M18" i="147"/>
  <c r="S18" i="147"/>
  <c r="Z18" i="147"/>
  <c r="W20" i="147" s="1"/>
  <c r="AF18" i="147"/>
  <c r="W24" i="147" s="1"/>
  <c r="G19" i="147"/>
  <c r="M19" i="147"/>
  <c r="S19" i="147"/>
  <c r="Y30" i="147"/>
  <c r="Y29" i="147"/>
  <c r="Y34" i="147"/>
  <c r="Y33" i="147"/>
  <c r="AF20" i="147"/>
  <c r="Z24" i="147" s="1"/>
  <c r="M21" i="147"/>
  <c r="S21" i="147"/>
  <c r="Y21" i="147"/>
  <c r="AB30" i="147"/>
  <c r="AB29" i="147"/>
  <c r="AB34" i="147"/>
  <c r="AB33" i="147"/>
  <c r="M22" i="147"/>
  <c r="S22" i="147"/>
  <c r="Y22" i="147"/>
  <c r="AF22" i="147"/>
  <c r="G23" i="147"/>
  <c r="M23" i="147"/>
  <c r="S23" i="147"/>
  <c r="Y23" i="147"/>
  <c r="AE30" i="147"/>
  <c r="AE29" i="147"/>
  <c r="AE34" i="147"/>
  <c r="AE33" i="147"/>
  <c r="AC24" i="147"/>
  <c r="M25" i="147"/>
  <c r="S25" i="147"/>
  <c r="Y25" i="147"/>
  <c r="AE25" i="147"/>
  <c r="AH30" i="147"/>
  <c r="AH29" i="147"/>
  <c r="AO26" i="147"/>
  <c r="AI30" i="147" s="1"/>
  <c r="AH34" i="147"/>
  <c r="AH33" i="147"/>
  <c r="AU26" i="147"/>
  <c r="AI34" i="147" s="1"/>
  <c r="P26" i="147"/>
  <c r="AB26" i="147"/>
  <c r="G28" i="147"/>
  <c r="G27" i="147"/>
  <c r="G32" i="147"/>
  <c r="G31" i="147"/>
  <c r="G36" i="147"/>
  <c r="G35" i="147"/>
  <c r="J28" i="147"/>
  <c r="J27" i="147"/>
  <c r="J32" i="147"/>
  <c r="J31" i="147"/>
  <c r="Q10" i="147"/>
  <c r="K14" i="147" s="1"/>
  <c r="W10" i="147"/>
  <c r="K18" i="147" s="1"/>
  <c r="AC10" i="147"/>
  <c r="K22" i="147" s="1"/>
  <c r="AI10" i="147"/>
  <c r="K26" i="147" s="1"/>
  <c r="AO10" i="147"/>
  <c r="K30" i="147" s="1"/>
  <c r="AU10" i="147"/>
  <c r="K34" i="147" s="1"/>
  <c r="J11" i="147"/>
  <c r="M28" i="147"/>
  <c r="M27" i="147"/>
  <c r="M32" i="147"/>
  <c r="M31" i="147"/>
  <c r="M36" i="147"/>
  <c r="M35" i="147"/>
  <c r="AI12" i="147"/>
  <c r="N26" i="147" s="1"/>
  <c r="AO12" i="147"/>
  <c r="N30" i="147" s="1"/>
  <c r="AU12" i="147"/>
  <c r="N34" i="147" s="1"/>
  <c r="J13" i="147"/>
  <c r="P28" i="147"/>
  <c r="P27" i="147"/>
  <c r="P32" i="147"/>
  <c r="P31" i="147"/>
  <c r="P36" i="147"/>
  <c r="P35" i="147"/>
  <c r="W14" i="147"/>
  <c r="Q18" i="147" s="1"/>
  <c r="AC14" i="147"/>
  <c r="Q22" i="147" s="1"/>
  <c r="AI14" i="147"/>
  <c r="Q26" i="147" s="1"/>
  <c r="AO14" i="147"/>
  <c r="Q30" i="147" s="1"/>
  <c r="AU14" i="147"/>
  <c r="Q34" i="147" s="1"/>
  <c r="J15" i="147"/>
  <c r="P15" i="147"/>
  <c r="S28" i="147"/>
  <c r="S27" i="147"/>
  <c r="S32" i="147"/>
  <c r="S31" i="147"/>
  <c r="S36" i="147"/>
  <c r="S35" i="147"/>
  <c r="AI16" i="147"/>
  <c r="T26" i="147" s="1"/>
  <c r="AO16" i="147"/>
  <c r="T30" i="147" s="1"/>
  <c r="AU16" i="147"/>
  <c r="T34" i="147" s="1"/>
  <c r="J17" i="147"/>
  <c r="P17" i="147"/>
  <c r="V28" i="147"/>
  <c r="V27" i="147"/>
  <c r="V32" i="147"/>
  <c r="V31" i="147"/>
  <c r="V36" i="147"/>
  <c r="V35" i="147"/>
  <c r="AC18" i="147"/>
  <c r="W22" i="147" s="1"/>
  <c r="AI18" i="147"/>
  <c r="W26" i="147" s="1"/>
  <c r="AO18" i="147"/>
  <c r="W30" i="147" s="1"/>
  <c r="AU18" i="147"/>
  <c r="W34" i="147" s="1"/>
  <c r="J19" i="147"/>
  <c r="P19" i="147"/>
  <c r="V19" i="147"/>
  <c r="Y28" i="147"/>
  <c r="Y27" i="147"/>
  <c r="Y32" i="147"/>
  <c r="Y31" i="147"/>
  <c r="Y36" i="147"/>
  <c r="Y35" i="147"/>
  <c r="AI20" i="147"/>
  <c r="Z26" i="147" s="1"/>
  <c r="AO20" i="147"/>
  <c r="Z30" i="147" s="1"/>
  <c r="AU20" i="147"/>
  <c r="Z34" i="147" s="1"/>
  <c r="J21" i="147"/>
  <c r="P21" i="147"/>
  <c r="V21" i="147"/>
  <c r="AB28" i="147"/>
  <c r="AB27" i="147"/>
  <c r="AB32" i="147"/>
  <c r="AB31" i="147"/>
  <c r="AB36" i="147"/>
  <c r="AB35" i="147"/>
  <c r="AI22" i="147"/>
  <c r="AC26" i="147" s="1"/>
  <c r="AO22" i="147"/>
  <c r="AC30" i="147" s="1"/>
  <c r="AU22" i="147"/>
  <c r="AC34" i="147" s="1"/>
  <c r="J23" i="147"/>
  <c r="P23" i="147"/>
  <c r="V23" i="147"/>
  <c r="AB23" i="147"/>
  <c r="AE28" i="147"/>
  <c r="AE27" i="147"/>
  <c r="AE32" i="147"/>
  <c r="AE31" i="147"/>
  <c r="AE36" i="147"/>
  <c r="AE35" i="147"/>
  <c r="AI24" i="147"/>
  <c r="AF26" i="147" s="1"/>
  <c r="AO24" i="147"/>
  <c r="AF30" i="147" s="1"/>
  <c r="AU24" i="147"/>
  <c r="AF34" i="147" s="1"/>
  <c r="J25" i="147"/>
  <c r="V25" i="147"/>
  <c r="AH28" i="147"/>
  <c r="AH27" i="147"/>
  <c r="AL26" i="147"/>
  <c r="AI28" i="147" s="1"/>
  <c r="AH32" i="147"/>
  <c r="AH31" i="147"/>
  <c r="AR26" i="147"/>
  <c r="AI32" i="147" s="1"/>
  <c r="AH36" i="147"/>
  <c r="AH35" i="147"/>
  <c r="AX26" i="147"/>
  <c r="AI36" i="147" s="1"/>
  <c r="AK34" i="147"/>
  <c r="AK33" i="147"/>
  <c r="AR28" i="147"/>
  <c r="AL32" i="147" s="1"/>
  <c r="AK29" i="147"/>
  <c r="AN34" i="147"/>
  <c r="AN33" i="147"/>
  <c r="AK30" i="147"/>
  <c r="AU32" i="147"/>
  <c r="AR34" i="147" s="1"/>
  <c r="AQ34" i="147"/>
  <c r="AQ33" i="147"/>
  <c r="AK32" i="147"/>
  <c r="AK36" i="147"/>
  <c r="AK35" i="147"/>
  <c r="AU28" i="147"/>
  <c r="AL34" i="147" s="1"/>
  <c r="AN32" i="147"/>
  <c r="AN31" i="147"/>
  <c r="AN36" i="147"/>
  <c r="AN35" i="147"/>
  <c r="AU30" i="147"/>
  <c r="AO34" i="147" s="1"/>
  <c r="AX32" i="147"/>
  <c r="AR36" i="147" s="1"/>
  <c r="AX34" i="147"/>
  <c r="AU36" i="147" s="1"/>
  <c r="AQ35" i="147"/>
  <c r="AT35" i="147"/>
  <c r="D14" i="146"/>
  <c r="D13" i="146"/>
  <c r="D18" i="146"/>
  <c r="D17" i="146"/>
  <c r="D22" i="146"/>
  <c r="D21" i="146"/>
  <c r="D25" i="146"/>
  <c r="D26" i="146"/>
  <c r="D30" i="146"/>
  <c r="D29" i="146"/>
  <c r="D34" i="146"/>
  <c r="D33" i="146"/>
  <c r="AZ5" i="146"/>
  <c r="K6" i="146"/>
  <c r="E10" i="146" s="1"/>
  <c r="Q6" i="146"/>
  <c r="E14" i="146" s="1"/>
  <c r="W6" i="146"/>
  <c r="E18" i="146" s="1"/>
  <c r="AC6" i="146"/>
  <c r="E22" i="146" s="1"/>
  <c r="AI6" i="146"/>
  <c r="E26" i="146" s="1"/>
  <c r="AO6" i="146"/>
  <c r="E30" i="146" s="1"/>
  <c r="AU6" i="146"/>
  <c r="E34" i="146" s="1"/>
  <c r="G14" i="146"/>
  <c r="G13" i="146"/>
  <c r="G18" i="146"/>
  <c r="G17" i="146"/>
  <c r="G22" i="146"/>
  <c r="G21" i="146"/>
  <c r="G26" i="146"/>
  <c r="G25" i="146"/>
  <c r="G30" i="146"/>
  <c r="G29" i="146"/>
  <c r="G34" i="146"/>
  <c r="G33" i="146"/>
  <c r="E8" i="146"/>
  <c r="G9" i="146"/>
  <c r="J14" i="146"/>
  <c r="J13" i="146"/>
  <c r="Q10" i="146"/>
  <c r="K14" i="146" s="1"/>
  <c r="J18" i="146"/>
  <c r="J17" i="146"/>
  <c r="W10" i="146"/>
  <c r="K18" i="146" s="1"/>
  <c r="J22" i="146"/>
  <c r="J21" i="146"/>
  <c r="AC10" i="146"/>
  <c r="K22" i="146" s="1"/>
  <c r="J26" i="146"/>
  <c r="J25" i="146"/>
  <c r="AI10" i="146"/>
  <c r="K26" i="146" s="1"/>
  <c r="J29" i="146"/>
  <c r="AO10" i="146"/>
  <c r="K30" i="146" s="1"/>
  <c r="J30" i="146"/>
  <c r="J33" i="146"/>
  <c r="AU10" i="146"/>
  <c r="K34" i="146" s="1"/>
  <c r="D12" i="146"/>
  <c r="D11" i="146"/>
  <c r="D16" i="146"/>
  <c r="D15" i="146"/>
  <c r="D20" i="146"/>
  <c r="D19" i="146"/>
  <c r="D24" i="146"/>
  <c r="D23" i="146"/>
  <c r="D28" i="146"/>
  <c r="D27" i="146"/>
  <c r="D32" i="146"/>
  <c r="D31" i="146"/>
  <c r="D36" i="146"/>
  <c r="D35" i="146"/>
  <c r="H6" i="146"/>
  <c r="N6" i="146"/>
  <c r="E12" i="146" s="1"/>
  <c r="T6" i="146"/>
  <c r="E16" i="146" s="1"/>
  <c r="Z6" i="146"/>
  <c r="E20" i="146" s="1"/>
  <c r="AF6" i="146"/>
  <c r="E24" i="146" s="1"/>
  <c r="AL6" i="146"/>
  <c r="E28" i="146" s="1"/>
  <c r="AR6" i="146"/>
  <c r="E32" i="146" s="1"/>
  <c r="AX6" i="146"/>
  <c r="E36" i="146" s="1"/>
  <c r="D7" i="146"/>
  <c r="AZ7" i="146" s="1"/>
  <c r="G12" i="146"/>
  <c r="G11" i="146"/>
  <c r="G16" i="146"/>
  <c r="G15" i="146"/>
  <c r="G20" i="146"/>
  <c r="G19" i="146"/>
  <c r="G24" i="146"/>
  <c r="G23" i="146"/>
  <c r="G28" i="146"/>
  <c r="G27" i="146"/>
  <c r="G32" i="146"/>
  <c r="G31" i="146"/>
  <c r="G36" i="146"/>
  <c r="G35" i="146"/>
  <c r="AC8" i="146"/>
  <c r="H22" i="146" s="1"/>
  <c r="AI8" i="146"/>
  <c r="H26" i="146" s="1"/>
  <c r="AO8" i="146"/>
  <c r="H30" i="146" s="1"/>
  <c r="AU8" i="146"/>
  <c r="H34" i="146" s="1"/>
  <c r="D9" i="146"/>
  <c r="J12" i="146"/>
  <c r="J11" i="146"/>
  <c r="N10" i="146"/>
  <c r="K12" i="146" s="1"/>
  <c r="J16" i="146"/>
  <c r="J15" i="146"/>
  <c r="T10" i="146"/>
  <c r="K16" i="146" s="1"/>
  <c r="J20" i="146"/>
  <c r="J19" i="146"/>
  <c r="Z10" i="146"/>
  <c r="K20" i="146" s="1"/>
  <c r="J24" i="146"/>
  <c r="J23" i="146"/>
  <c r="AF10" i="146"/>
  <c r="K24" i="146" s="1"/>
  <c r="J28" i="146"/>
  <c r="J27" i="146"/>
  <c r="AL10" i="146"/>
  <c r="K28" i="146" s="1"/>
  <c r="J32" i="146"/>
  <c r="J31" i="146"/>
  <c r="AR10" i="146"/>
  <c r="K32" i="146" s="1"/>
  <c r="J35" i="146"/>
  <c r="AX10" i="146"/>
  <c r="K36" i="146" s="1"/>
  <c r="M30" i="146"/>
  <c r="M29" i="146"/>
  <c r="M34" i="146"/>
  <c r="M33" i="146"/>
  <c r="T12" i="146"/>
  <c r="N16" i="146" s="1"/>
  <c r="Z12" i="146"/>
  <c r="N20" i="146" s="1"/>
  <c r="AF12" i="146"/>
  <c r="N24" i="146" s="1"/>
  <c r="M13" i="146"/>
  <c r="P34" i="146"/>
  <c r="P33" i="146"/>
  <c r="M14" i="146"/>
  <c r="T14" i="146"/>
  <c r="Q16" i="146" s="1"/>
  <c r="Z14" i="146"/>
  <c r="Q20" i="146" s="1"/>
  <c r="AF14" i="146"/>
  <c r="Q24" i="146" s="1"/>
  <c r="AL14" i="146"/>
  <c r="Q28" i="146" s="1"/>
  <c r="M15" i="146"/>
  <c r="S30" i="146"/>
  <c r="S29" i="146"/>
  <c r="S34" i="146"/>
  <c r="S33" i="146"/>
  <c r="Z16" i="146"/>
  <c r="T20" i="146" s="1"/>
  <c r="AF16" i="146"/>
  <c r="T24" i="146" s="1"/>
  <c r="M17" i="146"/>
  <c r="S17" i="146"/>
  <c r="V34" i="146"/>
  <c r="V33" i="146"/>
  <c r="M18" i="146"/>
  <c r="S18" i="146"/>
  <c r="Z18" i="146"/>
  <c r="W20" i="146" s="1"/>
  <c r="AF18" i="146"/>
  <c r="W24" i="146" s="1"/>
  <c r="AL18" i="146"/>
  <c r="W28" i="146" s="1"/>
  <c r="M19" i="146"/>
  <c r="S19" i="146"/>
  <c r="Y30" i="146"/>
  <c r="Y29" i="146"/>
  <c r="Y34" i="146"/>
  <c r="Y33" i="146"/>
  <c r="AF20" i="146"/>
  <c r="Z24" i="146" s="1"/>
  <c r="M21" i="146"/>
  <c r="S21" i="146"/>
  <c r="Y21" i="146"/>
  <c r="AB34" i="146"/>
  <c r="AB33" i="146"/>
  <c r="M22" i="146"/>
  <c r="S22" i="146"/>
  <c r="AF22" i="146"/>
  <c r="AL22" i="146"/>
  <c r="AC28" i="146" s="1"/>
  <c r="M23" i="146"/>
  <c r="S23" i="146"/>
  <c r="Y23" i="146"/>
  <c r="AE30" i="146"/>
  <c r="AE29" i="146"/>
  <c r="AE34" i="146"/>
  <c r="AE33" i="146"/>
  <c r="AC24" i="146"/>
  <c r="M25" i="146"/>
  <c r="S25" i="146"/>
  <c r="Y25" i="146"/>
  <c r="AE25" i="146"/>
  <c r="AH34" i="146"/>
  <c r="AH33" i="146"/>
  <c r="P26" i="146"/>
  <c r="AB26" i="146"/>
  <c r="AO26" i="146"/>
  <c r="AI30" i="146" s="1"/>
  <c r="P27" i="146"/>
  <c r="AB27" i="146"/>
  <c r="P29" i="146"/>
  <c r="AB29" i="146"/>
  <c r="AN32" i="146"/>
  <c r="AN31" i="146"/>
  <c r="AR30" i="146"/>
  <c r="AO32" i="146" s="1"/>
  <c r="AN36" i="146"/>
  <c r="AN35" i="146"/>
  <c r="AX30" i="146"/>
  <c r="AO36" i="146" s="1"/>
  <c r="V30" i="146"/>
  <c r="M28" i="146"/>
  <c r="M27" i="146"/>
  <c r="M32" i="146"/>
  <c r="M31" i="146"/>
  <c r="M36" i="146"/>
  <c r="M35" i="146"/>
  <c r="AI12" i="146"/>
  <c r="N26" i="146" s="1"/>
  <c r="AO12" i="146"/>
  <c r="N30" i="146" s="1"/>
  <c r="AU12" i="146"/>
  <c r="N34" i="146" s="1"/>
  <c r="P32" i="146"/>
  <c r="P31" i="146"/>
  <c r="P36" i="146"/>
  <c r="P35" i="146"/>
  <c r="W14" i="146"/>
  <c r="Q18" i="146" s="1"/>
  <c r="AC14" i="146"/>
  <c r="Q22" i="146" s="1"/>
  <c r="AI14" i="146"/>
  <c r="Q26" i="146" s="1"/>
  <c r="AO14" i="146"/>
  <c r="Q30" i="146" s="1"/>
  <c r="AU14" i="146"/>
  <c r="Q34" i="146" s="1"/>
  <c r="P15" i="146"/>
  <c r="S28" i="146"/>
  <c r="S27" i="146"/>
  <c r="S32" i="146"/>
  <c r="S31" i="146"/>
  <c r="S36" i="146"/>
  <c r="S35" i="146"/>
  <c r="AI16" i="146"/>
  <c r="T26" i="146" s="1"/>
  <c r="AO16" i="146"/>
  <c r="T30" i="146" s="1"/>
  <c r="AU16" i="146"/>
  <c r="T34" i="146" s="1"/>
  <c r="P17" i="146"/>
  <c r="V32" i="146"/>
  <c r="V31" i="146"/>
  <c r="V36" i="146"/>
  <c r="V35" i="146"/>
  <c r="AC18" i="146"/>
  <c r="W22" i="146" s="1"/>
  <c r="AI18" i="146"/>
  <c r="W26" i="146" s="1"/>
  <c r="AO18" i="146"/>
  <c r="W30" i="146" s="1"/>
  <c r="AU18" i="146"/>
  <c r="W34" i="146" s="1"/>
  <c r="P19" i="146"/>
  <c r="V19" i="146"/>
  <c r="Y28" i="146"/>
  <c r="Y27" i="146"/>
  <c r="Y32" i="146"/>
  <c r="Y31" i="146"/>
  <c r="Y36" i="146"/>
  <c r="Y35" i="146"/>
  <c r="AO20" i="146"/>
  <c r="Z30" i="146" s="1"/>
  <c r="AU20" i="146"/>
  <c r="Z34" i="146" s="1"/>
  <c r="P21" i="146"/>
  <c r="V21" i="146"/>
  <c r="AB32" i="146"/>
  <c r="AB31" i="146"/>
  <c r="AB36" i="146"/>
  <c r="AB35" i="146"/>
  <c r="AO22" i="146"/>
  <c r="AC30" i="146" s="1"/>
  <c r="AU22" i="146"/>
  <c r="AC34" i="146" s="1"/>
  <c r="P23" i="146"/>
  <c r="V23" i="146"/>
  <c r="AB23" i="146"/>
  <c r="AE28" i="146"/>
  <c r="AE27" i="146"/>
  <c r="AE32" i="146"/>
  <c r="AE31" i="146"/>
  <c r="AE36" i="146"/>
  <c r="AE35" i="146"/>
  <c r="AO24" i="146"/>
  <c r="AF30" i="146" s="1"/>
  <c r="AU24" i="146"/>
  <c r="AF34" i="146" s="1"/>
  <c r="V25" i="146"/>
  <c r="AH32" i="146"/>
  <c r="AH31" i="146"/>
  <c r="AR26" i="146"/>
  <c r="AI32" i="146" s="1"/>
  <c r="AH36" i="146"/>
  <c r="AH35" i="146"/>
  <c r="AX26" i="146"/>
  <c r="AI36" i="146" s="1"/>
  <c r="V27" i="146"/>
  <c r="AH27" i="146"/>
  <c r="AK32" i="146"/>
  <c r="AK31" i="146"/>
  <c r="AR28" i="146"/>
  <c r="AL32" i="146" s="1"/>
  <c r="AK36" i="146"/>
  <c r="AK35" i="146"/>
  <c r="AX28" i="146"/>
  <c r="AL36" i="146" s="1"/>
  <c r="AH28" i="146"/>
  <c r="AH29" i="146"/>
  <c r="AK34" i="146"/>
  <c r="AK33" i="146"/>
  <c r="AK29" i="146"/>
  <c r="AN34" i="146"/>
  <c r="AN33" i="146"/>
  <c r="AU32" i="146"/>
  <c r="AR34" i="146" s="1"/>
  <c r="AQ34" i="146"/>
  <c r="AQ33" i="146"/>
  <c r="AX32" i="146"/>
  <c r="AR36" i="146" s="1"/>
  <c r="AX34" i="146"/>
  <c r="AU36" i="146" s="1"/>
  <c r="AQ35" i="146"/>
  <c r="AT35" i="146"/>
  <c r="D8" i="140"/>
  <c r="D7" i="140"/>
  <c r="D12" i="140"/>
  <c r="D11" i="140"/>
  <c r="D16" i="140"/>
  <c r="D15" i="140"/>
  <c r="D20" i="140"/>
  <c r="D19" i="140"/>
  <c r="D24" i="140"/>
  <c r="D23" i="140"/>
  <c r="D28" i="140"/>
  <c r="D27" i="140"/>
  <c r="D32" i="140"/>
  <c r="D31" i="140"/>
  <c r="D36" i="140"/>
  <c r="D35" i="140"/>
  <c r="H6" i="140"/>
  <c r="N6" i="140"/>
  <c r="E12" i="140" s="1"/>
  <c r="T6" i="140"/>
  <c r="E16" i="140" s="1"/>
  <c r="Z6" i="140"/>
  <c r="E20" i="140" s="1"/>
  <c r="AF6" i="140"/>
  <c r="E24" i="140" s="1"/>
  <c r="AL6" i="140"/>
  <c r="E28" i="140" s="1"/>
  <c r="AR6" i="140"/>
  <c r="E32" i="140" s="1"/>
  <c r="AX6" i="140"/>
  <c r="E36" i="140" s="1"/>
  <c r="K8" i="140"/>
  <c r="H10" i="140" s="1"/>
  <c r="G10" i="140"/>
  <c r="Q8" i="140"/>
  <c r="H14" i="140" s="1"/>
  <c r="G14" i="140"/>
  <c r="G13" i="140"/>
  <c r="W8" i="140"/>
  <c r="H18" i="140" s="1"/>
  <c r="G18" i="140"/>
  <c r="G17" i="140"/>
  <c r="AC8" i="140"/>
  <c r="H22" i="140" s="1"/>
  <c r="G22" i="140"/>
  <c r="G21" i="140"/>
  <c r="G26" i="140"/>
  <c r="AI8" i="140"/>
  <c r="H26" i="140" s="1"/>
  <c r="G25" i="140"/>
  <c r="G30" i="140"/>
  <c r="G29" i="140"/>
  <c r="AO8" i="140"/>
  <c r="H30" i="140" s="1"/>
  <c r="G34" i="140"/>
  <c r="G33" i="140"/>
  <c r="AU8" i="140"/>
  <c r="H34" i="140" s="1"/>
  <c r="AZ7" i="140"/>
  <c r="E8" i="140"/>
  <c r="D10" i="140"/>
  <c r="D9" i="140"/>
  <c r="D14" i="140"/>
  <c r="D13" i="140"/>
  <c r="D18" i="140"/>
  <c r="D17" i="140"/>
  <c r="D22" i="140"/>
  <c r="D21" i="140"/>
  <c r="D26" i="140"/>
  <c r="D25" i="140"/>
  <c r="D30" i="140"/>
  <c r="D29" i="140"/>
  <c r="D34" i="140"/>
  <c r="D33" i="140"/>
  <c r="AZ5" i="140"/>
  <c r="K6" i="140"/>
  <c r="E10" i="140" s="1"/>
  <c r="Q6" i="140"/>
  <c r="E14" i="140" s="1"/>
  <c r="W6" i="140"/>
  <c r="E18" i="140" s="1"/>
  <c r="AC6" i="140"/>
  <c r="E22" i="140" s="1"/>
  <c r="AI6" i="140"/>
  <c r="E26" i="140" s="1"/>
  <c r="AO6" i="140"/>
  <c r="E30" i="140" s="1"/>
  <c r="AU6" i="140"/>
  <c r="E34" i="140" s="1"/>
  <c r="G9" i="140"/>
  <c r="AZ9" i="140" s="1"/>
  <c r="J14" i="140"/>
  <c r="J13" i="140"/>
  <c r="Q10" i="140"/>
  <c r="K14" i="140" s="1"/>
  <c r="J18" i="140"/>
  <c r="J17" i="140"/>
  <c r="W10" i="140"/>
  <c r="K18" i="140" s="1"/>
  <c r="J22" i="140"/>
  <c r="J21" i="140"/>
  <c r="AC10" i="140"/>
  <c r="K22" i="140" s="1"/>
  <c r="J26" i="140"/>
  <c r="J25" i="140"/>
  <c r="AI10" i="140"/>
  <c r="K26" i="140" s="1"/>
  <c r="J30" i="140"/>
  <c r="J29" i="140"/>
  <c r="AO10" i="140"/>
  <c r="K30" i="140" s="1"/>
  <c r="J33" i="140"/>
  <c r="AU10" i="140"/>
  <c r="K34" i="140" s="1"/>
  <c r="G11" i="140"/>
  <c r="M30" i="140"/>
  <c r="M29" i="140"/>
  <c r="M34" i="140"/>
  <c r="M33" i="140"/>
  <c r="M13" i="140"/>
  <c r="P30" i="140"/>
  <c r="P29" i="140"/>
  <c r="P34" i="140"/>
  <c r="P33" i="140"/>
  <c r="M14" i="140"/>
  <c r="G15" i="140"/>
  <c r="M15" i="140"/>
  <c r="S30" i="140"/>
  <c r="S29" i="140"/>
  <c r="S34" i="140"/>
  <c r="S33" i="140"/>
  <c r="M17" i="140"/>
  <c r="S17" i="140"/>
  <c r="V30" i="140"/>
  <c r="V29" i="140"/>
  <c r="V34" i="140"/>
  <c r="V33" i="140"/>
  <c r="M18" i="140"/>
  <c r="S18" i="140"/>
  <c r="Z18" i="140"/>
  <c r="W20" i="140" s="1"/>
  <c r="AF18" i="140"/>
  <c r="W24" i="140" s="1"/>
  <c r="G19" i="140"/>
  <c r="M19" i="140"/>
  <c r="S19" i="140"/>
  <c r="Y30" i="140"/>
  <c r="Y29" i="140"/>
  <c r="Y34" i="140"/>
  <c r="Y33" i="140"/>
  <c r="AF20" i="140"/>
  <c r="Z24" i="140" s="1"/>
  <c r="M21" i="140"/>
  <c r="S21" i="140"/>
  <c r="Y21" i="140"/>
  <c r="AB30" i="140"/>
  <c r="AB29" i="140"/>
  <c r="AB34" i="140"/>
  <c r="AB33" i="140"/>
  <c r="M22" i="140"/>
  <c r="S22" i="140"/>
  <c r="Y22" i="140"/>
  <c r="AF22" i="140"/>
  <c r="G23" i="140"/>
  <c r="M23" i="140"/>
  <c r="S23" i="140"/>
  <c r="Y23" i="140"/>
  <c r="AE30" i="140"/>
  <c r="AE29" i="140"/>
  <c r="AE34" i="140"/>
  <c r="AE33" i="140"/>
  <c r="AC24" i="140"/>
  <c r="M25" i="140"/>
  <c r="S25" i="140"/>
  <c r="Y25" i="140"/>
  <c r="AE25" i="140"/>
  <c r="AH30" i="140"/>
  <c r="AH29" i="140"/>
  <c r="AO26" i="140"/>
  <c r="AI30" i="140" s="1"/>
  <c r="AH34" i="140"/>
  <c r="AH33" i="140"/>
  <c r="AU26" i="140"/>
  <c r="AI34" i="140" s="1"/>
  <c r="P26" i="140"/>
  <c r="AB26" i="140"/>
  <c r="G28" i="140"/>
  <c r="G27" i="140"/>
  <c r="G32" i="140"/>
  <c r="G31" i="140"/>
  <c r="G36" i="140"/>
  <c r="G35" i="140"/>
  <c r="J28" i="140"/>
  <c r="J27" i="140"/>
  <c r="J32" i="140"/>
  <c r="J31" i="140"/>
  <c r="J11" i="140"/>
  <c r="M28" i="140"/>
  <c r="M27" i="140"/>
  <c r="M32" i="140"/>
  <c r="M31" i="140"/>
  <c r="M36" i="140"/>
  <c r="M35" i="140"/>
  <c r="AI12" i="140"/>
  <c r="N26" i="140" s="1"/>
  <c r="AO12" i="140"/>
  <c r="N30" i="140" s="1"/>
  <c r="AU12" i="140"/>
  <c r="N34" i="140" s="1"/>
  <c r="P28" i="140"/>
  <c r="P27" i="140"/>
  <c r="P32" i="140"/>
  <c r="P31" i="140"/>
  <c r="P36" i="140"/>
  <c r="P35" i="140"/>
  <c r="W14" i="140"/>
  <c r="Q18" i="140" s="1"/>
  <c r="AC14" i="140"/>
  <c r="Q22" i="140" s="1"/>
  <c r="AI14" i="140"/>
  <c r="Q26" i="140" s="1"/>
  <c r="AO14" i="140"/>
  <c r="Q30" i="140" s="1"/>
  <c r="AU14" i="140"/>
  <c r="Q34" i="140" s="1"/>
  <c r="J15" i="140"/>
  <c r="P15" i="140"/>
  <c r="S28" i="140"/>
  <c r="S27" i="140"/>
  <c r="S32" i="140"/>
  <c r="S31" i="140"/>
  <c r="S36" i="140"/>
  <c r="S35" i="140"/>
  <c r="AI16" i="140"/>
  <c r="T26" i="140" s="1"/>
  <c r="AO16" i="140"/>
  <c r="T30" i="140" s="1"/>
  <c r="AU16" i="140"/>
  <c r="T34" i="140" s="1"/>
  <c r="P17" i="140"/>
  <c r="V28" i="140"/>
  <c r="V27" i="140"/>
  <c r="V32" i="140"/>
  <c r="V31" i="140"/>
  <c r="V36" i="140"/>
  <c r="V35" i="140"/>
  <c r="AC18" i="140"/>
  <c r="W22" i="140" s="1"/>
  <c r="AI18" i="140"/>
  <c r="W26" i="140" s="1"/>
  <c r="AO18" i="140"/>
  <c r="W30" i="140" s="1"/>
  <c r="AU18" i="140"/>
  <c r="W34" i="140" s="1"/>
  <c r="J19" i="140"/>
  <c r="P19" i="140"/>
  <c r="V19" i="140"/>
  <c r="Y28" i="140"/>
  <c r="Y27" i="140"/>
  <c r="Y32" i="140"/>
  <c r="Y31" i="140"/>
  <c r="Y36" i="140"/>
  <c r="Y35" i="140"/>
  <c r="AI20" i="140"/>
  <c r="Z26" i="140" s="1"/>
  <c r="AO20" i="140"/>
  <c r="Z30" i="140" s="1"/>
  <c r="AU20" i="140"/>
  <c r="Z34" i="140" s="1"/>
  <c r="P21" i="140"/>
  <c r="V21" i="140"/>
  <c r="AB28" i="140"/>
  <c r="AB27" i="140"/>
  <c r="AB32" i="140"/>
  <c r="AB31" i="140"/>
  <c r="AB36" i="140"/>
  <c r="AB35" i="140"/>
  <c r="AI22" i="140"/>
  <c r="AC26" i="140" s="1"/>
  <c r="AO22" i="140"/>
  <c r="AC30" i="140" s="1"/>
  <c r="AU22" i="140"/>
  <c r="AC34" i="140" s="1"/>
  <c r="J23" i="140"/>
  <c r="P23" i="140"/>
  <c r="V23" i="140"/>
  <c r="AB23" i="140"/>
  <c r="AE28" i="140"/>
  <c r="AE27" i="140"/>
  <c r="AE32" i="140"/>
  <c r="AE31" i="140"/>
  <c r="AE36" i="140"/>
  <c r="AE35" i="140"/>
  <c r="AI24" i="140"/>
  <c r="AF26" i="140" s="1"/>
  <c r="AO24" i="140"/>
  <c r="AF30" i="140" s="1"/>
  <c r="AU24" i="140"/>
  <c r="AF34" i="140" s="1"/>
  <c r="V25" i="140"/>
  <c r="AH28" i="140"/>
  <c r="AH27" i="140"/>
  <c r="AL26" i="140"/>
  <c r="AI28" i="140" s="1"/>
  <c r="AH32" i="140"/>
  <c r="AH31" i="140"/>
  <c r="AR26" i="140"/>
  <c r="AI32" i="140" s="1"/>
  <c r="AH36" i="140"/>
  <c r="AH35" i="140"/>
  <c r="AX26" i="140"/>
  <c r="AI36" i="140" s="1"/>
  <c r="AK34" i="140"/>
  <c r="AK33" i="140"/>
  <c r="AR28" i="140"/>
  <c r="AL32" i="140" s="1"/>
  <c r="AK29" i="140"/>
  <c r="AN34" i="140"/>
  <c r="AN33" i="140"/>
  <c r="AK30" i="140"/>
  <c r="AU32" i="140"/>
  <c r="AR34" i="140" s="1"/>
  <c r="AQ34" i="140"/>
  <c r="AQ33" i="140"/>
  <c r="AK32" i="140"/>
  <c r="AK36" i="140"/>
  <c r="AK35" i="140"/>
  <c r="AU28" i="140"/>
  <c r="AL34" i="140" s="1"/>
  <c r="AN32" i="140"/>
  <c r="AN31" i="140"/>
  <c r="AN36" i="140"/>
  <c r="AN35" i="140"/>
  <c r="AU30" i="140"/>
  <c r="AO34" i="140" s="1"/>
  <c r="AX32" i="140"/>
  <c r="AR36" i="140" s="1"/>
  <c r="AX34" i="140"/>
  <c r="AU36" i="140" s="1"/>
  <c r="AQ35" i="140"/>
  <c r="AT35" i="140"/>
  <c r="F109" i="115"/>
  <c r="D109" i="115"/>
  <c r="C13" i="151" l="1"/>
  <c r="Q12" i="151"/>
  <c r="R20" i="152"/>
  <c r="C20" i="151"/>
  <c r="C20" i="152"/>
  <c r="Q13" i="152"/>
  <c r="R12" i="153"/>
  <c r="C29" i="151"/>
  <c r="B21" i="152"/>
  <c r="B20" i="153"/>
  <c r="R13" i="153"/>
  <c r="Q20" i="151"/>
  <c r="B29" i="152"/>
  <c r="R4" i="152"/>
  <c r="B21" i="153"/>
  <c r="Q21" i="151"/>
  <c r="C12" i="151"/>
  <c r="Q21" i="152"/>
  <c r="C28" i="153"/>
  <c r="Q13" i="151"/>
  <c r="R5" i="151"/>
  <c r="C28" i="152"/>
  <c r="Q21" i="153"/>
  <c r="C13" i="153"/>
  <c r="C12" i="153"/>
  <c r="Q20" i="153"/>
  <c r="Q29" i="153"/>
  <c r="R29" i="153"/>
  <c r="Q28" i="152"/>
  <c r="R28" i="152"/>
  <c r="Q12" i="152"/>
  <c r="R12" i="152"/>
  <c r="Q28" i="151"/>
  <c r="R28" i="151"/>
  <c r="C5" i="153"/>
  <c r="B5" i="153"/>
  <c r="C5" i="152"/>
  <c r="B5" i="152"/>
  <c r="R28" i="153"/>
  <c r="Q28" i="153"/>
  <c r="Q5" i="152"/>
  <c r="R5" i="152"/>
  <c r="C28" i="151"/>
  <c r="B28" i="151"/>
  <c r="C4" i="151"/>
  <c r="B4" i="151"/>
  <c r="Q4" i="153"/>
  <c r="R4" i="153"/>
  <c r="C12" i="152"/>
  <c r="B12" i="152"/>
  <c r="B4" i="153"/>
  <c r="C4" i="153"/>
  <c r="B4" i="152"/>
  <c r="C4" i="152"/>
  <c r="Q29" i="152"/>
  <c r="R29" i="152"/>
  <c r="Q29" i="151"/>
  <c r="R29" i="151"/>
  <c r="C21" i="151"/>
  <c r="B21" i="151"/>
  <c r="R4" i="151"/>
  <c r="Q4" i="151"/>
  <c r="C5" i="151"/>
  <c r="B5" i="151"/>
  <c r="AZ19" i="147"/>
  <c r="AZ15" i="147"/>
  <c r="AZ33" i="147"/>
  <c r="AZ21" i="147"/>
  <c r="AZ13" i="147"/>
  <c r="AZ35" i="147"/>
  <c r="AZ31" i="147"/>
  <c r="AZ27" i="147"/>
  <c r="AZ23" i="147"/>
  <c r="AZ11" i="147"/>
  <c r="AZ29" i="147"/>
  <c r="AZ25" i="147"/>
  <c r="AZ17" i="147"/>
  <c r="BC17" i="147" s="1"/>
  <c r="AZ9" i="147"/>
  <c r="AZ11" i="146"/>
  <c r="AZ33" i="146"/>
  <c r="AZ29" i="146"/>
  <c r="AZ25" i="146"/>
  <c r="AZ21" i="146"/>
  <c r="AZ17" i="146"/>
  <c r="AZ13" i="146"/>
  <c r="AZ35" i="146"/>
  <c r="AZ31" i="146"/>
  <c r="AZ27" i="146"/>
  <c r="AZ23" i="146"/>
  <c r="AZ19" i="146"/>
  <c r="AZ15" i="146"/>
  <c r="AZ9" i="146"/>
  <c r="AZ19" i="140"/>
  <c r="AZ15" i="140"/>
  <c r="AZ29" i="140"/>
  <c r="AZ25" i="140"/>
  <c r="AZ17" i="140"/>
  <c r="AZ35" i="140"/>
  <c r="AZ31" i="140"/>
  <c r="AZ27" i="140"/>
  <c r="AZ23" i="140"/>
  <c r="AZ11" i="140"/>
  <c r="AZ33" i="140"/>
  <c r="AZ21" i="140"/>
  <c r="AZ13" i="140"/>
  <c r="BC13" i="140" s="1"/>
  <c r="D89" i="115"/>
  <c r="F89" i="115"/>
  <c r="F73" i="115"/>
  <c r="D73" i="115"/>
  <c r="BC9" i="147" l="1"/>
  <c r="BC25" i="147"/>
  <c r="BC11" i="147"/>
  <c r="BC29" i="147"/>
  <c r="BC23" i="147"/>
  <c r="BC31" i="147"/>
  <c r="BC27" i="147"/>
  <c r="BC33" i="147"/>
  <c r="BC19" i="147"/>
  <c r="BC21" i="147"/>
  <c r="BC15" i="147"/>
  <c r="BC35" i="146"/>
  <c r="BC27" i="146"/>
  <c r="BC19" i="146"/>
  <c r="BC11" i="146"/>
  <c r="BC5" i="146"/>
  <c r="BC29" i="146"/>
  <c r="BC21" i="146"/>
  <c r="BC13" i="146"/>
  <c r="BC31" i="146"/>
  <c r="BC23" i="146"/>
  <c r="BC15" i="146"/>
  <c r="BC7" i="146"/>
  <c r="BC33" i="146"/>
  <c r="BC25" i="146"/>
  <c r="BC17" i="146"/>
  <c r="BC9" i="146"/>
  <c r="BC35" i="147"/>
  <c r="BC7" i="147"/>
  <c r="BC5" i="147"/>
  <c r="BC13" i="147"/>
  <c r="BC21" i="140"/>
  <c r="BC7" i="140"/>
  <c r="BC27" i="140"/>
  <c r="BC35" i="140"/>
  <c r="BC33" i="140"/>
  <c r="BC23" i="140"/>
  <c r="BC31" i="140"/>
  <c r="BC17" i="140"/>
  <c r="BC29" i="140"/>
  <c r="BC25" i="140"/>
  <c r="BC19" i="140"/>
  <c r="BC15" i="140"/>
  <c r="BC11" i="140"/>
  <c r="BC9" i="140"/>
  <c r="BC5" i="140"/>
  <c r="P97" i="115"/>
  <c r="O97" i="115"/>
  <c r="I68" i="115" l="1"/>
  <c r="BS6" i="86" l="1"/>
  <c r="BP6" i="86"/>
  <c r="BM6" i="86"/>
  <c r="BJ6" i="86"/>
  <c r="BG6" i="86"/>
  <c r="CT5" i="86"/>
  <c r="CQ5" i="86"/>
  <c r="CN5" i="86"/>
  <c r="CK5" i="86"/>
  <c r="CH5" i="86"/>
  <c r="CE5" i="86"/>
  <c r="CB5" i="86"/>
  <c r="BY5" i="86"/>
  <c r="BV5" i="86"/>
  <c r="BS5" i="86"/>
  <c r="BP5" i="86"/>
  <c r="BM5" i="86"/>
  <c r="BJ5" i="86"/>
  <c r="BG5" i="86"/>
  <c r="BD5" i="86"/>
  <c r="E38" i="86"/>
  <c r="AL38" i="86"/>
  <c r="C5" i="86" l="1"/>
  <c r="D110" i="115"/>
  <c r="F110" i="115"/>
  <c r="D103" i="115"/>
  <c r="F103" i="115"/>
  <c r="D102" i="115"/>
  <c r="F102" i="115"/>
  <c r="D96" i="115"/>
  <c r="F96" i="115"/>
  <c r="D95" i="115"/>
  <c r="F95" i="115"/>
  <c r="D94" i="115"/>
  <c r="F94" i="115"/>
  <c r="D88" i="115"/>
  <c r="F88" i="115"/>
  <c r="D87" i="115"/>
  <c r="F87" i="115"/>
  <c r="D86" i="115"/>
  <c r="F86" i="115"/>
  <c r="D82" i="115"/>
  <c r="F82" i="115"/>
  <c r="D81" i="115"/>
  <c r="F81" i="115"/>
  <c r="D80" i="115"/>
  <c r="F80" i="115"/>
  <c r="D79" i="115"/>
  <c r="F79" i="115"/>
  <c r="D78" i="115"/>
  <c r="F78" i="115"/>
  <c r="F77" i="115"/>
  <c r="D77" i="115"/>
  <c r="D75" i="115"/>
  <c r="F75" i="115"/>
  <c r="D74" i="115"/>
  <c r="F74" i="115"/>
  <c r="D72" i="115"/>
  <c r="F72" i="115"/>
  <c r="D71" i="115"/>
  <c r="F71" i="115"/>
  <c r="D70" i="115"/>
  <c r="F70" i="115"/>
  <c r="D68" i="115"/>
  <c r="F68" i="115"/>
  <c r="D67" i="115"/>
  <c r="F67" i="115"/>
  <c r="D66" i="115"/>
  <c r="F66" i="115"/>
  <c r="D65" i="115"/>
  <c r="F65" i="115"/>
  <c r="D64" i="115"/>
  <c r="F64" i="115"/>
  <c r="D63" i="115"/>
  <c r="F63" i="115"/>
  <c r="D62" i="115"/>
  <c r="F62" i="115"/>
  <c r="F61" i="115"/>
  <c r="D61" i="115"/>
  <c r="D59" i="115"/>
  <c r="F59" i="115"/>
  <c r="D58" i="115"/>
  <c r="F58" i="115"/>
  <c r="D57" i="115"/>
  <c r="F57" i="115"/>
  <c r="D56" i="115"/>
  <c r="F56" i="115"/>
  <c r="F55" i="115"/>
  <c r="D55" i="115"/>
  <c r="D54" i="115"/>
  <c r="F54" i="115"/>
  <c r="D50" i="115"/>
  <c r="F50" i="115"/>
  <c r="D49" i="115"/>
  <c r="F49" i="115"/>
  <c r="D48" i="115"/>
  <c r="F48" i="115"/>
  <c r="D47" i="115"/>
  <c r="F47" i="115"/>
  <c r="D46" i="115"/>
  <c r="F46" i="115"/>
  <c r="F45" i="115"/>
  <c r="D45" i="115"/>
  <c r="D41" i="115"/>
  <c r="F41" i="115"/>
  <c r="F40" i="115"/>
  <c r="D40" i="115"/>
  <c r="F39" i="115"/>
  <c r="D39" i="115"/>
  <c r="F38" i="115"/>
  <c r="D38" i="115"/>
  <c r="F32" i="115"/>
  <c r="D32" i="115"/>
  <c r="F31" i="115"/>
  <c r="D31" i="115"/>
  <c r="F30" i="115"/>
  <c r="D30" i="115"/>
  <c r="F29" i="115"/>
  <c r="D29" i="115"/>
  <c r="F23" i="115"/>
  <c r="D23" i="115"/>
  <c r="F22" i="115"/>
  <c r="D22" i="115"/>
  <c r="F14" i="115"/>
  <c r="D14" i="115"/>
  <c r="F13" i="115"/>
  <c r="D13" i="115"/>
  <c r="P7" i="115" l="1"/>
  <c r="P8" i="115"/>
  <c r="P9" i="115"/>
  <c r="P10" i="115"/>
  <c r="P11" i="115"/>
  <c r="P12" i="115"/>
  <c r="P13" i="115"/>
  <c r="AV6" i="86" s="1"/>
  <c r="P14" i="115"/>
  <c r="AY32" i="86" s="1"/>
  <c r="P15" i="115"/>
  <c r="P16" i="115"/>
  <c r="P17" i="115"/>
  <c r="P18" i="115"/>
  <c r="P19" i="115"/>
  <c r="P20" i="115"/>
  <c r="P21" i="115"/>
  <c r="P22" i="115"/>
  <c r="P23" i="115"/>
  <c r="AY28" i="86" s="1"/>
  <c r="P24" i="115"/>
  <c r="P25" i="115"/>
  <c r="P26" i="115"/>
  <c r="P27" i="115"/>
  <c r="P28" i="115"/>
  <c r="P29" i="115"/>
  <c r="P30" i="115"/>
  <c r="AS28" i="86" s="1"/>
  <c r="P31" i="115"/>
  <c r="AV26" i="86" s="1"/>
  <c r="P32" i="115"/>
  <c r="AY24" i="86" s="1"/>
  <c r="P33" i="115"/>
  <c r="P34" i="115"/>
  <c r="P35" i="115"/>
  <c r="P36" i="115"/>
  <c r="P37" i="115"/>
  <c r="P38" i="115"/>
  <c r="P39" i="115"/>
  <c r="P40" i="115"/>
  <c r="AV22" i="86" s="1"/>
  <c r="P41" i="115"/>
  <c r="P42" i="115"/>
  <c r="P43" i="115"/>
  <c r="P44" i="115"/>
  <c r="P45" i="115"/>
  <c r="P46" i="115"/>
  <c r="AM24" i="86" s="1"/>
  <c r="P47" i="115"/>
  <c r="AP22" i="86" s="1"/>
  <c r="P48" i="115"/>
  <c r="AS20" i="86" s="1"/>
  <c r="P49" i="115"/>
  <c r="AV18" i="86" s="1"/>
  <c r="P50" i="115"/>
  <c r="P51" i="115"/>
  <c r="P52" i="115"/>
  <c r="P53" i="115"/>
  <c r="P54" i="115"/>
  <c r="AJ22" i="86" s="1"/>
  <c r="P55" i="115"/>
  <c r="AM20" i="86" s="1"/>
  <c r="P56" i="115"/>
  <c r="AP18" i="86" s="1"/>
  <c r="P57" i="115"/>
  <c r="AS16" i="86" s="1"/>
  <c r="P58" i="115"/>
  <c r="AV14" i="86" s="1"/>
  <c r="P59" i="115"/>
  <c r="P60" i="115"/>
  <c r="P61" i="115"/>
  <c r="P62" i="115"/>
  <c r="AG20" i="86" s="1"/>
  <c r="P63" i="115"/>
  <c r="AJ18" i="86" s="1"/>
  <c r="P64" i="115"/>
  <c r="AM16" i="86" s="1"/>
  <c r="P65" i="115"/>
  <c r="AP14" i="86" s="1"/>
  <c r="P66" i="115"/>
  <c r="AS12" i="86" s="1"/>
  <c r="P67" i="115"/>
  <c r="AV10" i="86" s="1"/>
  <c r="P68" i="115"/>
  <c r="P69" i="115"/>
  <c r="P70" i="115"/>
  <c r="AD18" i="86" s="1"/>
  <c r="P71" i="115"/>
  <c r="AG16" i="86" s="1"/>
  <c r="P72" i="115"/>
  <c r="AJ14" i="86" s="1"/>
  <c r="P73" i="115"/>
  <c r="AM12" i="86" s="1"/>
  <c r="P74" i="115"/>
  <c r="AP10" i="86" s="1"/>
  <c r="P75" i="115"/>
  <c r="AS8" i="86" s="1"/>
  <c r="P76" i="115"/>
  <c r="P77" i="115"/>
  <c r="P78" i="115"/>
  <c r="AA16" i="86" s="1"/>
  <c r="P79" i="115"/>
  <c r="AD14" i="86" s="1"/>
  <c r="P80" i="115"/>
  <c r="AG12" i="86" s="1"/>
  <c r="P81" i="115"/>
  <c r="AJ10" i="86" s="1"/>
  <c r="P82" i="115"/>
  <c r="AM8" i="86" s="1"/>
  <c r="P83" i="115"/>
  <c r="P84" i="115"/>
  <c r="P85" i="115"/>
  <c r="P86" i="115"/>
  <c r="X14" i="86" s="1"/>
  <c r="P87" i="115"/>
  <c r="AA12" i="86" s="1"/>
  <c r="P88" i="115"/>
  <c r="AD10" i="86" s="1"/>
  <c r="P89" i="115"/>
  <c r="AG8" i="86" s="1"/>
  <c r="P90" i="115"/>
  <c r="P91" i="115"/>
  <c r="P92" i="115"/>
  <c r="P93" i="115"/>
  <c r="P94" i="115"/>
  <c r="P95" i="115"/>
  <c r="X10" i="86" s="1"/>
  <c r="P96" i="115"/>
  <c r="AA8" i="86" s="1"/>
  <c r="P98" i="115"/>
  <c r="P99" i="115"/>
  <c r="P100" i="115"/>
  <c r="P101" i="115"/>
  <c r="P102" i="115"/>
  <c r="R10" i="86" s="1"/>
  <c r="P103" i="115"/>
  <c r="U8" i="86" s="1"/>
  <c r="P104" i="115"/>
  <c r="P105" i="115"/>
  <c r="P106" i="115"/>
  <c r="P107" i="115"/>
  <c r="P108" i="115"/>
  <c r="P109" i="115"/>
  <c r="P110" i="115"/>
  <c r="P111" i="115"/>
  <c r="P112" i="115"/>
  <c r="P113" i="115"/>
  <c r="P114" i="115"/>
  <c r="P115" i="115"/>
  <c r="P116" i="115"/>
  <c r="P117" i="115"/>
  <c r="P118" i="115"/>
  <c r="P119" i="115"/>
  <c r="P120" i="115"/>
  <c r="P121" i="115"/>
  <c r="P122" i="115"/>
  <c r="P123" i="115"/>
  <c r="P124" i="115"/>
  <c r="O7" i="115"/>
  <c r="O8" i="115"/>
  <c r="O9" i="115"/>
  <c r="O10" i="115"/>
  <c r="O11" i="115"/>
  <c r="AE12" i="86" s="1"/>
  <c r="O12" i="115"/>
  <c r="O13" i="115"/>
  <c r="O14" i="115"/>
  <c r="O15" i="115"/>
  <c r="AE16" i="86" s="1"/>
  <c r="O16" i="115"/>
  <c r="O17" i="115"/>
  <c r="O18" i="115"/>
  <c r="O19" i="115"/>
  <c r="AE20" i="86" s="1"/>
  <c r="O20" i="115"/>
  <c r="O21" i="115"/>
  <c r="O22" i="115"/>
  <c r="AV30" i="86" s="1"/>
  <c r="O23" i="115"/>
  <c r="AW28" i="86" s="1"/>
  <c r="AW27" i="86" s="1"/>
  <c r="AK36" i="86" s="1"/>
  <c r="O24" i="115"/>
  <c r="O25" i="115"/>
  <c r="O26" i="115"/>
  <c r="O27" i="115"/>
  <c r="O28" i="115"/>
  <c r="O29" i="115"/>
  <c r="O30" i="115"/>
  <c r="AQ28" i="86" s="1"/>
  <c r="AQ27" i="86" s="1"/>
  <c r="AK32" i="86" s="1"/>
  <c r="O31" i="115"/>
  <c r="AT26" i="86" s="1"/>
  <c r="AT25" i="86" s="1"/>
  <c r="AH34" i="86" s="1"/>
  <c r="O32" i="115"/>
  <c r="AW24" i="86" s="1"/>
  <c r="AW23" i="86" s="1"/>
  <c r="AE36" i="86" s="1"/>
  <c r="O33" i="115"/>
  <c r="O34" i="115"/>
  <c r="O35" i="115"/>
  <c r="O36" i="115"/>
  <c r="O37" i="115"/>
  <c r="O38" i="115"/>
  <c r="O39" i="115"/>
  <c r="O40" i="115"/>
  <c r="AT22" i="86" s="1"/>
  <c r="AT21" i="86" s="1"/>
  <c r="AB34" i="86" s="1"/>
  <c r="O41" i="115"/>
  <c r="AY20" i="86" s="1"/>
  <c r="O42" i="115"/>
  <c r="O43" i="115"/>
  <c r="O44" i="115"/>
  <c r="O45" i="115"/>
  <c r="O46" i="115"/>
  <c r="AK24" i="86" s="1"/>
  <c r="AK23" i="86" s="1"/>
  <c r="AE28" i="86" s="1"/>
  <c r="O47" i="115"/>
  <c r="AN22" i="86" s="1"/>
  <c r="AN21" i="86" s="1"/>
  <c r="AB30" i="86" s="1"/>
  <c r="O48" i="115"/>
  <c r="AQ20" i="86" s="1"/>
  <c r="AQ19" i="86" s="1"/>
  <c r="Y32" i="86" s="1"/>
  <c r="O49" i="115"/>
  <c r="AT18" i="86" s="1"/>
  <c r="AT17" i="86" s="1"/>
  <c r="V34" i="86" s="1"/>
  <c r="O50" i="115"/>
  <c r="AY16" i="86" s="1"/>
  <c r="O51" i="115"/>
  <c r="O52" i="115"/>
  <c r="O53" i="115"/>
  <c r="AE6" i="86" s="1"/>
  <c r="O54" i="115"/>
  <c r="AH22" i="86" s="1"/>
  <c r="AH21" i="86" s="1"/>
  <c r="AB26" i="86" s="1"/>
  <c r="O55" i="115"/>
  <c r="AK20" i="86" s="1"/>
  <c r="AK19" i="86" s="1"/>
  <c r="Y28" i="86" s="1"/>
  <c r="O56" i="115"/>
  <c r="AN18" i="86" s="1"/>
  <c r="AN17" i="86" s="1"/>
  <c r="V30" i="86" s="1"/>
  <c r="O57" i="115"/>
  <c r="AQ16" i="86" s="1"/>
  <c r="AQ15" i="86" s="1"/>
  <c r="S32" i="86" s="1"/>
  <c r="O58" i="115"/>
  <c r="AT14" i="86" s="1"/>
  <c r="AT13" i="86" s="1"/>
  <c r="P34" i="86" s="1"/>
  <c r="O59" i="115"/>
  <c r="O60" i="115"/>
  <c r="O61" i="115"/>
  <c r="AD6" i="86" s="1"/>
  <c r="O62" i="115"/>
  <c r="O63" i="115"/>
  <c r="AH18" i="86" s="1"/>
  <c r="AH17" i="86" s="1"/>
  <c r="V26" i="86" s="1"/>
  <c r="O64" i="115"/>
  <c r="AK16" i="86" s="1"/>
  <c r="AK15" i="86" s="1"/>
  <c r="S28" i="86" s="1"/>
  <c r="O65" i="115"/>
  <c r="AN14" i="86" s="1"/>
  <c r="AN13" i="86" s="1"/>
  <c r="P30" i="86" s="1"/>
  <c r="O66" i="115"/>
  <c r="AQ12" i="86" s="1"/>
  <c r="AQ11" i="86" s="1"/>
  <c r="M32" i="86" s="1"/>
  <c r="O67" i="115"/>
  <c r="AT10" i="86" s="1"/>
  <c r="AT9" i="86" s="1"/>
  <c r="O68" i="115"/>
  <c r="AW8" i="86" s="1"/>
  <c r="O69" i="115"/>
  <c r="O70" i="115"/>
  <c r="AB18" i="86" s="1"/>
  <c r="AB17" i="86" s="1"/>
  <c r="V22" i="86" s="1"/>
  <c r="O71" i="115"/>
  <c r="O72" i="115"/>
  <c r="AH14" i="86" s="1"/>
  <c r="AH13" i="86" s="1"/>
  <c r="P26" i="86" s="1"/>
  <c r="O73" i="115"/>
  <c r="AK12" i="86" s="1"/>
  <c r="AK11" i="86" s="1"/>
  <c r="M28" i="86" s="1"/>
  <c r="O74" i="115"/>
  <c r="AN10" i="86" s="1"/>
  <c r="AN9" i="86" s="1"/>
  <c r="J30" i="86" s="1"/>
  <c r="O75" i="115"/>
  <c r="AQ8" i="86" s="1"/>
  <c r="AQ7" i="86" s="1"/>
  <c r="G32" i="86" s="1"/>
  <c r="O76" i="115"/>
  <c r="O77" i="115"/>
  <c r="V6" i="86" s="1"/>
  <c r="O78" i="115"/>
  <c r="Y16" i="86" s="1"/>
  <c r="Y15" i="86" s="1"/>
  <c r="S20" i="86" s="1"/>
  <c r="O79" i="115"/>
  <c r="AB14" i="86" s="1"/>
  <c r="AB13" i="86" s="1"/>
  <c r="P22" i="86" s="1"/>
  <c r="O80" i="115"/>
  <c r="O81" i="115"/>
  <c r="AH10" i="86" s="1"/>
  <c r="AH9" i="86" s="1"/>
  <c r="J26" i="86" s="1"/>
  <c r="O82" i="115"/>
  <c r="AK8" i="86" s="1"/>
  <c r="AK7" i="86" s="1"/>
  <c r="G28" i="86" s="1"/>
  <c r="O83" i="115"/>
  <c r="O84" i="115"/>
  <c r="O85" i="115"/>
  <c r="O86" i="115"/>
  <c r="V14" i="86" s="1"/>
  <c r="V13" i="86" s="1"/>
  <c r="P18" i="86" s="1"/>
  <c r="O87" i="115"/>
  <c r="Y12" i="86" s="1"/>
  <c r="Y11" i="86" s="1"/>
  <c r="M20" i="86" s="1"/>
  <c r="O88" i="115"/>
  <c r="AB10" i="86" s="1"/>
  <c r="AB9" i="86" s="1"/>
  <c r="J22" i="86" s="1"/>
  <c r="O89" i="115"/>
  <c r="AE8" i="86" s="1"/>
  <c r="AE7" i="86" s="1"/>
  <c r="G24" i="86" s="1"/>
  <c r="O90" i="115"/>
  <c r="O91" i="115"/>
  <c r="O92" i="115"/>
  <c r="O93" i="115"/>
  <c r="O94" i="115"/>
  <c r="U12" i="86" s="1"/>
  <c r="O95" i="115"/>
  <c r="V10" i="86" s="1"/>
  <c r="V9" i="86" s="1"/>
  <c r="J18" i="86" s="1"/>
  <c r="O96" i="115"/>
  <c r="Y8" i="86" s="1"/>
  <c r="Y7" i="86" s="1"/>
  <c r="G20" i="86" s="1"/>
  <c r="O98" i="115"/>
  <c r="O99" i="115"/>
  <c r="O100" i="115"/>
  <c r="O101" i="115"/>
  <c r="O102" i="115"/>
  <c r="P10" i="86" s="1"/>
  <c r="P9" i="86" s="1"/>
  <c r="J14" i="86" s="1"/>
  <c r="O103" i="115"/>
  <c r="S8" i="86" s="1"/>
  <c r="S7" i="86" s="1"/>
  <c r="G16" i="86" s="1"/>
  <c r="O104" i="115"/>
  <c r="O105" i="115"/>
  <c r="O106" i="115"/>
  <c r="O107" i="115"/>
  <c r="O108" i="115"/>
  <c r="O109" i="115"/>
  <c r="O110" i="115"/>
  <c r="O8" i="86" s="1"/>
  <c r="O111" i="115"/>
  <c r="O112" i="115"/>
  <c r="O113" i="115"/>
  <c r="O114" i="115"/>
  <c r="O115" i="115"/>
  <c r="O116" i="115"/>
  <c r="O117" i="115"/>
  <c r="I6" i="86" s="1"/>
  <c r="O118" i="115"/>
  <c r="O119" i="115"/>
  <c r="O120" i="115"/>
  <c r="O121" i="115"/>
  <c r="O122" i="115"/>
  <c r="O123" i="115"/>
  <c r="O124" i="115"/>
  <c r="O24" i="86" l="1"/>
  <c r="AA24" i="86"/>
  <c r="U24" i="86"/>
  <c r="G6" i="86"/>
  <c r="F8" i="86"/>
  <c r="M8" i="86"/>
  <c r="I12" i="86" s="1"/>
  <c r="G5" i="86"/>
  <c r="D8" i="86" s="1"/>
  <c r="M7" i="86"/>
  <c r="G12" i="86" s="1"/>
  <c r="I16" i="86"/>
  <c r="L14" i="86"/>
  <c r="I20" i="86"/>
  <c r="L18" i="86"/>
  <c r="S12" i="86"/>
  <c r="S11" i="86" s="1"/>
  <c r="M16" i="86" s="1"/>
  <c r="I24" i="86"/>
  <c r="L22" i="86"/>
  <c r="O20" i="86"/>
  <c r="R18" i="86"/>
  <c r="I28" i="86"/>
  <c r="L26" i="86"/>
  <c r="AE11" i="86"/>
  <c r="M24" i="86" s="1"/>
  <c r="R22" i="86"/>
  <c r="U20" i="86"/>
  <c r="I32" i="86"/>
  <c r="L30" i="86"/>
  <c r="O28" i="86"/>
  <c r="R26" i="86"/>
  <c r="AE15" i="86"/>
  <c r="S24" i="86" s="1"/>
  <c r="X22" i="86"/>
  <c r="L34" i="86"/>
  <c r="O32" i="86"/>
  <c r="R30" i="86"/>
  <c r="U28" i="86"/>
  <c r="X26" i="86"/>
  <c r="AE19" i="86"/>
  <c r="Y24" i="86" s="1"/>
  <c r="AB6" i="86"/>
  <c r="F22" i="86" s="1"/>
  <c r="R34" i="86"/>
  <c r="U32" i="86"/>
  <c r="X30" i="86"/>
  <c r="AA28" i="86"/>
  <c r="AD26" i="86"/>
  <c r="X34" i="86"/>
  <c r="AA32" i="86"/>
  <c r="AD30" i="86"/>
  <c r="AG28" i="86"/>
  <c r="AW20" i="86"/>
  <c r="AA36" i="86" s="1"/>
  <c r="AD34" i="86"/>
  <c r="AG36" i="86"/>
  <c r="AJ34" i="86"/>
  <c r="AM32" i="86"/>
  <c r="AM36" i="86"/>
  <c r="AT30" i="86"/>
  <c r="AP34" i="86" s="1"/>
  <c r="AT6" i="86"/>
  <c r="AW32" i="86"/>
  <c r="AS36" i="86" s="1"/>
  <c r="F34" i="86"/>
  <c r="Z16" i="86"/>
  <c r="T20" i="86" s="1"/>
  <c r="S19" i="86"/>
  <c r="X6" i="86"/>
  <c r="F18" i="86" s="1"/>
  <c r="AC18" i="86"/>
  <c r="W22" i="86" s="1"/>
  <c r="V21" i="86"/>
  <c r="AF20" i="86"/>
  <c r="Z24" i="86" s="1"/>
  <c r="AI22" i="86"/>
  <c r="AC26" i="86" s="1"/>
  <c r="AB25" i="86"/>
  <c r="AW16" i="86"/>
  <c r="U36" i="86" s="1"/>
  <c r="AL24" i="86"/>
  <c r="AF28" i="86" s="1"/>
  <c r="AE27" i="86"/>
  <c r="AH6" i="86"/>
  <c r="AJ6" i="86"/>
  <c r="AS24" i="86"/>
  <c r="AG32" i="86" s="1"/>
  <c r="AQ24" i="86"/>
  <c r="AU26" i="86"/>
  <c r="AI34" i="86" s="1"/>
  <c r="AH33" i="86"/>
  <c r="AR28" i="86"/>
  <c r="AL32" i="86" s="1"/>
  <c r="AK31" i="86"/>
  <c r="AN6" i="86"/>
  <c r="AP6" i="86"/>
  <c r="AX28" i="86"/>
  <c r="AL36" i="86" s="1"/>
  <c r="AK35" i="86"/>
  <c r="AT29" i="86"/>
  <c r="AN34" i="86" s="1"/>
  <c r="AW19" i="86"/>
  <c r="Y36" i="86" s="1"/>
  <c r="AY8" i="86"/>
  <c r="AW12" i="86"/>
  <c r="AY12" i="86"/>
  <c r="AB5" i="86"/>
  <c r="R6" i="86"/>
  <c r="P6" i="86"/>
  <c r="I6" i="115"/>
  <c r="I7" i="115"/>
  <c r="I8" i="115"/>
  <c r="I9" i="115"/>
  <c r="I10" i="115"/>
  <c r="I11" i="115"/>
  <c r="I12" i="115"/>
  <c r="I13" i="115"/>
  <c r="I14" i="115"/>
  <c r="I15" i="115"/>
  <c r="I16" i="115"/>
  <c r="I17" i="115"/>
  <c r="I18" i="115"/>
  <c r="I19" i="115"/>
  <c r="I20" i="115"/>
  <c r="I21" i="115"/>
  <c r="I22" i="115"/>
  <c r="I23" i="115"/>
  <c r="I24" i="115"/>
  <c r="I25" i="115"/>
  <c r="I26" i="115"/>
  <c r="I27" i="115"/>
  <c r="I28" i="115"/>
  <c r="I29" i="115"/>
  <c r="I30" i="115"/>
  <c r="I31" i="115"/>
  <c r="I32" i="115"/>
  <c r="I33" i="115"/>
  <c r="I34" i="115"/>
  <c r="I35" i="115"/>
  <c r="I36" i="115"/>
  <c r="I37" i="115"/>
  <c r="I38" i="115"/>
  <c r="I39" i="115"/>
  <c r="I40" i="115"/>
  <c r="I41" i="115"/>
  <c r="I42" i="115"/>
  <c r="I43" i="115"/>
  <c r="I44" i="115"/>
  <c r="I45" i="115"/>
  <c r="I46" i="115"/>
  <c r="I47" i="115"/>
  <c r="I48" i="115"/>
  <c r="I49" i="115"/>
  <c r="I50" i="115"/>
  <c r="I51" i="115"/>
  <c r="I52" i="115"/>
  <c r="I53" i="115"/>
  <c r="I54" i="115"/>
  <c r="I55" i="115"/>
  <c r="I56" i="115"/>
  <c r="I57" i="115"/>
  <c r="I58" i="115"/>
  <c r="I59" i="115"/>
  <c r="I60" i="115"/>
  <c r="I61" i="115"/>
  <c r="I62" i="115"/>
  <c r="I63" i="115"/>
  <c r="I64" i="115"/>
  <c r="I65" i="115"/>
  <c r="I66" i="115"/>
  <c r="I67" i="115"/>
  <c r="I69" i="115"/>
  <c r="I70" i="115"/>
  <c r="I71" i="115"/>
  <c r="I72" i="115"/>
  <c r="I73" i="115"/>
  <c r="I74" i="115"/>
  <c r="I75" i="115"/>
  <c r="I76" i="115"/>
  <c r="I77" i="115"/>
  <c r="I78" i="115"/>
  <c r="I79" i="115"/>
  <c r="I80" i="115"/>
  <c r="I81" i="115"/>
  <c r="I82" i="115"/>
  <c r="I83" i="115"/>
  <c r="I84" i="115"/>
  <c r="I85" i="115"/>
  <c r="I86" i="115"/>
  <c r="I87" i="115"/>
  <c r="I88" i="115"/>
  <c r="I89" i="115"/>
  <c r="I90" i="115"/>
  <c r="I91" i="115"/>
  <c r="I92" i="115"/>
  <c r="I93" i="115"/>
  <c r="I94" i="115"/>
  <c r="I95" i="115"/>
  <c r="I96" i="115"/>
  <c r="I97" i="115"/>
  <c r="I98" i="115"/>
  <c r="I99" i="115"/>
  <c r="I100" i="115"/>
  <c r="I101" i="115"/>
  <c r="I102" i="115"/>
  <c r="I103" i="115"/>
  <c r="I104" i="115"/>
  <c r="I105" i="115"/>
  <c r="I106" i="115"/>
  <c r="I107" i="115"/>
  <c r="I108" i="115"/>
  <c r="I109" i="115"/>
  <c r="I110" i="115"/>
  <c r="I111" i="115"/>
  <c r="I112" i="115"/>
  <c r="I113" i="115"/>
  <c r="I114" i="115"/>
  <c r="I115" i="115"/>
  <c r="I116" i="115"/>
  <c r="I117" i="115"/>
  <c r="I118" i="115"/>
  <c r="I119" i="115"/>
  <c r="I120" i="115"/>
  <c r="I121" i="115"/>
  <c r="I122" i="115"/>
  <c r="I123" i="115"/>
  <c r="I124" i="115"/>
  <c r="Y23" i="86" l="1"/>
  <c r="O16" i="86"/>
  <c r="F14" i="86"/>
  <c r="AW7" i="86"/>
  <c r="G36" i="86" s="1"/>
  <c r="I36" i="86"/>
  <c r="D21" i="86"/>
  <c r="D22" i="86"/>
  <c r="O36" i="86"/>
  <c r="F26" i="86"/>
  <c r="F30" i="86"/>
  <c r="AW31" i="86"/>
  <c r="AQ36" i="86" s="1"/>
  <c r="N8" i="86"/>
  <c r="H12" i="86" s="1"/>
  <c r="G11" i="86"/>
  <c r="T8" i="86"/>
  <c r="H16" i="86" s="1"/>
  <c r="G15" i="86"/>
  <c r="W10" i="86"/>
  <c r="K18" i="86" s="1"/>
  <c r="J17" i="86"/>
  <c r="V5" i="86"/>
  <c r="Z12" i="86"/>
  <c r="N20" i="86" s="1"/>
  <c r="M19" i="86"/>
  <c r="Z8" i="86"/>
  <c r="H20" i="86" s="1"/>
  <c r="G19" i="86"/>
  <c r="AC10" i="86"/>
  <c r="K22" i="86" s="1"/>
  <c r="J21" i="86"/>
  <c r="AW15" i="86"/>
  <c r="AF8" i="86"/>
  <c r="H24" i="86" s="1"/>
  <c r="G23" i="86"/>
  <c r="AH5" i="86"/>
  <c r="AQ23" i="86"/>
  <c r="AE32" i="86" s="1"/>
  <c r="AN5" i="86"/>
  <c r="AU30" i="86"/>
  <c r="AO34" i="86" s="1"/>
  <c r="AN33" i="86"/>
  <c r="AX20" i="86"/>
  <c r="Z36" i="86" s="1"/>
  <c r="Y35" i="86"/>
  <c r="S35" i="86"/>
  <c r="AW11" i="86"/>
  <c r="M36" i="86" s="1"/>
  <c r="AT5" i="86"/>
  <c r="P5" i="86"/>
  <c r="Q5" i="139"/>
  <c r="Q6" i="139"/>
  <c r="Q7" i="139"/>
  <c r="Q8" i="139"/>
  <c r="Q9" i="139"/>
  <c r="Q10" i="139"/>
  <c r="Q11" i="139"/>
  <c r="Q12" i="139"/>
  <c r="Q13" i="139"/>
  <c r="Q14" i="139"/>
  <c r="Q15" i="139"/>
  <c r="Q16" i="139"/>
  <c r="Q17" i="139"/>
  <c r="Q18" i="139"/>
  <c r="Q19" i="139"/>
  <c r="Q20" i="139"/>
  <c r="Q21" i="139"/>
  <c r="Q22" i="139"/>
  <c r="Q23" i="139"/>
  <c r="Q24" i="139"/>
  <c r="Q25" i="139"/>
  <c r="Q26" i="139"/>
  <c r="Q27" i="139"/>
  <c r="Q28" i="139"/>
  <c r="Q29" i="139"/>
  <c r="Q30" i="139"/>
  <c r="Q31" i="139"/>
  <c r="Q32" i="139"/>
  <c r="Q33" i="139"/>
  <c r="Q34" i="139"/>
  <c r="Q35" i="139"/>
  <c r="Q36" i="139"/>
  <c r="Q37" i="139"/>
  <c r="Q38" i="139"/>
  <c r="Q39" i="139"/>
  <c r="Q40" i="139"/>
  <c r="Q41" i="139"/>
  <c r="Q42" i="139"/>
  <c r="Q43" i="139"/>
  <c r="Q44" i="139"/>
  <c r="Q45" i="139"/>
  <c r="Q46" i="139"/>
  <c r="Q47" i="139"/>
  <c r="Q48" i="139"/>
  <c r="Q49" i="139"/>
  <c r="Q50" i="139"/>
  <c r="Q51" i="139"/>
  <c r="Q52" i="139"/>
  <c r="Q53" i="139"/>
  <c r="Q54" i="139"/>
  <c r="Q55" i="139"/>
  <c r="Q56" i="139"/>
  <c r="Q57" i="139"/>
  <c r="Q58" i="139"/>
  <c r="Q59" i="139"/>
  <c r="Q60" i="139"/>
  <c r="Q61" i="139"/>
  <c r="Q62" i="139"/>
  <c r="Q63" i="139"/>
  <c r="Q64" i="139"/>
  <c r="Q65" i="139"/>
  <c r="Q66" i="139"/>
  <c r="Q67" i="139"/>
  <c r="Q68" i="139"/>
  <c r="Q69" i="139"/>
  <c r="Q70" i="139"/>
  <c r="Q71" i="139"/>
  <c r="Q72" i="139"/>
  <c r="Q73" i="139"/>
  <c r="Q74" i="139"/>
  <c r="Q75" i="139"/>
  <c r="Q76" i="139"/>
  <c r="Q77" i="139"/>
  <c r="Q78" i="139"/>
  <c r="Q79" i="139"/>
  <c r="Q80" i="139"/>
  <c r="Q81" i="139"/>
  <c r="Q82" i="139"/>
  <c r="Q83" i="139"/>
  <c r="Q84" i="139"/>
  <c r="Q85" i="139"/>
  <c r="Q86" i="139"/>
  <c r="Q87" i="139"/>
  <c r="Q88" i="139"/>
  <c r="Q89" i="139"/>
  <c r="Q90" i="139"/>
  <c r="Q91" i="139"/>
  <c r="Q92" i="139"/>
  <c r="Q93" i="139"/>
  <c r="Q94" i="139"/>
  <c r="Q95" i="139"/>
  <c r="Q96" i="139"/>
  <c r="Q97" i="139"/>
  <c r="O5" i="139"/>
  <c r="O6" i="139"/>
  <c r="O7" i="139"/>
  <c r="O8" i="139"/>
  <c r="O9" i="139"/>
  <c r="O10" i="139"/>
  <c r="O11" i="139"/>
  <c r="O12" i="139"/>
  <c r="O13" i="139"/>
  <c r="O14" i="139"/>
  <c r="O15" i="139"/>
  <c r="O16" i="139"/>
  <c r="O17" i="139"/>
  <c r="O18" i="139"/>
  <c r="O19" i="139"/>
  <c r="O20" i="139"/>
  <c r="O21" i="139"/>
  <c r="O22" i="139"/>
  <c r="O23" i="139"/>
  <c r="O24" i="139"/>
  <c r="O25" i="139"/>
  <c r="O26" i="139"/>
  <c r="O27" i="139"/>
  <c r="O28" i="139"/>
  <c r="O29" i="139"/>
  <c r="O30" i="139"/>
  <c r="O31" i="139"/>
  <c r="O32" i="139"/>
  <c r="O33" i="139"/>
  <c r="O34" i="139"/>
  <c r="O35" i="139"/>
  <c r="O36" i="139"/>
  <c r="O37" i="139"/>
  <c r="O38" i="139"/>
  <c r="O39" i="139"/>
  <c r="O40" i="139"/>
  <c r="O41" i="139"/>
  <c r="O42" i="139"/>
  <c r="O43" i="139"/>
  <c r="O44" i="139"/>
  <c r="O45" i="139"/>
  <c r="O46" i="139"/>
  <c r="O47" i="139"/>
  <c r="O48" i="139"/>
  <c r="O49" i="139"/>
  <c r="O50" i="139"/>
  <c r="O51" i="139"/>
  <c r="O52" i="139"/>
  <c r="O53" i="139"/>
  <c r="O54" i="139"/>
  <c r="O55" i="139"/>
  <c r="O56" i="139"/>
  <c r="O57" i="139"/>
  <c r="O58" i="139"/>
  <c r="O59" i="139"/>
  <c r="O60" i="139"/>
  <c r="O61" i="139"/>
  <c r="O62" i="139"/>
  <c r="O63" i="139"/>
  <c r="O64" i="139"/>
  <c r="O65" i="139"/>
  <c r="O66" i="139"/>
  <c r="O67" i="139"/>
  <c r="O68" i="139"/>
  <c r="O69" i="139"/>
  <c r="O70" i="139"/>
  <c r="O71" i="139"/>
  <c r="O72" i="139"/>
  <c r="O73" i="139"/>
  <c r="O74" i="139"/>
  <c r="O75" i="139"/>
  <c r="O76" i="139"/>
  <c r="O77" i="139"/>
  <c r="O78" i="139"/>
  <c r="O79" i="139"/>
  <c r="O80" i="139"/>
  <c r="O81" i="139"/>
  <c r="O82" i="139"/>
  <c r="O83" i="139"/>
  <c r="O84" i="139"/>
  <c r="O85" i="139"/>
  <c r="O86" i="139"/>
  <c r="O87" i="139"/>
  <c r="O88" i="139"/>
  <c r="O89" i="139"/>
  <c r="O90" i="139"/>
  <c r="O91" i="139"/>
  <c r="O92" i="139"/>
  <c r="O93" i="139"/>
  <c r="O94" i="139"/>
  <c r="O95" i="139"/>
  <c r="O96" i="139"/>
  <c r="O97" i="139"/>
  <c r="AF44" i="113"/>
  <c r="AF41" i="113"/>
  <c r="W41" i="113"/>
  <c r="W36" i="113"/>
  <c r="AF37" i="113"/>
  <c r="AF34" i="113"/>
  <c r="W31" i="113"/>
  <c r="W26" i="113"/>
  <c r="AF31" i="113"/>
  <c r="AF27" i="113"/>
  <c r="AF24" i="113"/>
  <c r="AF20" i="113"/>
  <c r="AF17" i="113"/>
  <c r="AF10" i="113"/>
  <c r="N39" i="113"/>
  <c r="N25" i="113"/>
  <c r="Q73" i="112"/>
  <c r="Q71" i="112"/>
  <c r="Q69" i="112"/>
  <c r="Q66" i="112"/>
  <c r="Q63" i="112"/>
  <c r="Q61" i="112"/>
  <c r="Q58" i="112"/>
  <c r="Q53" i="112"/>
  <c r="Q46" i="112"/>
  <c r="Q44" i="112"/>
  <c r="Q42" i="112"/>
  <c r="Q39" i="112"/>
  <c r="Q36" i="112"/>
  <c r="Q34" i="112"/>
  <c r="Q31" i="112"/>
  <c r="Q19" i="112"/>
  <c r="D13" i="86" l="1"/>
  <c r="D14" i="86"/>
  <c r="D17" i="86"/>
  <c r="D18" i="86"/>
  <c r="AX16" i="86"/>
  <c r="T36" i="86" s="1"/>
  <c r="S36" i="86"/>
  <c r="D25" i="86"/>
  <c r="D26" i="86"/>
  <c r="D29" i="86"/>
  <c r="D30" i="86"/>
  <c r="AX32" i="86"/>
  <c r="AR36" i="86" s="1"/>
  <c r="AQ35" i="86"/>
  <c r="D33" i="86"/>
  <c r="D34" i="86"/>
  <c r="D7" i="86"/>
  <c r="E8" i="86"/>
  <c r="AF16" i="86"/>
  <c r="T24" i="86" s="1"/>
  <c r="S23" i="86"/>
  <c r="AI18" i="86"/>
  <c r="W26" i="86" s="1"/>
  <c r="V25" i="86"/>
  <c r="AI10" i="86"/>
  <c r="K26" i="86" s="1"/>
  <c r="J25" i="86"/>
  <c r="AL16" i="86"/>
  <c r="T28" i="86" s="1"/>
  <c r="S27" i="86"/>
  <c r="AO22" i="86"/>
  <c r="AC30" i="86" s="1"/>
  <c r="AB29" i="86"/>
  <c r="AR24" i="86"/>
  <c r="AF32" i="86" s="1"/>
  <c r="AE31" i="86"/>
  <c r="AL8" i="86"/>
  <c r="H28" i="86" s="1"/>
  <c r="G27" i="86"/>
  <c r="AR16" i="86"/>
  <c r="T32" i="86" s="1"/>
  <c r="S31" i="86"/>
  <c r="AU22" i="86"/>
  <c r="AC34" i="86" s="1"/>
  <c r="AB33" i="86"/>
  <c r="AX24" i="86"/>
  <c r="AF36" i="86" s="1"/>
  <c r="AE35" i="86"/>
  <c r="AR8" i="86"/>
  <c r="H32" i="86" s="1"/>
  <c r="G31" i="86"/>
  <c r="AO18" i="86"/>
  <c r="W30" i="86" s="1"/>
  <c r="V29" i="86"/>
  <c r="AX12" i="86"/>
  <c r="N36" i="86" s="1"/>
  <c r="M35" i="86"/>
  <c r="AF12" i="86"/>
  <c r="N24" i="86" s="1"/>
  <c r="M23" i="86"/>
  <c r="F69" i="138"/>
  <c r="AI68" i="138"/>
  <c r="E68" i="138"/>
  <c r="BD67" i="138"/>
  <c r="H66" i="138"/>
  <c r="W64" i="138"/>
  <c r="E64" i="138"/>
  <c r="AU62" i="138"/>
  <c r="Z62" i="138"/>
  <c r="K62" i="138"/>
  <c r="AX60" i="138"/>
  <c r="W60" i="138"/>
  <c r="E60" i="138"/>
  <c r="AU58" i="138"/>
  <c r="H58" i="138"/>
  <c r="F57" i="138"/>
  <c r="AI56" i="138"/>
  <c r="E56" i="138"/>
  <c r="N54" i="138"/>
  <c r="BD53" i="138"/>
  <c r="F53" i="138"/>
  <c r="W52" i="138"/>
  <c r="E52" i="138"/>
  <c r="Z50" i="138"/>
  <c r="Z55" i="138" s="1"/>
  <c r="H50" i="138"/>
  <c r="AR49" i="138"/>
  <c r="F49" i="138"/>
  <c r="W48" i="138"/>
  <c r="E48" i="138"/>
  <c r="AU47" i="138"/>
  <c r="BA54" i="138" s="1"/>
  <c r="K46" i="138"/>
  <c r="AR45" i="138"/>
  <c r="AL45" i="138"/>
  <c r="F45" i="138"/>
  <c r="E44" i="138"/>
  <c r="AX43" i="138"/>
  <c r="AY42" i="138" s="1"/>
  <c r="H42" i="138"/>
  <c r="AR41" i="138"/>
  <c r="F41" i="138"/>
  <c r="E40" i="138"/>
  <c r="AU39" i="138"/>
  <c r="Q38" i="138"/>
  <c r="Q60" i="138" s="1"/>
  <c r="AR37" i="138"/>
  <c r="AL37" i="138"/>
  <c r="T37" i="138"/>
  <c r="F37" i="138"/>
  <c r="BD36" i="138"/>
  <c r="W36" i="138"/>
  <c r="E36" i="138"/>
  <c r="Z35" i="138"/>
  <c r="T35" i="138"/>
  <c r="H34" i="138"/>
  <c r="W22" i="138" s="1"/>
  <c r="AC33" i="138"/>
  <c r="T33" i="138"/>
  <c r="F33" i="138"/>
  <c r="W32" i="138"/>
  <c r="E32" i="138"/>
  <c r="AF31" i="138"/>
  <c r="T53" i="138" s="1"/>
  <c r="Z31" i="138"/>
  <c r="T31" i="138"/>
  <c r="AU30" i="138"/>
  <c r="K30" i="138"/>
  <c r="AC29" i="138"/>
  <c r="T29" i="138"/>
  <c r="AX28" i="138"/>
  <c r="W28" i="138"/>
  <c r="E28" i="138"/>
  <c r="AI27" i="138"/>
  <c r="AI46" i="138" s="1"/>
  <c r="Z27" i="138"/>
  <c r="T27" i="138"/>
  <c r="AU26" i="138"/>
  <c r="H26" i="138"/>
  <c r="AC25" i="138"/>
  <c r="T25" i="138"/>
  <c r="F25" i="138"/>
  <c r="AL24" i="138"/>
  <c r="W24" i="138"/>
  <c r="E24" i="138"/>
  <c r="T15" i="138" s="1"/>
  <c r="AF23" i="138"/>
  <c r="Z23" i="138"/>
  <c r="T23" i="138"/>
  <c r="N22" i="138"/>
  <c r="BD21" i="138"/>
  <c r="AC21" i="138"/>
  <c r="T21" i="138"/>
  <c r="F21" i="138"/>
  <c r="W20" i="138"/>
  <c r="E20" i="138"/>
  <c r="T13" i="138" s="1"/>
  <c r="Z19" i="138"/>
  <c r="T19" i="138"/>
  <c r="W18" i="138"/>
  <c r="H18" i="138"/>
  <c r="AR17" i="138"/>
  <c r="AC17" i="138"/>
  <c r="T17" i="138"/>
  <c r="F17" i="138"/>
  <c r="AL16" i="138"/>
  <c r="W16" i="138"/>
  <c r="E16" i="138"/>
  <c r="AU15" i="138"/>
  <c r="BA22" i="138" s="1"/>
  <c r="AF15" i="138"/>
  <c r="Z15" i="138"/>
  <c r="W14" i="138"/>
  <c r="K14" i="138"/>
  <c r="AR13" i="138"/>
  <c r="W12" i="138"/>
  <c r="E12" i="138"/>
  <c r="T9" i="138" s="1"/>
  <c r="AX11" i="138"/>
  <c r="AX18" i="138" s="1"/>
  <c r="AI11" i="138"/>
  <c r="Z11" i="138"/>
  <c r="AO6" i="138" s="1"/>
  <c r="T11" i="138"/>
  <c r="W10" i="138"/>
  <c r="H10" i="138"/>
  <c r="AR9" i="138"/>
  <c r="AC9" i="138"/>
  <c r="F9" i="138"/>
  <c r="AL8" i="138"/>
  <c r="W8" i="138"/>
  <c r="E8" i="138"/>
  <c r="AU7" i="138"/>
  <c r="BA20" i="138" s="1"/>
  <c r="AF7" i="138"/>
  <c r="Z7" i="138"/>
  <c r="AO4" i="138" s="1"/>
  <c r="T7" i="138"/>
  <c r="W6" i="138"/>
  <c r="AR5" i="138"/>
  <c r="D19" i="139"/>
  <c r="B19" i="139"/>
  <c r="D18" i="139"/>
  <c r="B18" i="139"/>
  <c r="D17" i="139"/>
  <c r="B17" i="139"/>
  <c r="D16" i="139"/>
  <c r="B16" i="139"/>
  <c r="D15" i="139"/>
  <c r="B15" i="139"/>
  <c r="D14" i="139"/>
  <c r="B14" i="139"/>
  <c r="D13" i="139"/>
  <c r="B13" i="139"/>
  <c r="D12" i="139"/>
  <c r="B12" i="139"/>
  <c r="D11" i="139"/>
  <c r="B11" i="139"/>
  <c r="D10" i="139"/>
  <c r="B10" i="139"/>
  <c r="D9" i="139"/>
  <c r="B9" i="139"/>
  <c r="D8" i="139"/>
  <c r="B8" i="139"/>
  <c r="D7" i="139"/>
  <c r="B7" i="139"/>
  <c r="D6" i="139"/>
  <c r="B6" i="139"/>
  <c r="D5" i="139"/>
  <c r="B5" i="139"/>
  <c r="D4" i="139"/>
  <c r="B4" i="139"/>
  <c r="BE69" i="138"/>
  <c r="BE65" i="138"/>
  <c r="AY63" i="138"/>
  <c r="AY58" i="138"/>
  <c r="BE55" i="138"/>
  <c r="BE51" i="138"/>
  <c r="AY48" i="138"/>
  <c r="AY41" i="138"/>
  <c r="BE38" i="138"/>
  <c r="BE34" i="138"/>
  <c r="AY31" i="138"/>
  <c r="AY26" i="138"/>
  <c r="BE23" i="138"/>
  <c r="BE19" i="138"/>
  <c r="AY16" i="138"/>
  <c r="AY9" i="138"/>
  <c r="AA65" i="138"/>
  <c r="AA60" i="138"/>
  <c r="AJ58" i="138"/>
  <c r="AJ54" i="138"/>
  <c r="AA53" i="138"/>
  <c r="AA48" i="138"/>
  <c r="AM47" i="138"/>
  <c r="AM43" i="138"/>
  <c r="AM39" i="138"/>
  <c r="AM35" i="138"/>
  <c r="AM30" i="138"/>
  <c r="AM14" i="138"/>
  <c r="AJ70" i="138"/>
  <c r="AJ66" i="138"/>
  <c r="R58" i="138"/>
  <c r="R36" i="138"/>
  <c r="BE68" i="138"/>
  <c r="P97" i="139"/>
  <c r="P96" i="139"/>
  <c r="AY61" i="138"/>
  <c r="D96" i="139"/>
  <c r="B96" i="139"/>
  <c r="P95" i="139"/>
  <c r="AV63" i="138"/>
  <c r="P94" i="139"/>
  <c r="AV59" i="138"/>
  <c r="P93" i="139"/>
  <c r="BE54" i="138"/>
  <c r="P92" i="139"/>
  <c r="AY44" i="138"/>
  <c r="D92" i="139"/>
  <c r="B92" i="139"/>
  <c r="P91" i="139"/>
  <c r="AV48" i="138"/>
  <c r="D91" i="139"/>
  <c r="B91" i="139"/>
  <c r="P90" i="139"/>
  <c r="AV40" i="138"/>
  <c r="D90" i="139"/>
  <c r="B90" i="139"/>
  <c r="P89" i="139"/>
  <c r="AS50" i="138"/>
  <c r="P88" i="139"/>
  <c r="AS46" i="138"/>
  <c r="AS42" i="138"/>
  <c r="P87" i="139"/>
  <c r="P86" i="139"/>
  <c r="AS38" i="138"/>
  <c r="BE37" i="138"/>
  <c r="P85" i="139"/>
  <c r="P84" i="139"/>
  <c r="AY29" i="138"/>
  <c r="D84" i="139"/>
  <c r="B84" i="139"/>
  <c r="AV31" i="138"/>
  <c r="P83" i="139"/>
  <c r="P82" i="139"/>
  <c r="AV27" i="138"/>
  <c r="P81" i="139"/>
  <c r="BE22" i="138"/>
  <c r="P80" i="139"/>
  <c r="R80" i="139"/>
  <c r="AY12" i="138" s="1"/>
  <c r="D80" i="139"/>
  <c r="B80" i="139"/>
  <c r="P79" i="139"/>
  <c r="AV16" i="138"/>
  <c r="D79" i="139"/>
  <c r="B79" i="139"/>
  <c r="P78" i="139"/>
  <c r="R78" i="139"/>
  <c r="AV8" i="138" s="1"/>
  <c r="D78" i="139"/>
  <c r="B78" i="139"/>
  <c r="B81" i="139" s="1"/>
  <c r="P77" i="139"/>
  <c r="R77" i="139"/>
  <c r="AS18" i="138" s="1"/>
  <c r="P76" i="139"/>
  <c r="R76" i="139"/>
  <c r="AS14" i="138" s="1"/>
  <c r="P75" i="139"/>
  <c r="R75" i="139"/>
  <c r="AS10" i="138" s="1"/>
  <c r="P74" i="139"/>
  <c r="R74" i="139"/>
  <c r="AS6" i="138" s="1"/>
  <c r="P73" i="139"/>
  <c r="R73" i="139"/>
  <c r="AJ69" i="138" s="1"/>
  <c r="R72" i="139"/>
  <c r="AA63" i="138" s="1"/>
  <c r="P72" i="139"/>
  <c r="D72" i="139"/>
  <c r="B72" i="139"/>
  <c r="P71" i="139"/>
  <c r="R71" i="139"/>
  <c r="X65" i="138" s="1"/>
  <c r="P70" i="139"/>
  <c r="R70" i="139"/>
  <c r="X61" i="138" s="1"/>
  <c r="P69" i="139"/>
  <c r="R69" i="139"/>
  <c r="AJ57" i="138" s="1"/>
  <c r="R68" i="139"/>
  <c r="AA51" i="138" s="1"/>
  <c r="P68" i="139"/>
  <c r="D68" i="139"/>
  <c r="B68" i="139"/>
  <c r="P67" i="139"/>
  <c r="R67" i="139"/>
  <c r="X53" i="138" s="1"/>
  <c r="R66" i="139"/>
  <c r="X49" i="138" s="1"/>
  <c r="P66" i="139"/>
  <c r="P65" i="139"/>
  <c r="R65" i="139"/>
  <c r="AM46" i="138" s="1"/>
  <c r="P64" i="139"/>
  <c r="R64" i="139"/>
  <c r="AM38" i="138" s="1"/>
  <c r="P63" i="139"/>
  <c r="R63" i="139"/>
  <c r="AM17" i="138" s="1"/>
  <c r="D63" i="139"/>
  <c r="B63" i="139"/>
  <c r="R62" i="139"/>
  <c r="AM25" i="138" s="1"/>
  <c r="P62" i="139"/>
  <c r="B62" i="139"/>
  <c r="P61" i="139"/>
  <c r="R61" i="139"/>
  <c r="AM9" i="138" s="1"/>
  <c r="B61" i="139"/>
  <c r="P60" i="139"/>
  <c r="R60" i="139"/>
  <c r="AJ28" i="138" s="1"/>
  <c r="D60" i="139"/>
  <c r="B60" i="139"/>
  <c r="P59" i="139"/>
  <c r="R59" i="139"/>
  <c r="AJ12" i="138" s="1"/>
  <c r="D59" i="139"/>
  <c r="B59" i="139"/>
  <c r="R58" i="139"/>
  <c r="AG32" i="138" s="1"/>
  <c r="P58" i="139"/>
  <c r="B58" i="139"/>
  <c r="P57" i="139"/>
  <c r="R57" i="139"/>
  <c r="AG24" i="138" s="1"/>
  <c r="B57" i="139"/>
  <c r="R56" i="139"/>
  <c r="AG16" i="138" s="1"/>
  <c r="P56" i="139"/>
  <c r="B56" i="139"/>
  <c r="P55" i="139"/>
  <c r="R55" i="139"/>
  <c r="AG8" i="138" s="1"/>
  <c r="B55" i="139"/>
  <c r="P54" i="139"/>
  <c r="R54" i="139"/>
  <c r="AD34" i="138" s="1"/>
  <c r="D54" i="139"/>
  <c r="B54" i="139"/>
  <c r="R53" i="139"/>
  <c r="AD26" i="138" s="1"/>
  <c r="P53" i="139"/>
  <c r="D53" i="139"/>
  <c r="B53" i="139"/>
  <c r="R52" i="139"/>
  <c r="AD18" i="138" s="1"/>
  <c r="P52" i="139"/>
  <c r="D52" i="139"/>
  <c r="B52" i="139"/>
  <c r="P51" i="139"/>
  <c r="R51" i="139"/>
  <c r="AD10" i="138" s="1"/>
  <c r="D51" i="139"/>
  <c r="B51" i="139"/>
  <c r="P50" i="139"/>
  <c r="R50" i="139"/>
  <c r="AA36" i="138" s="1"/>
  <c r="B50" i="139"/>
  <c r="R49" i="139"/>
  <c r="AA32" i="138" s="1"/>
  <c r="P49" i="139"/>
  <c r="B49" i="139"/>
  <c r="AA28" i="138"/>
  <c r="P48" i="139"/>
  <c r="B48" i="139"/>
  <c r="P47" i="139"/>
  <c r="AA24" i="138"/>
  <c r="B47" i="139"/>
  <c r="P46" i="139"/>
  <c r="AA20" i="138"/>
  <c r="B46" i="139"/>
  <c r="P45" i="139"/>
  <c r="R45" i="139"/>
  <c r="AA16" i="138" s="1"/>
  <c r="B45" i="139"/>
  <c r="AA12" i="138"/>
  <c r="P44" i="139"/>
  <c r="B44" i="139"/>
  <c r="R43" i="139"/>
  <c r="AA8" i="138" s="1"/>
  <c r="P43" i="139"/>
  <c r="B43" i="139"/>
  <c r="X37" i="138"/>
  <c r="P42" i="139"/>
  <c r="D42" i="139"/>
  <c r="B42" i="139"/>
  <c r="P41" i="139"/>
  <c r="X33" i="138"/>
  <c r="D41" i="139"/>
  <c r="B41" i="139"/>
  <c r="P40" i="139"/>
  <c r="X29" i="138"/>
  <c r="D40" i="139"/>
  <c r="B40" i="139"/>
  <c r="P39" i="139"/>
  <c r="X25" i="138"/>
  <c r="D39" i="139"/>
  <c r="B39" i="139"/>
  <c r="X21" i="138"/>
  <c r="P38" i="139"/>
  <c r="D38" i="139"/>
  <c r="B38" i="139"/>
  <c r="P37" i="139"/>
  <c r="X17" i="138"/>
  <c r="D37" i="139"/>
  <c r="B37" i="139"/>
  <c r="X13" i="138"/>
  <c r="P36" i="139"/>
  <c r="D36" i="139"/>
  <c r="B36" i="139"/>
  <c r="P35" i="139"/>
  <c r="X9" i="138"/>
  <c r="D35" i="139"/>
  <c r="B35" i="139"/>
  <c r="P34" i="139"/>
  <c r="R34" i="139"/>
  <c r="R39" i="138" s="1"/>
  <c r="D34" i="139"/>
  <c r="B34" i="139"/>
  <c r="P33" i="139"/>
  <c r="R33" i="139"/>
  <c r="O55" i="138" s="1"/>
  <c r="D33" i="139"/>
  <c r="B33" i="139"/>
  <c r="R32" i="139"/>
  <c r="O23" i="138" s="1"/>
  <c r="P32" i="139"/>
  <c r="D32" i="139"/>
  <c r="B32" i="139"/>
  <c r="P31" i="139"/>
  <c r="R31" i="139"/>
  <c r="L63" i="138" s="1"/>
  <c r="D31" i="139"/>
  <c r="B31" i="139"/>
  <c r="D57" i="139" s="1"/>
  <c r="R30" i="139"/>
  <c r="L47" i="138" s="1"/>
  <c r="P30" i="139"/>
  <c r="D30" i="139"/>
  <c r="B30" i="139"/>
  <c r="D58" i="139" s="1"/>
  <c r="P29" i="139"/>
  <c r="R29" i="139"/>
  <c r="L31" i="138" s="1"/>
  <c r="D29" i="139"/>
  <c r="B29" i="139"/>
  <c r="R28" i="139"/>
  <c r="L15" i="138" s="1"/>
  <c r="P28" i="139"/>
  <c r="D28" i="139"/>
  <c r="B28" i="139"/>
  <c r="R27" i="139"/>
  <c r="I67" i="138" s="1"/>
  <c r="P27" i="139"/>
  <c r="D27" i="139"/>
  <c r="B27" i="139"/>
  <c r="P26" i="139"/>
  <c r="R26" i="139"/>
  <c r="I59" i="138" s="1"/>
  <c r="D26" i="139"/>
  <c r="B26" i="139"/>
  <c r="D44" i="139" s="1"/>
  <c r="P25" i="139"/>
  <c r="R25" i="139"/>
  <c r="I51" i="138" s="1"/>
  <c r="D25" i="139"/>
  <c r="B25" i="139"/>
  <c r="D45" i="139" s="1"/>
  <c r="R24" i="139"/>
  <c r="I43" i="138" s="1"/>
  <c r="P24" i="139"/>
  <c r="D24" i="139"/>
  <c r="B24" i="139"/>
  <c r="D46" i="139" s="1"/>
  <c r="P23" i="139"/>
  <c r="R23" i="139"/>
  <c r="I35" i="138" s="1"/>
  <c r="D23" i="139"/>
  <c r="B23" i="139"/>
  <c r="D47" i="139" s="1"/>
  <c r="P22" i="139"/>
  <c r="R22" i="139"/>
  <c r="I27" i="138" s="1"/>
  <c r="D22" i="139"/>
  <c r="B22" i="139"/>
  <c r="D48" i="139" s="1"/>
  <c r="W21" i="139"/>
  <c r="P21" i="139"/>
  <c r="R21" i="139"/>
  <c r="I19" i="138" s="1"/>
  <c r="D21" i="139"/>
  <c r="B21" i="139"/>
  <c r="D49" i="139" s="1"/>
  <c r="W20" i="139"/>
  <c r="P20" i="139"/>
  <c r="R20" i="139"/>
  <c r="I11" i="138" s="1"/>
  <c r="D20" i="139"/>
  <c r="B20" i="139"/>
  <c r="W19" i="139"/>
  <c r="P19" i="139"/>
  <c r="W18" i="139"/>
  <c r="R18" i="139"/>
  <c r="F65" i="138" s="1"/>
  <c r="P18" i="139"/>
  <c r="W17" i="139"/>
  <c r="R17" i="139"/>
  <c r="F61" i="138" s="1"/>
  <c r="P17" i="139"/>
  <c r="W16" i="139"/>
  <c r="P16" i="139"/>
  <c r="W15" i="139"/>
  <c r="P15" i="139"/>
  <c r="W14" i="139"/>
  <c r="P14" i="139"/>
  <c r="W13" i="139"/>
  <c r="P13" i="139"/>
  <c r="W12" i="139"/>
  <c r="P12" i="139"/>
  <c r="W11" i="139"/>
  <c r="P11" i="139"/>
  <c r="W10" i="139"/>
  <c r="P10" i="139"/>
  <c r="W9" i="139"/>
  <c r="R9" i="139"/>
  <c r="F29" i="138" s="1"/>
  <c r="P9" i="139"/>
  <c r="W8" i="139"/>
  <c r="P8" i="139"/>
  <c r="W7" i="139"/>
  <c r="P7" i="139"/>
  <c r="W6" i="139"/>
  <c r="P6" i="139"/>
  <c r="W5" i="139"/>
  <c r="P5" i="139"/>
  <c r="R5" i="139"/>
  <c r="F13" i="138" s="1"/>
  <c r="W4" i="139"/>
  <c r="Q4" i="139"/>
  <c r="P4" i="139"/>
  <c r="O4" i="139"/>
  <c r="AV71" i="138"/>
  <c r="AV69" i="138"/>
  <c r="D67" i="138"/>
  <c r="Z67" i="138"/>
  <c r="AX65" i="138"/>
  <c r="D57" i="138"/>
  <c r="D51" i="138"/>
  <c r="D49" i="138"/>
  <c r="D43" i="138"/>
  <c r="D41" i="138"/>
  <c r="BA52" i="138"/>
  <c r="D35" i="138"/>
  <c r="AX33" i="138"/>
  <c r="T65" i="138"/>
  <c r="D33" i="138"/>
  <c r="AO48" i="138"/>
  <c r="AO46" i="138"/>
  <c r="T63" i="138"/>
  <c r="AF69" i="138" s="1"/>
  <c r="D25" i="138"/>
  <c r="AO44" i="138"/>
  <c r="T51" i="138"/>
  <c r="BE20" i="138"/>
  <c r="AO42" i="138"/>
  <c r="D19" i="138"/>
  <c r="T61" i="138"/>
  <c r="D17" i="138"/>
  <c r="AL32" i="138"/>
  <c r="AI44" i="138"/>
  <c r="AL49" i="138" s="1"/>
  <c r="D11" i="138"/>
  <c r="AO10" i="138"/>
  <c r="T59" i="138"/>
  <c r="D9" i="138"/>
  <c r="D7" i="138"/>
  <c r="AR25" i="138"/>
  <c r="I4" i="138"/>
  <c r="O3" i="138"/>
  <c r="A3" i="138"/>
  <c r="A2" i="138"/>
  <c r="S2" i="138" s="1"/>
  <c r="A1" i="138"/>
  <c r="AN1" i="138" s="1"/>
  <c r="AF67" i="138" l="1"/>
  <c r="AI72" i="138" s="1"/>
  <c r="B86" i="139"/>
  <c r="D87" i="139"/>
  <c r="B88" i="139"/>
  <c r="B89" i="139"/>
  <c r="B70" i="139"/>
  <c r="B73" i="139" s="1"/>
  <c r="D70" i="139"/>
  <c r="B71" i="139"/>
  <c r="D73" i="139" s="1"/>
  <c r="D71" i="139"/>
  <c r="D65" i="139"/>
  <c r="AO38" i="138"/>
  <c r="AO40" i="138"/>
  <c r="AR59" i="138" s="1"/>
  <c r="BD57" i="138"/>
  <c r="BE56" i="138" s="1"/>
  <c r="AI21" i="138"/>
  <c r="AI38" i="138" s="1"/>
  <c r="BD25" i="138"/>
  <c r="AF57" i="138"/>
  <c r="AR61" i="138"/>
  <c r="D50" i="139"/>
  <c r="D77" i="139" s="1"/>
  <c r="D43" i="139"/>
  <c r="B74" i="139" s="1"/>
  <c r="D56" i="139"/>
  <c r="D55" i="139"/>
  <c r="D62" i="139"/>
  <c r="D64" i="139" s="1"/>
  <c r="D61" i="139"/>
  <c r="B64" i="139" s="1"/>
  <c r="D86" i="139"/>
  <c r="B87" i="139"/>
  <c r="D94" i="139" s="1"/>
  <c r="D88" i="139"/>
  <c r="D89" i="139"/>
  <c r="D95" i="139" s="1"/>
  <c r="B65" i="139"/>
  <c r="D81" i="139"/>
  <c r="B93" i="139"/>
  <c r="D93" i="139"/>
  <c r="B94" i="139"/>
  <c r="B66" i="139"/>
  <c r="W34" i="138"/>
  <c r="AO18" i="138" s="1"/>
  <c r="AO36" i="138"/>
  <c r="AR57" i="138" s="1"/>
  <c r="BA66" i="138" s="1"/>
  <c r="W26" i="138"/>
  <c r="AO14" i="138" s="1"/>
  <c r="AC5" i="138"/>
  <c r="T47" i="138" s="1"/>
  <c r="AF55" i="138" s="1"/>
  <c r="AI60" i="138" s="1"/>
  <c r="AO12" i="138"/>
  <c r="AR29" i="138" s="1"/>
  <c r="B75" i="139"/>
  <c r="B77" i="139"/>
  <c r="B67" i="139"/>
  <c r="D67" i="139"/>
  <c r="D74" i="139"/>
  <c r="B76" i="139"/>
  <c r="D76" i="139"/>
  <c r="D66" i="139"/>
  <c r="AC13" i="138"/>
  <c r="T49" i="138" s="1"/>
  <c r="W30" i="138"/>
  <c r="AO16" i="138" s="1"/>
  <c r="AR31" i="138" s="1"/>
  <c r="BA37" i="138" s="1"/>
  <c r="AI5" i="138"/>
  <c r="AI36" i="138" s="1"/>
  <c r="D75" i="139"/>
  <c r="AP36" i="138"/>
  <c r="S1" i="138"/>
  <c r="BE24" i="138"/>
  <c r="AN2" i="138"/>
  <c r="AO8" i="138"/>
  <c r="AR27" i="138" s="1"/>
  <c r="AS13" i="138"/>
  <c r="AY32" i="138"/>
  <c r="BE35" i="138"/>
  <c r="BE57" i="138"/>
  <c r="AO50" i="138"/>
  <c r="AP50" i="138" s="1"/>
  <c r="AX50" i="138"/>
  <c r="AY43" i="138"/>
  <c r="AY64" i="138"/>
  <c r="AV47" i="138"/>
  <c r="BE52" i="138"/>
  <c r="BE53" i="138"/>
  <c r="AY59" i="138"/>
  <c r="AY60" i="138"/>
  <c r="AV62" i="138"/>
  <c r="BE66" i="138"/>
  <c r="BE67" i="138"/>
  <c r="Q30" i="137"/>
  <c r="Q30" i="135"/>
  <c r="Q30" i="136"/>
  <c r="B95" i="139" l="1"/>
  <c r="B69" i="139"/>
  <c r="AL41" i="138"/>
  <c r="AM40" i="138" s="1"/>
  <c r="B97" i="139"/>
  <c r="C97" i="139" s="1"/>
  <c r="B82" i="139"/>
  <c r="D97" i="139"/>
  <c r="E97" i="139" s="1"/>
  <c r="B83" i="139"/>
  <c r="C83" i="139" s="1"/>
  <c r="D69" i="139"/>
  <c r="AR63" i="138"/>
  <c r="BA68" i="138" s="1"/>
  <c r="BD71" i="138" s="1"/>
  <c r="D83" i="139"/>
  <c r="AY65" i="138"/>
  <c r="BE36" i="138"/>
  <c r="AV26" i="138"/>
  <c r="BE25" i="138"/>
  <c r="E96" i="139"/>
  <c r="C93" i="139"/>
  <c r="E89" i="139"/>
  <c r="E81" i="139"/>
  <c r="E74" i="139"/>
  <c r="AS59" i="138"/>
  <c r="E94" i="139"/>
  <c r="E92" i="139"/>
  <c r="C87" i="139"/>
  <c r="C79" i="139"/>
  <c r="BB66" i="138"/>
  <c r="AS57" i="138"/>
  <c r="AP48" i="138"/>
  <c r="AP40" i="138"/>
  <c r="AP14" i="138"/>
  <c r="AP12" i="138"/>
  <c r="AP44" i="138"/>
  <c r="G95" i="139"/>
  <c r="G94" i="139"/>
  <c r="G93" i="139"/>
  <c r="G92" i="139"/>
  <c r="C92" i="139"/>
  <c r="E90" i="139"/>
  <c r="C90" i="139"/>
  <c r="G85" i="139"/>
  <c r="C84" i="139"/>
  <c r="G82" i="139"/>
  <c r="G76" i="139"/>
  <c r="AV58" i="138"/>
  <c r="AV39" i="138"/>
  <c r="AS37" i="138"/>
  <c r="G97" i="139"/>
  <c r="G96" i="139"/>
  <c r="C96" i="139"/>
  <c r="G91" i="139"/>
  <c r="G90" i="139"/>
  <c r="G89" i="139"/>
  <c r="G87" i="139"/>
  <c r="G86" i="139"/>
  <c r="AS49" i="138"/>
  <c r="AS41" i="138"/>
  <c r="C94" i="139"/>
  <c r="E91" i="139"/>
  <c r="C76" i="139"/>
  <c r="BB54" i="138"/>
  <c r="AP6" i="138"/>
  <c r="E95" i="139"/>
  <c r="E93" i="139"/>
  <c r="C89" i="139"/>
  <c r="C86" i="139"/>
  <c r="C82" i="139"/>
  <c r="E76" i="139"/>
  <c r="BB52" i="138"/>
  <c r="AY33" i="138"/>
  <c r="BB37" i="138"/>
  <c r="BB22" i="138"/>
  <c r="AS29" i="138"/>
  <c r="AP10" i="138"/>
  <c r="AS25" i="138"/>
  <c r="E75" i="139"/>
  <c r="D82" i="139"/>
  <c r="AS27" i="138"/>
  <c r="BA35" i="138"/>
  <c r="C91" i="139"/>
  <c r="E87" i="139"/>
  <c r="C47" i="139"/>
  <c r="E40" i="139"/>
  <c r="E38" i="139"/>
  <c r="E36" i="139"/>
  <c r="E88" i="139"/>
  <c r="C48" i="139"/>
  <c r="E42" i="139"/>
  <c r="E39" i="139"/>
  <c r="AP46" i="138"/>
  <c r="G88" i="139"/>
  <c r="G39" i="139"/>
  <c r="C19" i="139"/>
  <c r="C67" i="138"/>
  <c r="C57" i="138"/>
  <c r="AS45" i="138"/>
  <c r="C43" i="138"/>
  <c r="U37" i="138"/>
  <c r="C44" i="139"/>
  <c r="G40" i="139"/>
  <c r="C40" i="139"/>
  <c r="G38" i="139"/>
  <c r="G36" i="139"/>
  <c r="E16" i="139"/>
  <c r="C15" i="139"/>
  <c r="E14" i="139"/>
  <c r="C13" i="139"/>
  <c r="E12" i="139"/>
  <c r="C11" i="139"/>
  <c r="E10" i="139"/>
  <c r="E8" i="139"/>
  <c r="C7" i="139"/>
  <c r="E6" i="139"/>
  <c r="E4" i="139"/>
  <c r="C51" i="138"/>
  <c r="C49" i="138"/>
  <c r="C41" i="138"/>
  <c r="C35" i="138"/>
  <c r="U29" i="138"/>
  <c r="X28" i="138"/>
  <c r="U27" i="138"/>
  <c r="C33" i="138"/>
  <c r="U31" i="138"/>
  <c r="U13" i="138"/>
  <c r="U7" i="138"/>
  <c r="U25" i="138"/>
  <c r="C25" i="138"/>
  <c r="U23" i="138"/>
  <c r="U21" i="138"/>
  <c r="X20" i="138"/>
  <c r="C17" i="138"/>
  <c r="U15" i="138"/>
  <c r="X24" i="138"/>
  <c r="U19" i="138"/>
  <c r="C19" i="138"/>
  <c r="X12" i="138"/>
  <c r="U11" i="138"/>
  <c r="C95" i="139"/>
  <c r="C88" i="139"/>
  <c r="C39" i="139"/>
  <c r="C37" i="139"/>
  <c r="C35" i="139"/>
  <c r="E86" i="139"/>
  <c r="C46" i="139"/>
  <c r="C41" i="139"/>
  <c r="C38" i="139"/>
  <c r="C36" i="139"/>
  <c r="AS61" i="138"/>
  <c r="AP42" i="138"/>
  <c r="AP38" i="138"/>
  <c r="AY50" i="138"/>
  <c r="AY49" i="138"/>
  <c r="Q30" i="107"/>
  <c r="K32" i="109"/>
  <c r="C105" i="109"/>
  <c r="C39" i="109"/>
  <c r="C14" i="109"/>
  <c r="C9" i="109"/>
  <c r="C13" i="109"/>
  <c r="C12" i="109"/>
  <c r="C86" i="109"/>
  <c r="C84" i="109"/>
  <c r="C102" i="109"/>
  <c r="C15" i="109"/>
  <c r="C75" i="109"/>
  <c r="C91" i="109"/>
  <c r="C79" i="109"/>
  <c r="C68" i="109"/>
  <c r="C92" i="109"/>
  <c r="C23" i="109"/>
  <c r="C80" i="109"/>
  <c r="C66" i="109"/>
  <c r="C69" i="109"/>
  <c r="C37" i="109"/>
  <c r="C87" i="109"/>
  <c r="C85" i="109"/>
  <c r="C40" i="109"/>
  <c r="C28" i="109"/>
  <c r="C43" i="109"/>
  <c r="C20" i="109"/>
  <c r="C88" i="109"/>
  <c r="C82" i="109"/>
  <c r="C58" i="109"/>
  <c r="C31" i="109"/>
  <c r="C70" i="109"/>
  <c r="C50" i="109"/>
  <c r="C18" i="109"/>
  <c r="C48" i="109"/>
  <c r="C29" i="109"/>
  <c r="C56" i="109"/>
  <c r="C26" i="109"/>
  <c r="C41" i="109"/>
  <c r="C101" i="109"/>
  <c r="C60" i="109"/>
  <c r="C47" i="109"/>
  <c r="C94" i="109"/>
  <c r="C57" i="109"/>
  <c r="C71" i="109"/>
  <c r="C44" i="109"/>
  <c r="C36" i="109"/>
  <c r="C98" i="109"/>
  <c r="C64" i="109"/>
  <c r="C46" i="109"/>
  <c r="C90" i="109"/>
  <c r="C96" i="109"/>
  <c r="C54" i="109"/>
  <c r="C83" i="109"/>
  <c r="C33" i="109"/>
  <c r="C21" i="109"/>
  <c r="C63" i="109"/>
  <c r="C30" i="109"/>
  <c r="C73" i="109"/>
  <c r="C78" i="109"/>
  <c r="C27" i="109"/>
  <c r="C81" i="109"/>
  <c r="C89" i="109"/>
  <c r="C100" i="109"/>
  <c r="C99" i="109"/>
  <c r="C51" i="109"/>
  <c r="C45" i="109"/>
  <c r="C52" i="109"/>
  <c r="C35" i="109"/>
  <c r="C77" i="109"/>
  <c r="C22" i="109"/>
  <c r="C67" i="109"/>
  <c r="C59" i="109"/>
  <c r="C24" i="109"/>
  <c r="C53" i="109"/>
  <c r="C19" i="109"/>
  <c r="C65" i="109"/>
  <c r="C17" i="109"/>
  <c r="C95" i="109"/>
  <c r="C25" i="109"/>
  <c r="C74" i="109"/>
  <c r="C62" i="109"/>
  <c r="C34" i="109"/>
  <c r="C11" i="109"/>
  <c r="C103" i="109"/>
  <c r="C61" i="109"/>
  <c r="C72" i="109"/>
  <c r="C16" i="109"/>
  <c r="C104" i="109"/>
  <c r="C76" i="109"/>
  <c r="C49" i="109"/>
  <c r="C93" i="109"/>
  <c r="C97" i="109"/>
  <c r="C42" i="109"/>
  <c r="C55" i="109"/>
  <c r="C32" i="109"/>
  <c r="C38" i="109"/>
  <c r="C10" i="109"/>
  <c r="BB68" i="138" l="1"/>
  <c r="AS63" i="138"/>
  <c r="D85" i="139"/>
  <c r="E85" i="139" s="1"/>
  <c r="BB35" i="138"/>
  <c r="BD40" i="138"/>
  <c r="BE70" i="138"/>
  <c r="BE71" i="138"/>
  <c r="E82" i="139"/>
  <c r="B85" i="139"/>
  <c r="C85" i="139" s="1"/>
  <c r="BE40" i="138" l="1"/>
  <c r="BE39" i="138"/>
  <c r="S55" i="109"/>
  <c r="S32" i="109"/>
  <c r="S38" i="109"/>
  <c r="Q55" i="109"/>
  <c r="Q32" i="109"/>
  <c r="Q38" i="109"/>
  <c r="M55" i="109"/>
  <c r="M32" i="109"/>
  <c r="M38" i="109"/>
  <c r="K55" i="109"/>
  <c r="K38" i="109"/>
  <c r="I55" i="109"/>
  <c r="I32" i="109"/>
  <c r="I38" i="109"/>
  <c r="D32" i="109"/>
  <c r="D34" i="52"/>
  <c r="S42" i="109"/>
  <c r="Q42" i="109"/>
  <c r="M42" i="109"/>
  <c r="K42" i="109"/>
  <c r="I42" i="109"/>
  <c r="D42" i="109"/>
  <c r="AH57" i="137"/>
  <c r="AH59" i="137"/>
  <c r="AH61" i="137"/>
  <c r="AH39" i="137"/>
  <c r="AH41" i="137"/>
  <c r="AH17" i="137"/>
  <c r="AH19" i="137"/>
  <c r="AH21" i="137"/>
  <c r="AH77" i="136"/>
  <c r="AH79" i="136"/>
  <c r="AH81" i="136"/>
  <c r="AH57" i="136"/>
  <c r="AH59" i="136"/>
  <c r="AH61" i="136"/>
  <c r="AH17" i="136"/>
  <c r="AH19" i="136"/>
  <c r="AH21" i="136"/>
  <c r="AA82" i="137"/>
  <c r="Y82" i="137"/>
  <c r="X82" i="137"/>
  <c r="V82" i="137"/>
  <c r="U82" i="137"/>
  <c r="S82" i="137"/>
  <c r="R82" i="137"/>
  <c r="P82" i="137"/>
  <c r="O82" i="137"/>
  <c r="M82" i="137"/>
  <c r="L82" i="137"/>
  <c r="J82" i="137"/>
  <c r="I82" i="137"/>
  <c r="G82" i="137"/>
  <c r="F82" i="137"/>
  <c r="D82" i="137"/>
  <c r="C82" i="137"/>
  <c r="AE81" i="137"/>
  <c r="Y81" i="137"/>
  <c r="V81" i="137"/>
  <c r="S81" i="137"/>
  <c r="P81" i="137"/>
  <c r="M81" i="137"/>
  <c r="J81" i="137"/>
  <c r="G81" i="137"/>
  <c r="D81" i="137"/>
  <c r="C81" i="137"/>
  <c r="AC80" i="137"/>
  <c r="Z82" i="137" s="1"/>
  <c r="X80" i="137"/>
  <c r="V80" i="137"/>
  <c r="U80" i="137"/>
  <c r="S80" i="137"/>
  <c r="R80" i="137"/>
  <c r="P80" i="137"/>
  <c r="O80" i="137"/>
  <c r="M80" i="137"/>
  <c r="L80" i="137"/>
  <c r="J80" i="137"/>
  <c r="I80" i="137"/>
  <c r="G80" i="137"/>
  <c r="F80" i="137"/>
  <c r="D80" i="137"/>
  <c r="C80" i="137"/>
  <c r="AE79" i="137"/>
  <c r="V79" i="137"/>
  <c r="S79" i="137"/>
  <c r="P79" i="137"/>
  <c r="M79" i="137"/>
  <c r="J79" i="137"/>
  <c r="G79" i="137"/>
  <c r="D79" i="137"/>
  <c r="C79" i="137"/>
  <c r="AC78" i="137"/>
  <c r="W82" i="137" s="1"/>
  <c r="Z78" i="137"/>
  <c r="W80" i="137" s="1"/>
  <c r="U78" i="137"/>
  <c r="S78" i="137"/>
  <c r="R78" i="137"/>
  <c r="P78" i="137"/>
  <c r="O78" i="137"/>
  <c r="M78" i="137"/>
  <c r="L78" i="137"/>
  <c r="J78" i="137"/>
  <c r="I78" i="137"/>
  <c r="G78" i="137"/>
  <c r="F78" i="137"/>
  <c r="D78" i="137"/>
  <c r="C78" i="137"/>
  <c r="S77" i="137"/>
  <c r="P77" i="137"/>
  <c r="M77" i="137"/>
  <c r="J77" i="137"/>
  <c r="G77" i="137"/>
  <c r="D77" i="137"/>
  <c r="C77" i="137"/>
  <c r="AC76" i="137"/>
  <c r="T82" i="137" s="1"/>
  <c r="Z76" i="137"/>
  <c r="T80" i="137" s="1"/>
  <c r="W76" i="137"/>
  <c r="T78" i="137" s="1"/>
  <c r="R76" i="137"/>
  <c r="P76" i="137"/>
  <c r="O76" i="137"/>
  <c r="M76" i="137"/>
  <c r="L76" i="137"/>
  <c r="J76" i="137"/>
  <c r="I76" i="137"/>
  <c r="G76" i="137"/>
  <c r="F76" i="137"/>
  <c r="D76" i="137"/>
  <c r="P75" i="137"/>
  <c r="M75" i="137"/>
  <c r="J75" i="137"/>
  <c r="G75" i="137"/>
  <c r="D75" i="137"/>
  <c r="C75" i="137"/>
  <c r="AC74" i="137"/>
  <c r="Q82" i="137" s="1"/>
  <c r="Z74" i="137"/>
  <c r="Q80" i="137" s="1"/>
  <c r="W74" i="137"/>
  <c r="Q78" i="137" s="1"/>
  <c r="T74" i="137"/>
  <c r="Q76" i="137" s="1"/>
  <c r="O74" i="137"/>
  <c r="M74" i="137"/>
  <c r="L74" i="137"/>
  <c r="J74" i="137"/>
  <c r="I74" i="137"/>
  <c r="G74" i="137"/>
  <c r="F74" i="137"/>
  <c r="D74" i="137"/>
  <c r="M73" i="137"/>
  <c r="J73" i="137"/>
  <c r="G73" i="137"/>
  <c r="D73" i="137"/>
  <c r="C73" i="137"/>
  <c r="AC72" i="137"/>
  <c r="N82" i="137" s="1"/>
  <c r="Z72" i="137"/>
  <c r="N80" i="137" s="1"/>
  <c r="W72" i="137"/>
  <c r="N78" i="137" s="1"/>
  <c r="T72" i="137"/>
  <c r="N76" i="137" s="1"/>
  <c r="Q72" i="137"/>
  <c r="N74" i="137" s="1"/>
  <c r="L72" i="137"/>
  <c r="J72" i="137"/>
  <c r="I72" i="137"/>
  <c r="G72" i="137"/>
  <c r="F72" i="137"/>
  <c r="D72" i="137"/>
  <c r="J71" i="137"/>
  <c r="G71" i="137"/>
  <c r="D71" i="137"/>
  <c r="C71" i="137"/>
  <c r="AC70" i="137"/>
  <c r="K82" i="137" s="1"/>
  <c r="Z70" i="137"/>
  <c r="K80" i="137" s="1"/>
  <c r="W70" i="137"/>
  <c r="K78" i="137" s="1"/>
  <c r="T70" i="137"/>
  <c r="K76" i="137" s="1"/>
  <c r="Q70" i="137"/>
  <c r="K74" i="137" s="1"/>
  <c r="N70" i="137"/>
  <c r="K72" i="137" s="1"/>
  <c r="I70" i="137"/>
  <c r="G70" i="137"/>
  <c r="F70" i="137"/>
  <c r="D70" i="137"/>
  <c r="G69" i="137"/>
  <c r="D69" i="137"/>
  <c r="AE69" i="137" s="1"/>
  <c r="C69" i="137"/>
  <c r="AC68" i="137"/>
  <c r="H82" i="137" s="1"/>
  <c r="Z68" i="137"/>
  <c r="H80" i="137" s="1"/>
  <c r="W68" i="137"/>
  <c r="H78" i="137" s="1"/>
  <c r="T68" i="137"/>
  <c r="Q68" i="137"/>
  <c r="H76" i="137" s="1"/>
  <c r="N68" i="137"/>
  <c r="H72" i="137" s="1"/>
  <c r="K68" i="137"/>
  <c r="H70" i="137" s="1"/>
  <c r="F68" i="137"/>
  <c r="E68" i="137"/>
  <c r="D68" i="137"/>
  <c r="D67" i="137"/>
  <c r="AE67" i="137" s="1"/>
  <c r="C67" i="137"/>
  <c r="AC66" i="137"/>
  <c r="E82" i="137" s="1"/>
  <c r="Z66" i="137"/>
  <c r="E80" i="137" s="1"/>
  <c r="W66" i="137"/>
  <c r="E78" i="137" s="1"/>
  <c r="T66" i="137"/>
  <c r="E76" i="137" s="1"/>
  <c r="Q66" i="137"/>
  <c r="E74" i="137" s="1"/>
  <c r="N66" i="137"/>
  <c r="E72" i="137" s="1"/>
  <c r="K66" i="137"/>
  <c r="E70" i="137" s="1"/>
  <c r="H66" i="137"/>
  <c r="AE65" i="137"/>
  <c r="C65" i="137"/>
  <c r="AA62" i="137"/>
  <c r="Y62" i="137"/>
  <c r="X62" i="137"/>
  <c r="V62" i="137"/>
  <c r="U62" i="137"/>
  <c r="S62" i="137"/>
  <c r="R62" i="137"/>
  <c r="P62" i="137"/>
  <c r="O62" i="137"/>
  <c r="M62" i="137"/>
  <c r="L62" i="137"/>
  <c r="J62" i="137"/>
  <c r="I62" i="137"/>
  <c r="G62" i="137"/>
  <c r="F62" i="137"/>
  <c r="D62" i="137"/>
  <c r="C62" i="137"/>
  <c r="AE61" i="137"/>
  <c r="Y61" i="137"/>
  <c r="V61" i="137"/>
  <c r="S61" i="137"/>
  <c r="P61" i="137"/>
  <c r="M61" i="137"/>
  <c r="J61" i="137"/>
  <c r="G61" i="137"/>
  <c r="D61" i="137"/>
  <c r="C61" i="137"/>
  <c r="AC60" i="137"/>
  <c r="Z62" i="137" s="1"/>
  <c r="X60" i="137"/>
  <c r="V60" i="137"/>
  <c r="U60" i="137"/>
  <c r="S60" i="137"/>
  <c r="R60" i="137"/>
  <c r="P60" i="137"/>
  <c r="O60" i="137"/>
  <c r="M60" i="137"/>
  <c r="L60" i="137"/>
  <c r="J60" i="137"/>
  <c r="I60" i="137"/>
  <c r="G60" i="137"/>
  <c r="F60" i="137"/>
  <c r="D60" i="137"/>
  <c r="C60" i="137"/>
  <c r="AE59" i="137"/>
  <c r="V59" i="137"/>
  <c r="S59" i="137"/>
  <c r="P59" i="137"/>
  <c r="M59" i="137"/>
  <c r="J59" i="137"/>
  <c r="G59" i="137"/>
  <c r="D59" i="137"/>
  <c r="C59" i="137"/>
  <c r="AC58" i="137"/>
  <c r="W62" i="137" s="1"/>
  <c r="Z58" i="137"/>
  <c r="W60" i="137" s="1"/>
  <c r="U58" i="137"/>
  <c r="S58" i="137"/>
  <c r="R58" i="137"/>
  <c r="P58" i="137"/>
  <c r="O58" i="137"/>
  <c r="M58" i="137"/>
  <c r="L58" i="137"/>
  <c r="J58" i="137"/>
  <c r="I58" i="137"/>
  <c r="G58" i="137"/>
  <c r="F58" i="137"/>
  <c r="D58" i="137"/>
  <c r="C58" i="137"/>
  <c r="AE57" i="137"/>
  <c r="S57" i="137"/>
  <c r="P57" i="137"/>
  <c r="M57" i="137"/>
  <c r="J57" i="137"/>
  <c r="G57" i="137"/>
  <c r="D57" i="137"/>
  <c r="C57" i="137"/>
  <c r="AC56" i="137"/>
  <c r="T62" i="137" s="1"/>
  <c r="Z56" i="137"/>
  <c r="T60" i="137" s="1"/>
  <c r="W56" i="137"/>
  <c r="T58" i="137" s="1"/>
  <c r="R56" i="137"/>
  <c r="P56" i="137"/>
  <c r="O56" i="137"/>
  <c r="M56" i="137"/>
  <c r="L56" i="137"/>
  <c r="J56" i="137"/>
  <c r="I56" i="137"/>
  <c r="G56" i="137"/>
  <c r="F56" i="137"/>
  <c r="D56" i="137"/>
  <c r="P55" i="137"/>
  <c r="M55" i="137"/>
  <c r="J55" i="137"/>
  <c r="G55" i="137"/>
  <c r="D55" i="137"/>
  <c r="C55" i="137"/>
  <c r="AC54" i="137"/>
  <c r="Q62" i="137" s="1"/>
  <c r="Z54" i="137"/>
  <c r="Q60" i="137" s="1"/>
  <c r="W54" i="137"/>
  <c r="Q58" i="137" s="1"/>
  <c r="T54" i="137"/>
  <c r="Q56" i="137" s="1"/>
  <c r="O54" i="137"/>
  <c r="M54" i="137"/>
  <c r="L54" i="137"/>
  <c r="J54" i="137"/>
  <c r="I54" i="137"/>
  <c r="G54" i="137"/>
  <c r="F54" i="137"/>
  <c r="D54" i="137"/>
  <c r="M53" i="137"/>
  <c r="J53" i="137"/>
  <c r="G53" i="137"/>
  <c r="AE53" i="137" s="1"/>
  <c r="D53" i="137"/>
  <c r="C53" i="137"/>
  <c r="AC52" i="137"/>
  <c r="N62" i="137" s="1"/>
  <c r="Z52" i="137"/>
  <c r="N60" i="137" s="1"/>
  <c r="W52" i="137"/>
  <c r="N58" i="137" s="1"/>
  <c r="T52" i="137"/>
  <c r="N56" i="137" s="1"/>
  <c r="Q52" i="137"/>
  <c r="N54" i="137" s="1"/>
  <c r="L52" i="137"/>
  <c r="J52" i="137"/>
  <c r="I52" i="137"/>
  <c r="G52" i="137"/>
  <c r="F52" i="137"/>
  <c r="D52" i="137"/>
  <c r="J51" i="137"/>
  <c r="G51" i="137"/>
  <c r="D51" i="137"/>
  <c r="C51" i="137"/>
  <c r="AC50" i="137"/>
  <c r="K62" i="137" s="1"/>
  <c r="Z50" i="137"/>
  <c r="K60" i="137" s="1"/>
  <c r="W50" i="137"/>
  <c r="K58" i="137" s="1"/>
  <c r="T50" i="137"/>
  <c r="K56" i="137" s="1"/>
  <c r="Q50" i="137"/>
  <c r="K54" i="137" s="1"/>
  <c r="N50" i="137"/>
  <c r="K52" i="137" s="1"/>
  <c r="I50" i="137"/>
  <c r="G50" i="137"/>
  <c r="F50" i="137"/>
  <c r="D50" i="137"/>
  <c r="G49" i="137"/>
  <c r="D49" i="137"/>
  <c r="C49" i="137"/>
  <c r="AC48" i="137"/>
  <c r="H62" i="137" s="1"/>
  <c r="Z48" i="137"/>
  <c r="H60" i="137" s="1"/>
  <c r="W48" i="137"/>
  <c r="H58" i="137" s="1"/>
  <c r="T48" i="137"/>
  <c r="H56" i="137" s="1"/>
  <c r="Q48" i="137"/>
  <c r="N48" i="137"/>
  <c r="H52" i="137" s="1"/>
  <c r="K48" i="137"/>
  <c r="H50" i="137" s="1"/>
  <c r="F48" i="137"/>
  <c r="E48" i="137"/>
  <c r="D48" i="137"/>
  <c r="D47" i="137"/>
  <c r="AE47" i="137" s="1"/>
  <c r="C47" i="137"/>
  <c r="AC46" i="137"/>
  <c r="E62" i="137" s="1"/>
  <c r="Z46" i="137"/>
  <c r="E60" i="137" s="1"/>
  <c r="W46" i="137"/>
  <c r="E58" i="137" s="1"/>
  <c r="T46" i="137"/>
  <c r="E56" i="137" s="1"/>
  <c r="Q46" i="137"/>
  <c r="E54" i="137" s="1"/>
  <c r="N46" i="137"/>
  <c r="E52" i="137" s="1"/>
  <c r="K46" i="137"/>
  <c r="E50" i="137" s="1"/>
  <c r="H46" i="137"/>
  <c r="AE45" i="137"/>
  <c r="C45" i="137"/>
  <c r="AA42" i="137"/>
  <c r="Y42" i="137"/>
  <c r="X42" i="137"/>
  <c r="V42" i="137"/>
  <c r="U42" i="137"/>
  <c r="S42" i="137"/>
  <c r="R42" i="137"/>
  <c r="P42" i="137"/>
  <c r="O42" i="137"/>
  <c r="M42" i="137"/>
  <c r="L42" i="137"/>
  <c r="J42" i="137"/>
  <c r="I42" i="137"/>
  <c r="G42" i="137"/>
  <c r="F42" i="137"/>
  <c r="D42" i="137"/>
  <c r="C42" i="137"/>
  <c r="AE41" i="137"/>
  <c r="Y41" i="137"/>
  <c r="V41" i="137"/>
  <c r="S41" i="137"/>
  <c r="P41" i="137"/>
  <c r="M41" i="137"/>
  <c r="J41" i="137"/>
  <c r="G41" i="137"/>
  <c r="D41" i="137"/>
  <c r="C41" i="137"/>
  <c r="AC40" i="137"/>
  <c r="Z42" i="137" s="1"/>
  <c r="X40" i="137"/>
  <c r="V40" i="137"/>
  <c r="U40" i="137"/>
  <c r="S40" i="137"/>
  <c r="R40" i="137"/>
  <c r="P40" i="137"/>
  <c r="O40" i="137"/>
  <c r="M40" i="137"/>
  <c r="L40" i="137"/>
  <c r="J40" i="137"/>
  <c r="I40" i="137"/>
  <c r="G40" i="137"/>
  <c r="F40" i="137"/>
  <c r="D40" i="137"/>
  <c r="C40" i="137"/>
  <c r="AE39" i="137"/>
  <c r="V39" i="137"/>
  <c r="S39" i="137"/>
  <c r="P39" i="137"/>
  <c r="M39" i="137"/>
  <c r="J39" i="137"/>
  <c r="G39" i="137"/>
  <c r="D39" i="137"/>
  <c r="C39" i="137"/>
  <c r="AC38" i="137"/>
  <c r="W42" i="137" s="1"/>
  <c r="Z38" i="137"/>
  <c r="W40" i="137" s="1"/>
  <c r="U38" i="137"/>
  <c r="S38" i="137"/>
  <c r="R38" i="137"/>
  <c r="P38" i="137"/>
  <c r="O38" i="137"/>
  <c r="M38" i="137"/>
  <c r="L38" i="137"/>
  <c r="J38" i="137"/>
  <c r="I38" i="137"/>
  <c r="G38" i="137"/>
  <c r="F38" i="137"/>
  <c r="D38" i="137"/>
  <c r="C38" i="137"/>
  <c r="S37" i="137"/>
  <c r="P37" i="137"/>
  <c r="M37" i="137"/>
  <c r="J37" i="137"/>
  <c r="G37" i="137"/>
  <c r="D37" i="137"/>
  <c r="C37" i="137"/>
  <c r="AC36" i="137"/>
  <c r="T42" i="137" s="1"/>
  <c r="Z36" i="137"/>
  <c r="T40" i="137" s="1"/>
  <c r="W36" i="137"/>
  <c r="T38" i="137" s="1"/>
  <c r="R36" i="137"/>
  <c r="P36" i="137"/>
  <c r="O36" i="137"/>
  <c r="M36" i="137"/>
  <c r="L36" i="137"/>
  <c r="J36" i="137"/>
  <c r="I36" i="137"/>
  <c r="G36" i="137"/>
  <c r="F36" i="137"/>
  <c r="D36" i="137"/>
  <c r="P35" i="137"/>
  <c r="M35" i="137"/>
  <c r="J35" i="137"/>
  <c r="G35" i="137"/>
  <c r="D35" i="137"/>
  <c r="C35" i="137"/>
  <c r="AC34" i="137"/>
  <c r="Q42" i="137" s="1"/>
  <c r="Z34" i="137"/>
  <c r="Q40" i="137" s="1"/>
  <c r="W34" i="137"/>
  <c r="Q38" i="137" s="1"/>
  <c r="T34" i="137"/>
  <c r="Q36" i="137" s="1"/>
  <c r="O34" i="137"/>
  <c r="M34" i="137"/>
  <c r="L34" i="137"/>
  <c r="K34" i="137"/>
  <c r="J34" i="137"/>
  <c r="I34" i="137"/>
  <c r="G34" i="137"/>
  <c r="F34" i="137"/>
  <c r="D34" i="137"/>
  <c r="M33" i="137"/>
  <c r="J33" i="137"/>
  <c r="G33" i="137"/>
  <c r="D33" i="137"/>
  <c r="C33" i="137"/>
  <c r="AC32" i="137"/>
  <c r="N42" i="137" s="1"/>
  <c r="Z32" i="137"/>
  <c r="N40" i="137" s="1"/>
  <c r="W32" i="137"/>
  <c r="N38" i="137" s="1"/>
  <c r="T32" i="137"/>
  <c r="N36" i="137" s="1"/>
  <c r="Q32" i="137"/>
  <c r="N34" i="137" s="1"/>
  <c r="L32" i="137"/>
  <c r="J32" i="137"/>
  <c r="I32" i="137"/>
  <c r="G32" i="137"/>
  <c r="F32" i="137"/>
  <c r="D32" i="137"/>
  <c r="J31" i="137"/>
  <c r="G31" i="137"/>
  <c r="D31" i="137"/>
  <c r="C31" i="137"/>
  <c r="AC30" i="137"/>
  <c r="K42" i="137" s="1"/>
  <c r="Z30" i="137"/>
  <c r="K40" i="137" s="1"/>
  <c r="W30" i="137"/>
  <c r="K38" i="137" s="1"/>
  <c r="T30" i="137"/>
  <c r="K36" i="137" s="1"/>
  <c r="N30" i="137"/>
  <c r="K32" i="137" s="1"/>
  <c r="I30" i="137"/>
  <c r="G30" i="137"/>
  <c r="F30" i="137"/>
  <c r="D30" i="137"/>
  <c r="G29" i="137"/>
  <c r="D29" i="137"/>
  <c r="AE29" i="137" s="1"/>
  <c r="C29" i="137"/>
  <c r="AC28" i="137"/>
  <c r="H42" i="137" s="1"/>
  <c r="Z28" i="137"/>
  <c r="H40" i="137" s="1"/>
  <c r="W28" i="137"/>
  <c r="H38" i="137" s="1"/>
  <c r="T28" i="137"/>
  <c r="Q28" i="137"/>
  <c r="H36" i="137" s="1"/>
  <c r="N28" i="137"/>
  <c r="H32" i="137" s="1"/>
  <c r="K28" i="137"/>
  <c r="H30" i="137" s="1"/>
  <c r="F28" i="137"/>
  <c r="E28" i="137"/>
  <c r="D28" i="137"/>
  <c r="D27" i="137"/>
  <c r="AE27" i="137" s="1"/>
  <c r="C27" i="137"/>
  <c r="AC26" i="137"/>
  <c r="E42" i="137" s="1"/>
  <c r="Z26" i="137"/>
  <c r="E40" i="137" s="1"/>
  <c r="W26" i="137"/>
  <c r="E38" i="137" s="1"/>
  <c r="T26" i="137"/>
  <c r="E36" i="137" s="1"/>
  <c r="Q26" i="137"/>
  <c r="E34" i="137" s="1"/>
  <c r="N26" i="137"/>
  <c r="E32" i="137" s="1"/>
  <c r="K26" i="137"/>
  <c r="E30" i="137" s="1"/>
  <c r="H26" i="137"/>
  <c r="AE25" i="137"/>
  <c r="C25" i="137"/>
  <c r="AA22" i="137"/>
  <c r="Y22" i="137"/>
  <c r="X22" i="137"/>
  <c r="V22" i="137"/>
  <c r="U22" i="137"/>
  <c r="S22" i="137"/>
  <c r="R22" i="137"/>
  <c r="P22" i="137"/>
  <c r="O22" i="137"/>
  <c r="M22" i="137"/>
  <c r="L22" i="137"/>
  <c r="J22" i="137"/>
  <c r="I22" i="137"/>
  <c r="G22" i="137"/>
  <c r="F22" i="137"/>
  <c r="D22" i="137"/>
  <c r="C22" i="137"/>
  <c r="AE21" i="137"/>
  <c r="Y21" i="137"/>
  <c r="V21" i="137"/>
  <c r="S21" i="137"/>
  <c r="P21" i="137"/>
  <c r="M21" i="137"/>
  <c r="J21" i="137"/>
  <c r="G21" i="137"/>
  <c r="D21" i="137"/>
  <c r="C21" i="137"/>
  <c r="AC20" i="137"/>
  <c r="Z22" i="137" s="1"/>
  <c r="X20" i="137"/>
  <c r="V20" i="137"/>
  <c r="U20" i="137"/>
  <c r="S20" i="137"/>
  <c r="R20" i="137"/>
  <c r="P20" i="137"/>
  <c r="O20" i="137"/>
  <c r="M20" i="137"/>
  <c r="L20" i="137"/>
  <c r="J20" i="137"/>
  <c r="I20" i="137"/>
  <c r="G20" i="137"/>
  <c r="F20" i="137"/>
  <c r="D20" i="137"/>
  <c r="C20" i="137"/>
  <c r="AE19" i="137"/>
  <c r="V19" i="137"/>
  <c r="S19" i="137"/>
  <c r="P19" i="137"/>
  <c r="M19" i="137"/>
  <c r="J19" i="137"/>
  <c r="G19" i="137"/>
  <c r="D19" i="137"/>
  <c r="C19" i="137"/>
  <c r="AC18" i="137"/>
  <c r="W22" i="137" s="1"/>
  <c r="Z18" i="137"/>
  <c r="W20" i="137" s="1"/>
  <c r="U18" i="137"/>
  <c r="S18" i="137"/>
  <c r="R18" i="137"/>
  <c r="P18" i="137"/>
  <c r="O18" i="137"/>
  <c r="M18" i="137"/>
  <c r="L18" i="137"/>
  <c r="J18" i="137"/>
  <c r="I18" i="137"/>
  <c r="G18" i="137"/>
  <c r="F18" i="137"/>
  <c r="D18" i="137"/>
  <c r="C18" i="137"/>
  <c r="AE17" i="137"/>
  <c r="S17" i="137"/>
  <c r="P17" i="137"/>
  <c r="M17" i="137"/>
  <c r="J17" i="137"/>
  <c r="G17" i="137"/>
  <c r="D17" i="137"/>
  <c r="C17" i="137"/>
  <c r="AC16" i="137"/>
  <c r="T22" i="137" s="1"/>
  <c r="Z16" i="137"/>
  <c r="T20" i="137" s="1"/>
  <c r="W16" i="137"/>
  <c r="T18" i="137" s="1"/>
  <c r="R16" i="137"/>
  <c r="P16" i="137"/>
  <c r="O16" i="137"/>
  <c r="M16" i="137"/>
  <c r="L16" i="137"/>
  <c r="J16" i="137"/>
  <c r="I16" i="137"/>
  <c r="G16" i="137"/>
  <c r="F16" i="137"/>
  <c r="D16" i="137"/>
  <c r="P15" i="137"/>
  <c r="M15" i="137"/>
  <c r="J15" i="137"/>
  <c r="G15" i="137"/>
  <c r="D15" i="137"/>
  <c r="C15" i="137"/>
  <c r="AC14" i="137"/>
  <c r="Q22" i="137" s="1"/>
  <c r="Z14" i="137"/>
  <c r="Q20" i="137" s="1"/>
  <c r="W14" i="137"/>
  <c r="Q18" i="137" s="1"/>
  <c r="T14" i="137"/>
  <c r="Q16" i="137" s="1"/>
  <c r="O14" i="137"/>
  <c r="M14" i="137"/>
  <c r="L14" i="137"/>
  <c r="J14" i="137"/>
  <c r="I14" i="137"/>
  <c r="G14" i="137"/>
  <c r="F14" i="137"/>
  <c r="D14" i="137"/>
  <c r="M13" i="137"/>
  <c r="J13" i="137"/>
  <c r="G13" i="137"/>
  <c r="D13" i="137"/>
  <c r="C13" i="137"/>
  <c r="AC12" i="137"/>
  <c r="N22" i="137" s="1"/>
  <c r="Z12" i="137"/>
  <c r="N20" i="137" s="1"/>
  <c r="W12" i="137"/>
  <c r="N18" i="137" s="1"/>
  <c r="T12" i="137"/>
  <c r="N16" i="137" s="1"/>
  <c r="Q12" i="137"/>
  <c r="N14" i="137" s="1"/>
  <c r="L12" i="137"/>
  <c r="J12" i="137"/>
  <c r="I12" i="137"/>
  <c r="G12" i="137"/>
  <c r="F12" i="137"/>
  <c r="D12" i="137"/>
  <c r="J11" i="137"/>
  <c r="G11" i="137"/>
  <c r="D11" i="137"/>
  <c r="C11" i="137"/>
  <c r="AC10" i="137"/>
  <c r="K22" i="137" s="1"/>
  <c r="Z10" i="137"/>
  <c r="K20" i="137" s="1"/>
  <c r="W10" i="137"/>
  <c r="K18" i="137" s="1"/>
  <c r="T10" i="137"/>
  <c r="K16" i="137" s="1"/>
  <c r="Q10" i="137"/>
  <c r="K14" i="137" s="1"/>
  <c r="N10" i="137"/>
  <c r="K12" i="137" s="1"/>
  <c r="I10" i="137"/>
  <c r="G10" i="137"/>
  <c r="F10" i="137"/>
  <c r="D10" i="137"/>
  <c r="G9" i="137"/>
  <c r="D9" i="137"/>
  <c r="C9" i="137"/>
  <c r="AC8" i="137"/>
  <c r="H22" i="137" s="1"/>
  <c r="Z8" i="137"/>
  <c r="H20" i="137" s="1"/>
  <c r="W8" i="137"/>
  <c r="H18" i="137" s="1"/>
  <c r="T8" i="137"/>
  <c r="H16" i="137" s="1"/>
  <c r="Q8" i="137"/>
  <c r="H14" i="137" s="1"/>
  <c r="N8" i="137"/>
  <c r="H12" i="137" s="1"/>
  <c r="K8" i="137"/>
  <c r="H10" i="137" s="1"/>
  <c r="F8" i="137"/>
  <c r="E8" i="137"/>
  <c r="D8" i="137"/>
  <c r="D7" i="137"/>
  <c r="AE7" i="137" s="1"/>
  <c r="C7" i="137"/>
  <c r="AC6" i="137"/>
  <c r="E22" i="137" s="1"/>
  <c r="Z6" i="137"/>
  <c r="E20" i="137" s="1"/>
  <c r="W6" i="137"/>
  <c r="E18" i="137" s="1"/>
  <c r="T6" i="137"/>
  <c r="E16" i="137" s="1"/>
  <c r="Q6" i="137"/>
  <c r="E14" i="137" s="1"/>
  <c r="N6" i="137"/>
  <c r="E12" i="137" s="1"/>
  <c r="K6" i="137"/>
  <c r="E10" i="137" s="1"/>
  <c r="H6" i="137"/>
  <c r="AE5" i="137"/>
  <c r="C5" i="137"/>
  <c r="C2" i="137"/>
  <c r="C1" i="137"/>
  <c r="AA82" i="136"/>
  <c r="Y82" i="136"/>
  <c r="X82" i="136"/>
  <c r="V82" i="136"/>
  <c r="U82" i="136"/>
  <c r="S82" i="136"/>
  <c r="R82" i="136"/>
  <c r="P82" i="136"/>
  <c r="O82" i="136"/>
  <c r="M82" i="136"/>
  <c r="L82" i="136"/>
  <c r="J82" i="136"/>
  <c r="I82" i="136"/>
  <c r="G82" i="136"/>
  <c r="F82" i="136"/>
  <c r="D82" i="136"/>
  <c r="C82" i="136"/>
  <c r="AE81" i="136"/>
  <c r="Y81" i="136"/>
  <c r="V81" i="136"/>
  <c r="S81" i="136"/>
  <c r="P81" i="136"/>
  <c r="M81" i="136"/>
  <c r="J81" i="136"/>
  <c r="G81" i="136"/>
  <c r="D81" i="136"/>
  <c r="C81" i="136"/>
  <c r="AC80" i="136"/>
  <c r="Z82" i="136" s="1"/>
  <c r="X80" i="136"/>
  <c r="V80" i="136"/>
  <c r="U80" i="136"/>
  <c r="S80" i="136"/>
  <c r="R80" i="136"/>
  <c r="P80" i="136"/>
  <c r="O80" i="136"/>
  <c r="M80" i="136"/>
  <c r="L80" i="136"/>
  <c r="J80" i="136"/>
  <c r="I80" i="136"/>
  <c r="G80" i="136"/>
  <c r="F80" i="136"/>
  <c r="D80" i="136"/>
  <c r="C80" i="136"/>
  <c r="AE79" i="136"/>
  <c r="V79" i="136"/>
  <c r="S79" i="136"/>
  <c r="P79" i="136"/>
  <c r="M79" i="136"/>
  <c r="J79" i="136"/>
  <c r="G79" i="136"/>
  <c r="D79" i="136"/>
  <c r="C79" i="136"/>
  <c r="AC78" i="136"/>
  <c r="W82" i="136" s="1"/>
  <c r="Z78" i="136"/>
  <c r="W80" i="136" s="1"/>
  <c r="U78" i="136"/>
  <c r="S78" i="136"/>
  <c r="R78" i="136"/>
  <c r="P78" i="136"/>
  <c r="O78" i="136"/>
  <c r="M78" i="136"/>
  <c r="L78" i="136"/>
  <c r="J78" i="136"/>
  <c r="I78" i="136"/>
  <c r="G78" i="136"/>
  <c r="F78" i="136"/>
  <c r="D78" i="136"/>
  <c r="C78" i="136"/>
  <c r="AE77" i="136"/>
  <c r="S77" i="136"/>
  <c r="P77" i="136"/>
  <c r="M77" i="136"/>
  <c r="J77" i="136"/>
  <c r="G77" i="136"/>
  <c r="D77" i="136"/>
  <c r="C77" i="136"/>
  <c r="AC76" i="136"/>
  <c r="T82" i="136" s="1"/>
  <c r="Z76" i="136"/>
  <c r="T80" i="136" s="1"/>
  <c r="W76" i="136"/>
  <c r="T78" i="136" s="1"/>
  <c r="R76" i="136"/>
  <c r="P76" i="136"/>
  <c r="O76" i="136"/>
  <c r="M76" i="136"/>
  <c r="L76" i="136"/>
  <c r="J76" i="136"/>
  <c r="I76" i="136"/>
  <c r="G76" i="136"/>
  <c r="F76" i="136"/>
  <c r="D76" i="136"/>
  <c r="P75" i="136"/>
  <c r="M75" i="136"/>
  <c r="J75" i="136"/>
  <c r="G75" i="136"/>
  <c r="D75" i="136"/>
  <c r="C75" i="136"/>
  <c r="AC74" i="136"/>
  <c r="Q82" i="136" s="1"/>
  <c r="Z74" i="136"/>
  <c r="Q80" i="136" s="1"/>
  <c r="W74" i="136"/>
  <c r="Q78" i="136" s="1"/>
  <c r="T74" i="136"/>
  <c r="Q76" i="136" s="1"/>
  <c r="O74" i="136"/>
  <c r="M74" i="136"/>
  <c r="L74" i="136"/>
  <c r="J74" i="136"/>
  <c r="I74" i="136"/>
  <c r="G74" i="136"/>
  <c r="F74" i="136"/>
  <c r="D74" i="136"/>
  <c r="M73" i="136"/>
  <c r="J73" i="136"/>
  <c r="G73" i="136"/>
  <c r="D73" i="136"/>
  <c r="C73" i="136"/>
  <c r="AC72" i="136"/>
  <c r="N82" i="136" s="1"/>
  <c r="Z72" i="136"/>
  <c r="N80" i="136" s="1"/>
  <c r="W72" i="136"/>
  <c r="N78" i="136" s="1"/>
  <c r="T72" i="136"/>
  <c r="N76" i="136" s="1"/>
  <c r="Q72" i="136"/>
  <c r="N74" i="136" s="1"/>
  <c r="L72" i="136"/>
  <c r="J72" i="136"/>
  <c r="I72" i="136"/>
  <c r="G72" i="136"/>
  <c r="F72" i="136"/>
  <c r="D72" i="136"/>
  <c r="J71" i="136"/>
  <c r="G71" i="136"/>
  <c r="D71" i="136"/>
  <c r="C71" i="136"/>
  <c r="AC70" i="136"/>
  <c r="K82" i="136" s="1"/>
  <c r="Z70" i="136"/>
  <c r="K80" i="136" s="1"/>
  <c r="W70" i="136"/>
  <c r="K78" i="136" s="1"/>
  <c r="T70" i="136"/>
  <c r="K76" i="136" s="1"/>
  <c r="Q70" i="136"/>
  <c r="K74" i="136" s="1"/>
  <c r="N70" i="136"/>
  <c r="K72" i="136" s="1"/>
  <c r="I70" i="136"/>
  <c r="G70" i="136"/>
  <c r="F70" i="136"/>
  <c r="D70" i="136"/>
  <c r="G69" i="136"/>
  <c r="D69" i="136"/>
  <c r="C69" i="136"/>
  <c r="AC68" i="136"/>
  <c r="H82" i="136" s="1"/>
  <c r="Z68" i="136"/>
  <c r="H80" i="136" s="1"/>
  <c r="W68" i="136"/>
  <c r="H78" i="136" s="1"/>
  <c r="T68" i="136"/>
  <c r="Q68" i="136"/>
  <c r="H76" i="136" s="1"/>
  <c r="N68" i="136"/>
  <c r="H72" i="136" s="1"/>
  <c r="K68" i="136"/>
  <c r="H70" i="136" s="1"/>
  <c r="F68" i="136"/>
  <c r="E68" i="136"/>
  <c r="D68" i="136"/>
  <c r="D67" i="136"/>
  <c r="AE67" i="136" s="1"/>
  <c r="C67" i="136"/>
  <c r="AC66" i="136"/>
  <c r="E82" i="136" s="1"/>
  <c r="Z66" i="136"/>
  <c r="E80" i="136" s="1"/>
  <c r="W66" i="136"/>
  <c r="E78" i="136" s="1"/>
  <c r="T66" i="136"/>
  <c r="E76" i="136" s="1"/>
  <c r="Q66" i="136"/>
  <c r="E74" i="136" s="1"/>
  <c r="N66" i="136"/>
  <c r="E72" i="136" s="1"/>
  <c r="K66" i="136"/>
  <c r="E70" i="136" s="1"/>
  <c r="H66" i="136"/>
  <c r="AE65" i="136"/>
  <c r="C65" i="136"/>
  <c r="AA62" i="136"/>
  <c r="Y62" i="136"/>
  <c r="X62" i="136"/>
  <c r="V62" i="136"/>
  <c r="U62" i="136"/>
  <c r="S62" i="136"/>
  <c r="R62" i="136"/>
  <c r="P62" i="136"/>
  <c r="O62" i="136"/>
  <c r="M62" i="136"/>
  <c r="L62" i="136"/>
  <c r="J62" i="136"/>
  <c r="I62" i="136"/>
  <c r="G62" i="136"/>
  <c r="F62" i="136"/>
  <c r="D62" i="136"/>
  <c r="C62" i="136"/>
  <c r="AE61" i="136"/>
  <c r="Y61" i="136"/>
  <c r="V61" i="136"/>
  <c r="S61" i="136"/>
  <c r="P61" i="136"/>
  <c r="M61" i="136"/>
  <c r="J61" i="136"/>
  <c r="G61" i="136"/>
  <c r="D61" i="136"/>
  <c r="C61" i="136"/>
  <c r="AC60" i="136"/>
  <c r="Z62" i="136" s="1"/>
  <c r="X60" i="136"/>
  <c r="V60" i="136"/>
  <c r="U60" i="136"/>
  <c r="S60" i="136"/>
  <c r="R60" i="136"/>
  <c r="P60" i="136"/>
  <c r="O60" i="136"/>
  <c r="M60" i="136"/>
  <c r="L60" i="136"/>
  <c r="J60" i="136"/>
  <c r="I60" i="136"/>
  <c r="G60" i="136"/>
  <c r="F60" i="136"/>
  <c r="D60" i="136"/>
  <c r="C60" i="136"/>
  <c r="AE59" i="136"/>
  <c r="V59" i="136"/>
  <c r="S59" i="136"/>
  <c r="P59" i="136"/>
  <c r="M59" i="136"/>
  <c r="J59" i="136"/>
  <c r="G59" i="136"/>
  <c r="D59" i="136"/>
  <c r="C59" i="136"/>
  <c r="AC58" i="136"/>
  <c r="W62" i="136" s="1"/>
  <c r="Z58" i="136"/>
  <c r="W60" i="136" s="1"/>
  <c r="U58" i="136"/>
  <c r="S58" i="136"/>
  <c r="R58" i="136"/>
  <c r="P58" i="136"/>
  <c r="O58" i="136"/>
  <c r="M58" i="136"/>
  <c r="L58" i="136"/>
  <c r="J58" i="136"/>
  <c r="I58" i="136"/>
  <c r="G58" i="136"/>
  <c r="F58" i="136"/>
  <c r="D58" i="136"/>
  <c r="C58" i="136"/>
  <c r="AE57" i="136"/>
  <c r="S57" i="136"/>
  <c r="P57" i="136"/>
  <c r="M57" i="136"/>
  <c r="J57" i="136"/>
  <c r="G57" i="136"/>
  <c r="D57" i="136"/>
  <c r="C57" i="136"/>
  <c r="AC56" i="136"/>
  <c r="T62" i="136" s="1"/>
  <c r="Z56" i="136"/>
  <c r="T60" i="136" s="1"/>
  <c r="W56" i="136"/>
  <c r="T58" i="136" s="1"/>
  <c r="R56" i="136"/>
  <c r="P56" i="136"/>
  <c r="O56" i="136"/>
  <c r="M56" i="136"/>
  <c r="L56" i="136"/>
  <c r="J56" i="136"/>
  <c r="I56" i="136"/>
  <c r="G56" i="136"/>
  <c r="F56" i="136"/>
  <c r="D56" i="136"/>
  <c r="P55" i="136"/>
  <c r="M55" i="136"/>
  <c r="J55" i="136"/>
  <c r="G55" i="136"/>
  <c r="D55" i="136"/>
  <c r="C55" i="136"/>
  <c r="AC54" i="136"/>
  <c r="Q62" i="136" s="1"/>
  <c r="Z54" i="136"/>
  <c r="Q60" i="136" s="1"/>
  <c r="W54" i="136"/>
  <c r="Q58" i="136" s="1"/>
  <c r="T54" i="136"/>
  <c r="Q56" i="136" s="1"/>
  <c r="O54" i="136"/>
  <c r="M54" i="136"/>
  <c r="L54" i="136"/>
  <c r="J54" i="136"/>
  <c r="I54" i="136"/>
  <c r="G54" i="136"/>
  <c r="F54" i="136"/>
  <c r="D54" i="136"/>
  <c r="M53" i="136"/>
  <c r="J53" i="136"/>
  <c r="G53" i="136"/>
  <c r="D53" i="136"/>
  <c r="C53" i="136"/>
  <c r="AC52" i="136"/>
  <c r="N62" i="136" s="1"/>
  <c r="Z52" i="136"/>
  <c r="N60" i="136" s="1"/>
  <c r="W52" i="136"/>
  <c r="N58" i="136" s="1"/>
  <c r="T52" i="136"/>
  <c r="N56" i="136" s="1"/>
  <c r="Q52" i="136"/>
  <c r="N54" i="136" s="1"/>
  <c r="L52" i="136"/>
  <c r="J52" i="136"/>
  <c r="I52" i="136"/>
  <c r="G52" i="136"/>
  <c r="F52" i="136"/>
  <c r="D52" i="136"/>
  <c r="J51" i="136"/>
  <c r="G51" i="136"/>
  <c r="D51" i="136"/>
  <c r="C51" i="136"/>
  <c r="AC50" i="136"/>
  <c r="K62" i="136" s="1"/>
  <c r="Z50" i="136"/>
  <c r="K60" i="136" s="1"/>
  <c r="W50" i="136"/>
  <c r="K58" i="136" s="1"/>
  <c r="T50" i="136"/>
  <c r="K56" i="136" s="1"/>
  <c r="Q50" i="136"/>
  <c r="K54" i="136" s="1"/>
  <c r="N50" i="136"/>
  <c r="K52" i="136" s="1"/>
  <c r="I50" i="136"/>
  <c r="G50" i="136"/>
  <c r="F50" i="136"/>
  <c r="D50" i="136"/>
  <c r="G49" i="136"/>
  <c r="D49" i="136"/>
  <c r="C49" i="136"/>
  <c r="AC48" i="136"/>
  <c r="H62" i="136" s="1"/>
  <c r="Z48" i="136"/>
  <c r="H60" i="136" s="1"/>
  <c r="W48" i="136"/>
  <c r="H58" i="136" s="1"/>
  <c r="T48" i="136"/>
  <c r="Q48" i="136"/>
  <c r="H54" i="136" s="1"/>
  <c r="N48" i="136"/>
  <c r="H52" i="136" s="1"/>
  <c r="K48" i="136"/>
  <c r="H50" i="136" s="1"/>
  <c r="F48" i="136"/>
  <c r="E48" i="136"/>
  <c r="D48" i="136"/>
  <c r="D47" i="136"/>
  <c r="AE47" i="136" s="1"/>
  <c r="C47" i="136"/>
  <c r="AC46" i="136"/>
  <c r="E62" i="136" s="1"/>
  <c r="Z46" i="136"/>
  <c r="E60" i="136" s="1"/>
  <c r="W46" i="136"/>
  <c r="E58" i="136" s="1"/>
  <c r="T46" i="136"/>
  <c r="E56" i="136" s="1"/>
  <c r="Q46" i="136"/>
  <c r="E54" i="136" s="1"/>
  <c r="N46" i="136"/>
  <c r="E52" i="136" s="1"/>
  <c r="K46" i="136"/>
  <c r="E50" i="136" s="1"/>
  <c r="H46" i="136"/>
  <c r="AE45" i="136"/>
  <c r="C45" i="136"/>
  <c r="AA42" i="136"/>
  <c r="Y42" i="136"/>
  <c r="X42" i="136"/>
  <c r="V42" i="136"/>
  <c r="U42" i="136"/>
  <c r="S42" i="136"/>
  <c r="R42" i="136"/>
  <c r="P42" i="136"/>
  <c r="O42" i="136"/>
  <c r="M42" i="136"/>
  <c r="L42" i="136"/>
  <c r="J42" i="136"/>
  <c r="I42" i="136"/>
  <c r="G42" i="136"/>
  <c r="F42" i="136"/>
  <c r="D42" i="136"/>
  <c r="C42" i="136"/>
  <c r="AE41" i="136"/>
  <c r="Y41" i="136"/>
  <c r="V41" i="136"/>
  <c r="S41" i="136"/>
  <c r="P41" i="136"/>
  <c r="M41" i="136"/>
  <c r="J41" i="136"/>
  <c r="G41" i="136"/>
  <c r="D41" i="136"/>
  <c r="C41" i="136"/>
  <c r="AC40" i="136"/>
  <c r="Z42" i="136" s="1"/>
  <c r="X40" i="136"/>
  <c r="V40" i="136"/>
  <c r="U40" i="136"/>
  <c r="S40" i="136"/>
  <c r="R40" i="136"/>
  <c r="P40" i="136"/>
  <c r="O40" i="136"/>
  <c r="M40" i="136"/>
  <c r="L40" i="136"/>
  <c r="J40" i="136"/>
  <c r="I40" i="136"/>
  <c r="G40" i="136"/>
  <c r="F40" i="136"/>
  <c r="D40" i="136"/>
  <c r="C40" i="136"/>
  <c r="AE39" i="136"/>
  <c r="V39" i="136"/>
  <c r="S39" i="136"/>
  <c r="P39" i="136"/>
  <c r="M39" i="136"/>
  <c r="J39" i="136"/>
  <c r="G39" i="136"/>
  <c r="D39" i="136"/>
  <c r="C39" i="136"/>
  <c r="AC38" i="136"/>
  <c r="W42" i="136" s="1"/>
  <c r="Z38" i="136"/>
  <c r="W40" i="136" s="1"/>
  <c r="U38" i="136"/>
  <c r="S38" i="136"/>
  <c r="R38" i="136"/>
  <c r="P38" i="136"/>
  <c r="O38" i="136"/>
  <c r="M38" i="136"/>
  <c r="L38" i="136"/>
  <c r="J38" i="136"/>
  <c r="I38" i="136"/>
  <c r="G38" i="136"/>
  <c r="F38" i="136"/>
  <c r="D38" i="136"/>
  <c r="C38" i="136"/>
  <c r="AE37" i="136"/>
  <c r="S37" i="136"/>
  <c r="P37" i="136"/>
  <c r="M37" i="136"/>
  <c r="J37" i="136"/>
  <c r="G37" i="136"/>
  <c r="D37" i="136"/>
  <c r="C37" i="136"/>
  <c r="AC36" i="136"/>
  <c r="T42" i="136" s="1"/>
  <c r="Z36" i="136"/>
  <c r="T40" i="136" s="1"/>
  <c r="W36" i="136"/>
  <c r="T38" i="136" s="1"/>
  <c r="R36" i="136"/>
  <c r="P36" i="136"/>
  <c r="O36" i="136"/>
  <c r="M36" i="136"/>
  <c r="L36" i="136"/>
  <c r="J36" i="136"/>
  <c r="I36" i="136"/>
  <c r="G36" i="136"/>
  <c r="F36" i="136"/>
  <c r="D36" i="136"/>
  <c r="P35" i="136"/>
  <c r="M35" i="136"/>
  <c r="J35" i="136"/>
  <c r="G35" i="136"/>
  <c r="D35" i="136"/>
  <c r="C35" i="136"/>
  <c r="AC34" i="136"/>
  <c r="Q42" i="136" s="1"/>
  <c r="Z34" i="136"/>
  <c r="Q40" i="136" s="1"/>
  <c r="W34" i="136"/>
  <c r="Q38" i="136" s="1"/>
  <c r="T34" i="136"/>
  <c r="Q36" i="136" s="1"/>
  <c r="O34" i="136"/>
  <c r="M34" i="136"/>
  <c r="L34" i="136"/>
  <c r="K34" i="136"/>
  <c r="J34" i="136"/>
  <c r="I34" i="136"/>
  <c r="G34" i="136"/>
  <c r="F34" i="136"/>
  <c r="D34" i="136"/>
  <c r="M33" i="136"/>
  <c r="J33" i="136"/>
  <c r="G33" i="136"/>
  <c r="D33" i="136"/>
  <c r="C33" i="136"/>
  <c r="AC32" i="136"/>
  <c r="N42" i="136" s="1"/>
  <c r="Z32" i="136"/>
  <c r="N40" i="136" s="1"/>
  <c r="W32" i="136"/>
  <c r="N38" i="136" s="1"/>
  <c r="T32" i="136"/>
  <c r="N36" i="136" s="1"/>
  <c r="Q32" i="136"/>
  <c r="N34" i="136" s="1"/>
  <c r="L32" i="136"/>
  <c r="J32" i="136"/>
  <c r="I32" i="136"/>
  <c r="G32" i="136"/>
  <c r="F32" i="136"/>
  <c r="D32" i="136"/>
  <c r="J31" i="136"/>
  <c r="G31" i="136"/>
  <c r="D31" i="136"/>
  <c r="C31" i="136"/>
  <c r="AC30" i="136"/>
  <c r="K42" i="136" s="1"/>
  <c r="Z30" i="136"/>
  <c r="K40" i="136" s="1"/>
  <c r="W30" i="136"/>
  <c r="K38" i="136" s="1"/>
  <c r="T30" i="136"/>
  <c r="K36" i="136" s="1"/>
  <c r="N30" i="136"/>
  <c r="K32" i="136" s="1"/>
  <c r="I30" i="136"/>
  <c r="G30" i="136"/>
  <c r="F30" i="136"/>
  <c r="D30" i="136"/>
  <c r="G29" i="136"/>
  <c r="D29" i="136"/>
  <c r="C29" i="136"/>
  <c r="AC28" i="136"/>
  <c r="H42" i="136" s="1"/>
  <c r="Z28" i="136"/>
  <c r="H40" i="136" s="1"/>
  <c r="W28" i="136"/>
  <c r="H38" i="136" s="1"/>
  <c r="T28" i="136"/>
  <c r="Q28" i="136"/>
  <c r="H36" i="136" s="1"/>
  <c r="N28" i="136"/>
  <c r="H32" i="136" s="1"/>
  <c r="K28" i="136"/>
  <c r="H30" i="136" s="1"/>
  <c r="F28" i="136"/>
  <c r="E28" i="136"/>
  <c r="D28" i="136"/>
  <c r="D27" i="136"/>
  <c r="AE27" i="136" s="1"/>
  <c r="C27" i="136"/>
  <c r="AC26" i="136"/>
  <c r="E42" i="136" s="1"/>
  <c r="Z26" i="136"/>
  <c r="E40" i="136" s="1"/>
  <c r="W26" i="136"/>
  <c r="E38" i="136" s="1"/>
  <c r="T26" i="136"/>
  <c r="E36" i="136" s="1"/>
  <c r="Q26" i="136"/>
  <c r="E34" i="136" s="1"/>
  <c r="N26" i="136"/>
  <c r="E32" i="136" s="1"/>
  <c r="K26" i="136"/>
  <c r="E30" i="136" s="1"/>
  <c r="H26" i="136"/>
  <c r="AE25" i="136"/>
  <c r="C25" i="136"/>
  <c r="AA22" i="136"/>
  <c r="Y22" i="136"/>
  <c r="X22" i="136"/>
  <c r="V22" i="136"/>
  <c r="U22" i="136"/>
  <c r="S22" i="136"/>
  <c r="R22" i="136"/>
  <c r="P22" i="136"/>
  <c r="O22" i="136"/>
  <c r="M22" i="136"/>
  <c r="L22" i="136"/>
  <c r="J22" i="136"/>
  <c r="I22" i="136"/>
  <c r="G22" i="136"/>
  <c r="F22" i="136"/>
  <c r="D22" i="136"/>
  <c r="C22" i="136"/>
  <c r="AE21" i="136"/>
  <c r="Y21" i="136"/>
  <c r="V21" i="136"/>
  <c r="S21" i="136"/>
  <c r="P21" i="136"/>
  <c r="M21" i="136"/>
  <c r="J21" i="136"/>
  <c r="G21" i="136"/>
  <c r="D21" i="136"/>
  <c r="C21" i="136"/>
  <c r="AC20" i="136"/>
  <c r="Z22" i="136" s="1"/>
  <c r="X20" i="136"/>
  <c r="V20" i="136"/>
  <c r="U20" i="136"/>
  <c r="S20" i="136"/>
  <c r="R20" i="136"/>
  <c r="P20" i="136"/>
  <c r="O20" i="136"/>
  <c r="M20" i="136"/>
  <c r="L20" i="136"/>
  <c r="J20" i="136"/>
  <c r="I20" i="136"/>
  <c r="G20" i="136"/>
  <c r="F20" i="136"/>
  <c r="D20" i="136"/>
  <c r="C20" i="136"/>
  <c r="AE19" i="136"/>
  <c r="V19" i="136"/>
  <c r="S19" i="136"/>
  <c r="P19" i="136"/>
  <c r="M19" i="136"/>
  <c r="J19" i="136"/>
  <c r="G19" i="136"/>
  <c r="D19" i="136"/>
  <c r="C19" i="136"/>
  <c r="AC18" i="136"/>
  <c r="W22" i="136" s="1"/>
  <c r="Z18" i="136"/>
  <c r="W20" i="136" s="1"/>
  <c r="U18" i="136"/>
  <c r="S18" i="136"/>
  <c r="R18" i="136"/>
  <c r="P18" i="136"/>
  <c r="O18" i="136"/>
  <c r="M18" i="136"/>
  <c r="L18" i="136"/>
  <c r="J18" i="136"/>
  <c r="I18" i="136"/>
  <c r="G18" i="136"/>
  <c r="F18" i="136"/>
  <c r="D18" i="136"/>
  <c r="C18" i="136"/>
  <c r="AE17" i="136"/>
  <c r="S17" i="136"/>
  <c r="P17" i="136"/>
  <c r="M17" i="136"/>
  <c r="J17" i="136"/>
  <c r="G17" i="136"/>
  <c r="D17" i="136"/>
  <c r="C17" i="136"/>
  <c r="AC16" i="136"/>
  <c r="T22" i="136" s="1"/>
  <c r="Z16" i="136"/>
  <c r="T20" i="136" s="1"/>
  <c r="W16" i="136"/>
  <c r="T18" i="136" s="1"/>
  <c r="R16" i="136"/>
  <c r="P16" i="136"/>
  <c r="O16" i="136"/>
  <c r="M16" i="136"/>
  <c r="L16" i="136"/>
  <c r="J16" i="136"/>
  <c r="I16" i="136"/>
  <c r="G16" i="136"/>
  <c r="F16" i="136"/>
  <c r="D16" i="136"/>
  <c r="P15" i="136"/>
  <c r="M15" i="136"/>
  <c r="J15" i="136"/>
  <c r="G15" i="136"/>
  <c r="D15" i="136"/>
  <c r="C15" i="136"/>
  <c r="AC14" i="136"/>
  <c r="Q22" i="136" s="1"/>
  <c r="Z14" i="136"/>
  <c r="Q20" i="136" s="1"/>
  <c r="W14" i="136"/>
  <c r="Q18" i="136" s="1"/>
  <c r="T14" i="136"/>
  <c r="Q16" i="136" s="1"/>
  <c r="O14" i="136"/>
  <c r="M14" i="136"/>
  <c r="L14" i="136"/>
  <c r="J14" i="136"/>
  <c r="I14" i="136"/>
  <c r="G14" i="136"/>
  <c r="F14" i="136"/>
  <c r="D14" i="136"/>
  <c r="M13" i="136"/>
  <c r="J13" i="136"/>
  <c r="G13" i="136"/>
  <c r="D13" i="136"/>
  <c r="AE13" i="136" s="1"/>
  <c r="C13" i="136"/>
  <c r="AC12" i="136"/>
  <c r="N22" i="136" s="1"/>
  <c r="Z12" i="136"/>
  <c r="N20" i="136" s="1"/>
  <c r="W12" i="136"/>
  <c r="N18" i="136" s="1"/>
  <c r="T12" i="136"/>
  <c r="N16" i="136" s="1"/>
  <c r="Q12" i="136"/>
  <c r="N14" i="136" s="1"/>
  <c r="L12" i="136"/>
  <c r="J12" i="136"/>
  <c r="I12" i="136"/>
  <c r="G12" i="136"/>
  <c r="F12" i="136"/>
  <c r="D12" i="136"/>
  <c r="J11" i="136"/>
  <c r="G11" i="136"/>
  <c r="AE11" i="136" s="1"/>
  <c r="D11" i="136"/>
  <c r="C11" i="136"/>
  <c r="AC10" i="136"/>
  <c r="K22" i="136" s="1"/>
  <c r="Z10" i="136"/>
  <c r="K20" i="136" s="1"/>
  <c r="W10" i="136"/>
  <c r="K18" i="136" s="1"/>
  <c r="T10" i="136"/>
  <c r="K16" i="136" s="1"/>
  <c r="Q10" i="136"/>
  <c r="K14" i="136" s="1"/>
  <c r="N10" i="136"/>
  <c r="K12" i="136" s="1"/>
  <c r="I10" i="136"/>
  <c r="G10" i="136"/>
  <c r="F10" i="136"/>
  <c r="D10" i="136"/>
  <c r="G9" i="136"/>
  <c r="D9" i="136"/>
  <c r="C9" i="136"/>
  <c r="AC8" i="136"/>
  <c r="H22" i="136" s="1"/>
  <c r="Z8" i="136"/>
  <c r="H20" i="136" s="1"/>
  <c r="W8" i="136"/>
  <c r="H18" i="136" s="1"/>
  <c r="T8" i="136"/>
  <c r="Q8" i="136"/>
  <c r="H14" i="136" s="1"/>
  <c r="N8" i="136"/>
  <c r="H12" i="136" s="1"/>
  <c r="K8" i="136"/>
  <c r="H10" i="136" s="1"/>
  <c r="F8" i="136"/>
  <c r="E8" i="136"/>
  <c r="D8" i="136"/>
  <c r="D7" i="136"/>
  <c r="AE7" i="136" s="1"/>
  <c r="C7" i="136"/>
  <c r="AC6" i="136"/>
  <c r="E22" i="136" s="1"/>
  <c r="Z6" i="136"/>
  <c r="E20" i="136" s="1"/>
  <c r="W6" i="136"/>
  <c r="E18" i="136" s="1"/>
  <c r="T6" i="136"/>
  <c r="E16" i="136" s="1"/>
  <c r="Q6" i="136"/>
  <c r="E14" i="136" s="1"/>
  <c r="N6" i="136"/>
  <c r="E12" i="136" s="1"/>
  <c r="K6" i="136"/>
  <c r="E10" i="136" s="1"/>
  <c r="H6" i="136"/>
  <c r="AE5" i="136"/>
  <c r="C5" i="136"/>
  <c r="C2" i="136"/>
  <c r="C1" i="136"/>
  <c r="AE69" i="136" l="1"/>
  <c r="AE29" i="136"/>
  <c r="AH29" i="136" s="1"/>
  <c r="AE31" i="137"/>
  <c r="AE71" i="137"/>
  <c r="AE77" i="137"/>
  <c r="AE37" i="137"/>
  <c r="AE9" i="137"/>
  <c r="AE15" i="137"/>
  <c r="AE75" i="136"/>
  <c r="AE71" i="136"/>
  <c r="AH69" i="136" s="1"/>
  <c r="AE15" i="136"/>
  <c r="AE49" i="137"/>
  <c r="AE73" i="136"/>
  <c r="AE55" i="137"/>
  <c r="AE49" i="136"/>
  <c r="AE53" i="136"/>
  <c r="H56" i="136"/>
  <c r="AE35" i="136"/>
  <c r="AE33" i="136"/>
  <c r="AE9" i="136"/>
  <c r="AE13" i="137"/>
  <c r="AE11" i="137"/>
  <c r="AE35" i="137"/>
  <c r="AE73" i="137"/>
  <c r="AE75" i="137"/>
  <c r="AE51" i="137"/>
  <c r="AH53" i="137" s="1"/>
  <c r="AE51" i="136"/>
  <c r="AE31" i="136"/>
  <c r="AE33" i="137"/>
  <c r="H34" i="137"/>
  <c r="AE55" i="136"/>
  <c r="AH71" i="136"/>
  <c r="AH73" i="136"/>
  <c r="AH75" i="136"/>
  <c r="T32" i="109"/>
  <c r="T55" i="109"/>
  <c r="T38" i="109"/>
  <c r="T42" i="109"/>
  <c r="H54" i="137"/>
  <c r="H74" i="137"/>
  <c r="H16" i="136"/>
  <c r="H34" i="136"/>
  <c r="H74" i="136"/>
  <c r="AH27" i="136" l="1"/>
  <c r="AH65" i="136"/>
  <c r="AH67" i="136"/>
  <c r="AH5" i="136"/>
  <c r="AJ38" i="138"/>
  <c r="E64" i="139"/>
  <c r="AM41" i="138"/>
  <c r="AJ21" i="138"/>
  <c r="G28" i="139"/>
  <c r="C32" i="139"/>
  <c r="E62" i="139"/>
  <c r="L14" i="138"/>
  <c r="C78" i="139"/>
  <c r="G74" i="139"/>
  <c r="G35" i="139"/>
  <c r="BE21" i="138"/>
  <c r="G81" i="139"/>
  <c r="X8" i="138"/>
  <c r="AS5" i="138"/>
  <c r="AP4" i="138"/>
  <c r="BB20" i="138"/>
  <c r="C43" i="139"/>
  <c r="C81" i="139"/>
  <c r="C74" i="139"/>
  <c r="C7" i="138"/>
  <c r="I10" i="138"/>
  <c r="G20" i="139"/>
  <c r="G4" i="139"/>
  <c r="C4" i="139"/>
  <c r="F8" i="138"/>
  <c r="C28" i="139"/>
  <c r="C20" i="139"/>
  <c r="C5" i="139"/>
  <c r="C11" i="138"/>
  <c r="U9" i="138"/>
  <c r="E35" i="139"/>
  <c r="AH65" i="137"/>
  <c r="AH31" i="137"/>
  <c r="AH29" i="137"/>
  <c r="AH33" i="137"/>
  <c r="AH11" i="136"/>
  <c r="AH7" i="136"/>
  <c r="AH15" i="136"/>
  <c r="AH13" i="136"/>
  <c r="AH9" i="136"/>
  <c r="AH15" i="137"/>
  <c r="AH49" i="137"/>
  <c r="AH51" i="137"/>
  <c r="AH45" i="137"/>
  <c r="AH55" i="137"/>
  <c r="AH47" i="137"/>
  <c r="AH47" i="136"/>
  <c r="AH25" i="136"/>
  <c r="AH35" i="137"/>
  <c r="AH25" i="137"/>
  <c r="AH37" i="137"/>
  <c r="AH27" i="137"/>
  <c r="AH53" i="136"/>
  <c r="AH51" i="136"/>
  <c r="AH45" i="136"/>
  <c r="AH55" i="136"/>
  <c r="AH49" i="136"/>
  <c r="AH77" i="135"/>
  <c r="AH79" i="135"/>
  <c r="AH81" i="135"/>
  <c r="AH57" i="135"/>
  <c r="AH59" i="135"/>
  <c r="AH61" i="135"/>
  <c r="AH37" i="135"/>
  <c r="AH39" i="135"/>
  <c r="AH41" i="135"/>
  <c r="AH17" i="135"/>
  <c r="AH19" i="135"/>
  <c r="AH21" i="135"/>
  <c r="AA82" i="135"/>
  <c r="Y82" i="135"/>
  <c r="X82" i="135"/>
  <c r="V82" i="135"/>
  <c r="U82" i="135"/>
  <c r="S82" i="135"/>
  <c r="R82" i="135"/>
  <c r="P82" i="135"/>
  <c r="O82" i="135"/>
  <c r="M82" i="135"/>
  <c r="L82" i="135"/>
  <c r="J82" i="135"/>
  <c r="I82" i="135"/>
  <c r="G82" i="135"/>
  <c r="F82" i="135"/>
  <c r="D82" i="135"/>
  <c r="C82" i="135"/>
  <c r="AE81" i="135"/>
  <c r="Y81" i="135"/>
  <c r="V81" i="135"/>
  <c r="S81" i="135"/>
  <c r="P81" i="135"/>
  <c r="M81" i="135"/>
  <c r="J81" i="135"/>
  <c r="G81" i="135"/>
  <c r="D81" i="135"/>
  <c r="C81" i="135"/>
  <c r="AC80" i="135"/>
  <c r="Z82" i="135" s="1"/>
  <c r="X80" i="135"/>
  <c r="V80" i="135"/>
  <c r="U80" i="135"/>
  <c r="S80" i="135"/>
  <c r="R80" i="135"/>
  <c r="P80" i="135"/>
  <c r="O80" i="135"/>
  <c r="M80" i="135"/>
  <c r="L80" i="135"/>
  <c r="J80" i="135"/>
  <c r="I80" i="135"/>
  <c r="G80" i="135"/>
  <c r="F80" i="135"/>
  <c r="D80" i="135"/>
  <c r="C80" i="135"/>
  <c r="AE79" i="135"/>
  <c r="V79" i="135"/>
  <c r="S79" i="135"/>
  <c r="P79" i="135"/>
  <c r="M79" i="135"/>
  <c r="J79" i="135"/>
  <c r="G79" i="135"/>
  <c r="D79" i="135"/>
  <c r="C79" i="135"/>
  <c r="AC78" i="135"/>
  <c r="W82" i="135" s="1"/>
  <c r="Z78" i="135"/>
  <c r="W80" i="135" s="1"/>
  <c r="U78" i="135"/>
  <c r="S78" i="135"/>
  <c r="R78" i="135"/>
  <c r="P78" i="135"/>
  <c r="O78" i="135"/>
  <c r="M78" i="135"/>
  <c r="L78" i="135"/>
  <c r="J78" i="135"/>
  <c r="I78" i="135"/>
  <c r="G78" i="135"/>
  <c r="F78" i="135"/>
  <c r="D78" i="135"/>
  <c r="C78" i="135"/>
  <c r="AE77" i="135"/>
  <c r="S77" i="135"/>
  <c r="P77" i="135"/>
  <c r="M77" i="135"/>
  <c r="J77" i="135"/>
  <c r="G77" i="135"/>
  <c r="D77" i="135"/>
  <c r="C77" i="135"/>
  <c r="AC76" i="135"/>
  <c r="T82" i="135" s="1"/>
  <c r="Z76" i="135"/>
  <c r="T80" i="135" s="1"/>
  <c r="W76" i="135"/>
  <c r="T78" i="135" s="1"/>
  <c r="R76" i="135"/>
  <c r="P76" i="135"/>
  <c r="O76" i="135"/>
  <c r="M76" i="135"/>
  <c r="L76" i="135"/>
  <c r="J76" i="135"/>
  <c r="I76" i="135"/>
  <c r="G76" i="135"/>
  <c r="F76" i="135"/>
  <c r="D76" i="135"/>
  <c r="P75" i="135"/>
  <c r="M75" i="135"/>
  <c r="J75" i="135"/>
  <c r="G75" i="135"/>
  <c r="D75" i="135"/>
  <c r="C75" i="135"/>
  <c r="AC74" i="135"/>
  <c r="Q82" i="135" s="1"/>
  <c r="Z74" i="135"/>
  <c r="Q80" i="135" s="1"/>
  <c r="W74" i="135"/>
  <c r="Q78" i="135" s="1"/>
  <c r="T74" i="135"/>
  <c r="Q76" i="135" s="1"/>
  <c r="O74" i="135"/>
  <c r="M74" i="135"/>
  <c r="L74" i="135"/>
  <c r="J74" i="135"/>
  <c r="I74" i="135"/>
  <c r="G74" i="135"/>
  <c r="F74" i="135"/>
  <c r="D74" i="135"/>
  <c r="M73" i="135"/>
  <c r="J73" i="135"/>
  <c r="G73" i="135"/>
  <c r="D73" i="135"/>
  <c r="C73" i="135"/>
  <c r="AC72" i="135"/>
  <c r="N82" i="135" s="1"/>
  <c r="Z72" i="135"/>
  <c r="N80" i="135" s="1"/>
  <c r="W72" i="135"/>
  <c r="N78" i="135" s="1"/>
  <c r="T72" i="135"/>
  <c r="N76" i="135" s="1"/>
  <c r="Q72" i="135"/>
  <c r="N74" i="135" s="1"/>
  <c r="L72" i="135"/>
  <c r="J72" i="135"/>
  <c r="I72" i="135"/>
  <c r="G72" i="135"/>
  <c r="F72" i="135"/>
  <c r="D72" i="135"/>
  <c r="J71" i="135"/>
  <c r="G71" i="135"/>
  <c r="D71" i="135"/>
  <c r="C71" i="135"/>
  <c r="AC70" i="135"/>
  <c r="K82" i="135" s="1"/>
  <c r="Z70" i="135"/>
  <c r="K80" i="135" s="1"/>
  <c r="W70" i="135"/>
  <c r="K78" i="135" s="1"/>
  <c r="T70" i="135"/>
  <c r="K76" i="135" s="1"/>
  <c r="Q70" i="135"/>
  <c r="K74" i="135" s="1"/>
  <c r="N70" i="135"/>
  <c r="K72" i="135" s="1"/>
  <c r="I70" i="135"/>
  <c r="G70" i="135"/>
  <c r="F70" i="135"/>
  <c r="D70" i="135"/>
  <c r="G69" i="135"/>
  <c r="D69" i="135"/>
  <c r="C69" i="135"/>
  <c r="AC68" i="135"/>
  <c r="H82" i="135" s="1"/>
  <c r="Z68" i="135"/>
  <c r="H80" i="135" s="1"/>
  <c r="W68" i="135"/>
  <c r="H78" i="135" s="1"/>
  <c r="T68" i="135"/>
  <c r="H76" i="135" s="1"/>
  <c r="Q68" i="135"/>
  <c r="N68" i="135"/>
  <c r="H72" i="135" s="1"/>
  <c r="K68" i="135"/>
  <c r="H70" i="135" s="1"/>
  <c r="F68" i="135"/>
  <c r="E68" i="135"/>
  <c r="D68" i="135"/>
  <c r="D67" i="135"/>
  <c r="AE67" i="135" s="1"/>
  <c r="C67" i="135"/>
  <c r="AC66" i="135"/>
  <c r="E82" i="135" s="1"/>
  <c r="Z66" i="135"/>
  <c r="E80" i="135" s="1"/>
  <c r="W66" i="135"/>
  <c r="E78" i="135" s="1"/>
  <c r="T66" i="135"/>
  <c r="E76" i="135" s="1"/>
  <c r="Q66" i="135"/>
  <c r="E74" i="135" s="1"/>
  <c r="N66" i="135"/>
  <c r="E72" i="135" s="1"/>
  <c r="K66" i="135"/>
  <c r="E70" i="135" s="1"/>
  <c r="H66" i="135"/>
  <c r="AE65" i="135"/>
  <c r="C65" i="135"/>
  <c r="AA62" i="135"/>
  <c r="Y62" i="135"/>
  <c r="X62" i="135"/>
  <c r="V62" i="135"/>
  <c r="U62" i="135"/>
  <c r="S62" i="135"/>
  <c r="R62" i="135"/>
  <c r="P62" i="135"/>
  <c r="O62" i="135"/>
  <c r="M62" i="135"/>
  <c r="L62" i="135"/>
  <c r="J62" i="135"/>
  <c r="I62" i="135"/>
  <c r="G62" i="135"/>
  <c r="F62" i="135"/>
  <c r="D62" i="135"/>
  <c r="C62" i="135"/>
  <c r="AE61" i="135"/>
  <c r="Y61" i="135"/>
  <c r="V61" i="135"/>
  <c r="S61" i="135"/>
  <c r="P61" i="135"/>
  <c r="M61" i="135"/>
  <c r="J61" i="135"/>
  <c r="G61" i="135"/>
  <c r="D61" i="135"/>
  <c r="C61" i="135"/>
  <c r="AC60" i="135"/>
  <c r="Z62" i="135" s="1"/>
  <c r="X60" i="135"/>
  <c r="V60" i="135"/>
  <c r="U60" i="135"/>
  <c r="S60" i="135"/>
  <c r="R60" i="135"/>
  <c r="P60" i="135"/>
  <c r="O60" i="135"/>
  <c r="M60" i="135"/>
  <c r="L60" i="135"/>
  <c r="J60" i="135"/>
  <c r="I60" i="135"/>
  <c r="G60" i="135"/>
  <c r="F60" i="135"/>
  <c r="D60" i="135"/>
  <c r="C60" i="135"/>
  <c r="AE59" i="135"/>
  <c r="V59" i="135"/>
  <c r="S59" i="135"/>
  <c r="P59" i="135"/>
  <c r="M59" i="135"/>
  <c r="J59" i="135"/>
  <c r="G59" i="135"/>
  <c r="D59" i="135"/>
  <c r="C59" i="135"/>
  <c r="AC58" i="135"/>
  <c r="W62" i="135" s="1"/>
  <c r="Z58" i="135"/>
  <c r="W60" i="135" s="1"/>
  <c r="U58" i="135"/>
  <c r="S58" i="135"/>
  <c r="R58" i="135"/>
  <c r="P58" i="135"/>
  <c r="O58" i="135"/>
  <c r="M58" i="135"/>
  <c r="L58" i="135"/>
  <c r="J58" i="135"/>
  <c r="I58" i="135"/>
  <c r="G58" i="135"/>
  <c r="F58" i="135"/>
  <c r="D58" i="135"/>
  <c r="C58" i="135"/>
  <c r="AE57" i="135"/>
  <c r="S57" i="135"/>
  <c r="P57" i="135"/>
  <c r="M57" i="135"/>
  <c r="J57" i="135"/>
  <c r="G57" i="135"/>
  <c r="D57" i="135"/>
  <c r="C57" i="135"/>
  <c r="AC56" i="135"/>
  <c r="T62" i="135" s="1"/>
  <c r="Z56" i="135"/>
  <c r="T60" i="135" s="1"/>
  <c r="W56" i="135"/>
  <c r="T58" i="135" s="1"/>
  <c r="R56" i="135"/>
  <c r="P56" i="135"/>
  <c r="O56" i="135"/>
  <c r="M56" i="135"/>
  <c r="L56" i="135"/>
  <c r="J56" i="135"/>
  <c r="I56" i="135"/>
  <c r="G56" i="135"/>
  <c r="F56" i="135"/>
  <c r="D56" i="135"/>
  <c r="P55" i="135"/>
  <c r="M55" i="135"/>
  <c r="J55" i="135"/>
  <c r="G55" i="135"/>
  <c r="D55" i="135"/>
  <c r="C55" i="135"/>
  <c r="AC54" i="135"/>
  <c r="Q62" i="135" s="1"/>
  <c r="Z54" i="135"/>
  <c r="Q60" i="135" s="1"/>
  <c r="W54" i="135"/>
  <c r="Q58" i="135" s="1"/>
  <c r="T54" i="135"/>
  <c r="Q56" i="135" s="1"/>
  <c r="O54" i="135"/>
  <c r="M54" i="135"/>
  <c r="L54" i="135"/>
  <c r="J54" i="135"/>
  <c r="I54" i="135"/>
  <c r="G54" i="135"/>
  <c r="F54" i="135"/>
  <c r="D54" i="135"/>
  <c r="M53" i="135"/>
  <c r="J53" i="135"/>
  <c r="G53" i="135"/>
  <c r="D53" i="135"/>
  <c r="C53" i="135"/>
  <c r="AC52" i="135"/>
  <c r="N62" i="135" s="1"/>
  <c r="Z52" i="135"/>
  <c r="N60" i="135" s="1"/>
  <c r="W52" i="135"/>
  <c r="N58" i="135" s="1"/>
  <c r="T52" i="135"/>
  <c r="N56" i="135" s="1"/>
  <c r="Q52" i="135"/>
  <c r="N54" i="135" s="1"/>
  <c r="L52" i="135"/>
  <c r="J52" i="135"/>
  <c r="I52" i="135"/>
  <c r="G52" i="135"/>
  <c r="F52" i="135"/>
  <c r="D52" i="135"/>
  <c r="J51" i="135"/>
  <c r="G51" i="135"/>
  <c r="D51" i="135"/>
  <c r="C51" i="135"/>
  <c r="AC50" i="135"/>
  <c r="K62" i="135" s="1"/>
  <c r="Z50" i="135"/>
  <c r="K60" i="135" s="1"/>
  <c r="W50" i="135"/>
  <c r="K58" i="135" s="1"/>
  <c r="T50" i="135"/>
  <c r="K56" i="135" s="1"/>
  <c r="Q50" i="135"/>
  <c r="K54" i="135" s="1"/>
  <c r="N50" i="135"/>
  <c r="K52" i="135" s="1"/>
  <c r="I50" i="135"/>
  <c r="G50" i="135"/>
  <c r="F50" i="135"/>
  <c r="D50" i="135"/>
  <c r="G49" i="135"/>
  <c r="D49" i="135"/>
  <c r="C49" i="135"/>
  <c r="AC48" i="135"/>
  <c r="H62" i="135" s="1"/>
  <c r="Z48" i="135"/>
  <c r="H60" i="135" s="1"/>
  <c r="W48" i="135"/>
  <c r="H58" i="135" s="1"/>
  <c r="T48" i="135"/>
  <c r="H56" i="135" s="1"/>
  <c r="Q48" i="135"/>
  <c r="N48" i="135"/>
  <c r="H52" i="135" s="1"/>
  <c r="K48" i="135"/>
  <c r="H50" i="135" s="1"/>
  <c r="F48" i="135"/>
  <c r="E48" i="135"/>
  <c r="D48" i="135"/>
  <c r="D47" i="135"/>
  <c r="AE47" i="135" s="1"/>
  <c r="C47" i="135"/>
  <c r="AC46" i="135"/>
  <c r="E62" i="135" s="1"/>
  <c r="Z46" i="135"/>
  <c r="E60" i="135" s="1"/>
  <c r="W46" i="135"/>
  <c r="E58" i="135" s="1"/>
  <c r="T46" i="135"/>
  <c r="E56" i="135" s="1"/>
  <c r="Q46" i="135"/>
  <c r="E54" i="135" s="1"/>
  <c r="N46" i="135"/>
  <c r="E52" i="135" s="1"/>
  <c r="K46" i="135"/>
  <c r="E50" i="135" s="1"/>
  <c r="H46" i="135"/>
  <c r="AE45" i="135"/>
  <c r="C45" i="135"/>
  <c r="AA42" i="135"/>
  <c r="Y42" i="135"/>
  <c r="X42" i="135"/>
  <c r="V42" i="135"/>
  <c r="U42" i="135"/>
  <c r="S42" i="135"/>
  <c r="R42" i="135"/>
  <c r="P42" i="135"/>
  <c r="O42" i="135"/>
  <c r="M42" i="135"/>
  <c r="L42" i="135"/>
  <c r="J42" i="135"/>
  <c r="I42" i="135"/>
  <c r="G42" i="135"/>
  <c r="F42" i="135"/>
  <c r="D42" i="135"/>
  <c r="C42" i="135"/>
  <c r="AE41" i="135"/>
  <c r="Y41" i="135"/>
  <c r="V41" i="135"/>
  <c r="S41" i="135"/>
  <c r="P41" i="135"/>
  <c r="M41" i="135"/>
  <c r="J41" i="135"/>
  <c r="G41" i="135"/>
  <c r="D41" i="135"/>
  <c r="C41" i="135"/>
  <c r="AC40" i="135"/>
  <c r="Z42" i="135" s="1"/>
  <c r="X40" i="135"/>
  <c r="V40" i="135"/>
  <c r="U40" i="135"/>
  <c r="S40" i="135"/>
  <c r="R40" i="135"/>
  <c r="P40" i="135"/>
  <c r="O40" i="135"/>
  <c r="M40" i="135"/>
  <c r="L40" i="135"/>
  <c r="J40" i="135"/>
  <c r="I40" i="135"/>
  <c r="G40" i="135"/>
  <c r="F40" i="135"/>
  <c r="D40" i="135"/>
  <c r="C40" i="135"/>
  <c r="AE39" i="135"/>
  <c r="V39" i="135"/>
  <c r="S39" i="135"/>
  <c r="P39" i="135"/>
  <c r="M39" i="135"/>
  <c r="J39" i="135"/>
  <c r="G39" i="135"/>
  <c r="D39" i="135"/>
  <c r="C39" i="135"/>
  <c r="AC38" i="135"/>
  <c r="W42" i="135" s="1"/>
  <c r="Z38" i="135"/>
  <c r="W40" i="135" s="1"/>
  <c r="U38" i="135"/>
  <c r="S38" i="135"/>
  <c r="R38" i="135"/>
  <c r="P38" i="135"/>
  <c r="O38" i="135"/>
  <c r="M38" i="135"/>
  <c r="L38" i="135"/>
  <c r="J38" i="135"/>
  <c r="I38" i="135"/>
  <c r="G38" i="135"/>
  <c r="F38" i="135"/>
  <c r="D38" i="135"/>
  <c r="C38" i="135"/>
  <c r="AE37" i="135"/>
  <c r="S37" i="135"/>
  <c r="P37" i="135"/>
  <c r="M37" i="135"/>
  <c r="J37" i="135"/>
  <c r="G37" i="135"/>
  <c r="D37" i="135"/>
  <c r="C37" i="135"/>
  <c r="AC36" i="135"/>
  <c r="T42" i="135" s="1"/>
  <c r="Z36" i="135"/>
  <c r="T40" i="135" s="1"/>
  <c r="W36" i="135"/>
  <c r="T38" i="135" s="1"/>
  <c r="R36" i="135"/>
  <c r="P36" i="135"/>
  <c r="O36" i="135"/>
  <c r="M36" i="135"/>
  <c r="L36" i="135"/>
  <c r="J36" i="135"/>
  <c r="I36" i="135"/>
  <c r="G36" i="135"/>
  <c r="F36" i="135"/>
  <c r="D36" i="135"/>
  <c r="P35" i="135"/>
  <c r="M35" i="135"/>
  <c r="J35" i="135"/>
  <c r="G35" i="135"/>
  <c r="D35" i="135"/>
  <c r="C35" i="135"/>
  <c r="AC34" i="135"/>
  <c r="Q42" i="135" s="1"/>
  <c r="Z34" i="135"/>
  <c r="Q40" i="135" s="1"/>
  <c r="W34" i="135"/>
  <c r="Q38" i="135" s="1"/>
  <c r="T34" i="135"/>
  <c r="Q36" i="135" s="1"/>
  <c r="O34" i="135"/>
  <c r="M34" i="135"/>
  <c r="L34" i="135"/>
  <c r="K34" i="135"/>
  <c r="J34" i="135"/>
  <c r="I34" i="135"/>
  <c r="G34" i="135"/>
  <c r="F34" i="135"/>
  <c r="D34" i="135"/>
  <c r="M33" i="135"/>
  <c r="J33" i="135"/>
  <c r="G33" i="135"/>
  <c r="D33" i="135"/>
  <c r="C33" i="135"/>
  <c r="AC32" i="135"/>
  <c r="N42" i="135" s="1"/>
  <c r="Z32" i="135"/>
  <c r="N40" i="135" s="1"/>
  <c r="W32" i="135"/>
  <c r="N38" i="135" s="1"/>
  <c r="T32" i="135"/>
  <c r="N36" i="135" s="1"/>
  <c r="Q32" i="135"/>
  <c r="N34" i="135" s="1"/>
  <c r="L32" i="135"/>
  <c r="J32" i="135"/>
  <c r="I32" i="135"/>
  <c r="G32" i="135"/>
  <c r="F32" i="135"/>
  <c r="D32" i="135"/>
  <c r="J31" i="135"/>
  <c r="G31" i="135"/>
  <c r="D31" i="135"/>
  <c r="C31" i="135"/>
  <c r="AC30" i="135"/>
  <c r="K42" i="135" s="1"/>
  <c r="Z30" i="135"/>
  <c r="K40" i="135" s="1"/>
  <c r="W30" i="135"/>
  <c r="K38" i="135" s="1"/>
  <c r="T30" i="135"/>
  <c r="K36" i="135" s="1"/>
  <c r="N30" i="135"/>
  <c r="K32" i="135" s="1"/>
  <c r="I30" i="135"/>
  <c r="G30" i="135"/>
  <c r="F30" i="135"/>
  <c r="D30" i="135"/>
  <c r="G29" i="135"/>
  <c r="D29" i="135"/>
  <c r="C29" i="135"/>
  <c r="AC28" i="135"/>
  <c r="H42" i="135" s="1"/>
  <c r="Z28" i="135"/>
  <c r="H40" i="135" s="1"/>
  <c r="W28" i="135"/>
  <c r="H38" i="135" s="1"/>
  <c r="T28" i="135"/>
  <c r="Q28" i="135"/>
  <c r="H36" i="135" s="1"/>
  <c r="N28" i="135"/>
  <c r="H32" i="135" s="1"/>
  <c r="K28" i="135"/>
  <c r="H30" i="135" s="1"/>
  <c r="F28" i="135"/>
  <c r="E28" i="135"/>
  <c r="D28" i="135"/>
  <c r="D27" i="135"/>
  <c r="AE27" i="135" s="1"/>
  <c r="C27" i="135"/>
  <c r="AC26" i="135"/>
  <c r="E42" i="135" s="1"/>
  <c r="Z26" i="135"/>
  <c r="E40" i="135" s="1"/>
  <c r="W26" i="135"/>
  <c r="E38" i="135" s="1"/>
  <c r="T26" i="135"/>
  <c r="E36" i="135" s="1"/>
  <c r="Q26" i="135"/>
  <c r="E34" i="135" s="1"/>
  <c r="N26" i="135"/>
  <c r="E32" i="135" s="1"/>
  <c r="K26" i="135"/>
  <c r="E30" i="135" s="1"/>
  <c r="H26" i="135"/>
  <c r="AE25" i="135"/>
  <c r="C25" i="135"/>
  <c r="AA22" i="135"/>
  <c r="Y22" i="135"/>
  <c r="X22" i="135"/>
  <c r="V22" i="135"/>
  <c r="U22" i="135"/>
  <c r="S22" i="135"/>
  <c r="R22" i="135"/>
  <c r="P22" i="135"/>
  <c r="O22" i="135"/>
  <c r="M22" i="135"/>
  <c r="L22" i="135"/>
  <c r="J22" i="135"/>
  <c r="I22" i="135"/>
  <c r="G22" i="135"/>
  <c r="F22" i="135"/>
  <c r="D22" i="135"/>
  <c r="C22" i="135"/>
  <c r="AE21" i="135"/>
  <c r="Y21" i="135"/>
  <c r="V21" i="135"/>
  <c r="S21" i="135"/>
  <c r="P21" i="135"/>
  <c r="M21" i="135"/>
  <c r="J21" i="135"/>
  <c r="G21" i="135"/>
  <c r="D21" i="135"/>
  <c r="C21" i="135"/>
  <c r="AC20" i="135"/>
  <c r="Z22" i="135" s="1"/>
  <c r="X20" i="135"/>
  <c r="V20" i="135"/>
  <c r="U20" i="135"/>
  <c r="S20" i="135"/>
  <c r="R20" i="135"/>
  <c r="P20" i="135"/>
  <c r="O20" i="135"/>
  <c r="M20" i="135"/>
  <c r="L20" i="135"/>
  <c r="J20" i="135"/>
  <c r="I20" i="135"/>
  <c r="G20" i="135"/>
  <c r="F20" i="135"/>
  <c r="D20" i="135"/>
  <c r="C20" i="135"/>
  <c r="AE19" i="135"/>
  <c r="V19" i="135"/>
  <c r="S19" i="135"/>
  <c r="P19" i="135"/>
  <c r="M19" i="135"/>
  <c r="J19" i="135"/>
  <c r="G19" i="135"/>
  <c r="D19" i="135"/>
  <c r="C19" i="135"/>
  <c r="AC18" i="135"/>
  <c r="W22" i="135" s="1"/>
  <c r="Z18" i="135"/>
  <c r="W20" i="135" s="1"/>
  <c r="U18" i="135"/>
  <c r="S18" i="135"/>
  <c r="R18" i="135"/>
  <c r="P18" i="135"/>
  <c r="O18" i="135"/>
  <c r="M18" i="135"/>
  <c r="L18" i="135"/>
  <c r="J18" i="135"/>
  <c r="I18" i="135"/>
  <c r="G18" i="135"/>
  <c r="F18" i="135"/>
  <c r="D18" i="135"/>
  <c r="C18" i="135"/>
  <c r="AE17" i="135"/>
  <c r="S17" i="135"/>
  <c r="P17" i="135"/>
  <c r="M17" i="135"/>
  <c r="J17" i="135"/>
  <c r="G17" i="135"/>
  <c r="D17" i="135"/>
  <c r="C17" i="135"/>
  <c r="AC16" i="135"/>
  <c r="T22" i="135" s="1"/>
  <c r="Z16" i="135"/>
  <c r="T20" i="135" s="1"/>
  <c r="W16" i="135"/>
  <c r="T18" i="135" s="1"/>
  <c r="R16" i="135"/>
  <c r="P16" i="135"/>
  <c r="O16" i="135"/>
  <c r="M16" i="135"/>
  <c r="L16" i="135"/>
  <c r="J16" i="135"/>
  <c r="I16" i="135"/>
  <c r="G16" i="135"/>
  <c r="F16" i="135"/>
  <c r="D16" i="135"/>
  <c r="P15" i="135"/>
  <c r="M15" i="135"/>
  <c r="J15" i="135"/>
  <c r="G15" i="135"/>
  <c r="D15" i="135"/>
  <c r="C15" i="135"/>
  <c r="AC14" i="135"/>
  <c r="Q22" i="135" s="1"/>
  <c r="Z14" i="135"/>
  <c r="Q20" i="135" s="1"/>
  <c r="W14" i="135"/>
  <c r="Q18" i="135" s="1"/>
  <c r="T14" i="135"/>
  <c r="Q16" i="135" s="1"/>
  <c r="O14" i="135"/>
  <c r="M14" i="135"/>
  <c r="L14" i="135"/>
  <c r="J14" i="135"/>
  <c r="I14" i="135"/>
  <c r="G14" i="135"/>
  <c r="F14" i="135"/>
  <c r="D14" i="135"/>
  <c r="M13" i="135"/>
  <c r="J13" i="135"/>
  <c r="G13" i="135"/>
  <c r="D13" i="135"/>
  <c r="C13" i="135"/>
  <c r="AC12" i="135"/>
  <c r="N22" i="135" s="1"/>
  <c r="Z12" i="135"/>
  <c r="N20" i="135" s="1"/>
  <c r="W12" i="135"/>
  <c r="N18" i="135" s="1"/>
  <c r="T12" i="135"/>
  <c r="N16" i="135" s="1"/>
  <c r="Q12" i="135"/>
  <c r="N14" i="135" s="1"/>
  <c r="L12" i="135"/>
  <c r="J12" i="135"/>
  <c r="I12" i="135"/>
  <c r="G12" i="135"/>
  <c r="F12" i="135"/>
  <c r="D12" i="135"/>
  <c r="J11" i="135"/>
  <c r="G11" i="135"/>
  <c r="D11" i="135"/>
  <c r="C11" i="135"/>
  <c r="AC10" i="135"/>
  <c r="K22" i="135" s="1"/>
  <c r="Z10" i="135"/>
  <c r="K20" i="135" s="1"/>
  <c r="W10" i="135"/>
  <c r="K18" i="135" s="1"/>
  <c r="T10" i="135"/>
  <c r="K16" i="135" s="1"/>
  <c r="Q10" i="135"/>
  <c r="K14" i="135" s="1"/>
  <c r="N10" i="135"/>
  <c r="K12" i="135" s="1"/>
  <c r="I10" i="135"/>
  <c r="G10" i="135"/>
  <c r="F10" i="135"/>
  <c r="D10" i="135"/>
  <c r="G9" i="135"/>
  <c r="D9" i="135"/>
  <c r="C9" i="135"/>
  <c r="AC8" i="135"/>
  <c r="H22" i="135" s="1"/>
  <c r="Z8" i="135"/>
  <c r="H20" i="135" s="1"/>
  <c r="W8" i="135"/>
  <c r="H18" i="135" s="1"/>
  <c r="T8" i="135"/>
  <c r="H16" i="135" s="1"/>
  <c r="Q8" i="135"/>
  <c r="H14" i="135" s="1"/>
  <c r="N8" i="135"/>
  <c r="H12" i="135" s="1"/>
  <c r="K8" i="135"/>
  <c r="H10" i="135" s="1"/>
  <c r="F8" i="135"/>
  <c r="E8" i="135"/>
  <c r="D8" i="135"/>
  <c r="D7" i="135"/>
  <c r="AE7" i="135" s="1"/>
  <c r="C7" i="135"/>
  <c r="AC6" i="135"/>
  <c r="E22" i="135" s="1"/>
  <c r="Z6" i="135"/>
  <c r="E20" i="135" s="1"/>
  <c r="W6" i="135"/>
  <c r="E18" i="135" s="1"/>
  <c r="T6" i="135"/>
  <c r="E16" i="135" s="1"/>
  <c r="Q6" i="135"/>
  <c r="E14" i="135" s="1"/>
  <c r="N6" i="135"/>
  <c r="E12" i="135" s="1"/>
  <c r="K6" i="135"/>
  <c r="E10" i="135" s="1"/>
  <c r="H6" i="135"/>
  <c r="AE5" i="135"/>
  <c r="C5" i="135"/>
  <c r="C2" i="135"/>
  <c r="C1" i="135"/>
  <c r="AE31" i="135" l="1"/>
  <c r="AE49" i="135"/>
  <c r="C170" i="134"/>
  <c r="C93" i="134"/>
  <c r="D93" i="134" s="1"/>
  <c r="C34" i="134"/>
  <c r="D34" i="134" s="1"/>
  <c r="C151" i="134"/>
  <c r="E151" i="134" s="1"/>
  <c r="C15" i="134"/>
  <c r="C112" i="134"/>
  <c r="D112" i="134" s="1"/>
  <c r="AE71" i="135"/>
  <c r="C73" i="134"/>
  <c r="D73" i="134" s="1"/>
  <c r="C54" i="134"/>
  <c r="D54" i="134" s="1"/>
  <c r="C132" i="134"/>
  <c r="AE51" i="135"/>
  <c r="F151" i="134"/>
  <c r="C155" i="134"/>
  <c r="C116" i="134"/>
  <c r="C77" i="134"/>
  <c r="D77" i="134" s="1"/>
  <c r="C38" i="134"/>
  <c r="D38" i="134" s="1"/>
  <c r="C174" i="134"/>
  <c r="C136" i="134"/>
  <c r="D136" i="134" s="1"/>
  <c r="C97" i="134"/>
  <c r="D97" i="134" s="1"/>
  <c r="C58" i="134"/>
  <c r="D58" i="134" s="1"/>
  <c r="C19" i="134"/>
  <c r="C154" i="134"/>
  <c r="C173" i="134"/>
  <c r="C135" i="134"/>
  <c r="C115" i="134"/>
  <c r="D115" i="134" s="1"/>
  <c r="C96" i="134"/>
  <c r="D96" i="134" s="1"/>
  <c r="C76" i="134"/>
  <c r="D76" i="134" s="1"/>
  <c r="C57" i="134"/>
  <c r="D57" i="134" s="1"/>
  <c r="C37" i="134"/>
  <c r="D37" i="134" s="1"/>
  <c r="C18" i="134"/>
  <c r="C172" i="134"/>
  <c r="C153" i="134"/>
  <c r="C114" i="134"/>
  <c r="D114" i="134" s="1"/>
  <c r="C134" i="134"/>
  <c r="C95" i="134"/>
  <c r="D95" i="134" s="1"/>
  <c r="C56" i="134"/>
  <c r="D56" i="134" s="1"/>
  <c r="C17" i="134"/>
  <c r="C75" i="134"/>
  <c r="D75" i="134" s="1"/>
  <c r="C36" i="134"/>
  <c r="D36" i="134" s="1"/>
  <c r="C171" i="134"/>
  <c r="C16" i="134"/>
  <c r="C152" i="134"/>
  <c r="C133" i="134"/>
  <c r="C113" i="134"/>
  <c r="C94" i="134"/>
  <c r="D94" i="134" s="1"/>
  <c r="C74" i="134"/>
  <c r="D74" i="134" s="1"/>
  <c r="C55" i="134"/>
  <c r="D55" i="134" s="1"/>
  <c r="C35" i="134"/>
  <c r="D35" i="134" s="1"/>
  <c r="F170" i="134"/>
  <c r="D170" i="134"/>
  <c r="E170" i="134"/>
  <c r="C169" i="134"/>
  <c r="C150" i="134"/>
  <c r="C131" i="134"/>
  <c r="C111" i="134"/>
  <c r="D111" i="134" s="1"/>
  <c r="C92" i="134"/>
  <c r="D92" i="134" s="1"/>
  <c r="C72" i="134"/>
  <c r="D72" i="134" s="1"/>
  <c r="C53" i="134"/>
  <c r="D53" i="134" s="1"/>
  <c r="C33" i="134"/>
  <c r="D33" i="134" s="1"/>
  <c r="C14" i="134"/>
  <c r="C168" i="134"/>
  <c r="C130" i="134"/>
  <c r="C91" i="134"/>
  <c r="D91" i="134" s="1"/>
  <c r="C52" i="134"/>
  <c r="D52" i="134" s="1"/>
  <c r="C13" i="134"/>
  <c r="C149" i="134"/>
  <c r="C110" i="134"/>
  <c r="D110" i="134" s="1"/>
  <c r="C71" i="134"/>
  <c r="D71" i="134" s="1"/>
  <c r="C32" i="134"/>
  <c r="D32" i="134" s="1"/>
  <c r="C167" i="134"/>
  <c r="F167" i="134" s="1"/>
  <c r="C31" i="134"/>
  <c r="D31" i="134" s="1"/>
  <c r="C70" i="134"/>
  <c r="D70" i="134" s="1"/>
  <c r="C109" i="134"/>
  <c r="D109" i="134" s="1"/>
  <c r="C148" i="134"/>
  <c r="C12" i="134"/>
  <c r="C51" i="134"/>
  <c r="D51" i="134" s="1"/>
  <c r="C90" i="134"/>
  <c r="D90" i="134" s="1"/>
  <c r="C129" i="134"/>
  <c r="AE55" i="135"/>
  <c r="AE35" i="135"/>
  <c r="AE11" i="135"/>
  <c r="AE73" i="135"/>
  <c r="AE69" i="135"/>
  <c r="AE75" i="135"/>
  <c r="AE53" i="135"/>
  <c r="AE29" i="135"/>
  <c r="AE33" i="135"/>
  <c r="AH33" i="135" s="1"/>
  <c r="AE15" i="135"/>
  <c r="AE9" i="135"/>
  <c r="AE13" i="135"/>
  <c r="H34" i="135"/>
  <c r="H54" i="135"/>
  <c r="H74" i="135"/>
  <c r="C12" i="135"/>
  <c r="E95" i="134"/>
  <c r="D38" i="52"/>
  <c r="D35" i="52"/>
  <c r="D44" i="52"/>
  <c r="D21" i="52"/>
  <c r="D15" i="52"/>
  <c r="D39" i="52"/>
  <c r="D28" i="52"/>
  <c r="D30" i="52"/>
  <c r="D19" i="52"/>
  <c r="D24" i="52"/>
  <c r="E136" i="134" l="1"/>
  <c r="AH51" i="135"/>
  <c r="AH31" i="135"/>
  <c r="AH49" i="135"/>
  <c r="D151" i="134"/>
  <c r="AH73" i="135"/>
  <c r="AH69" i="135"/>
  <c r="F132" i="134"/>
  <c r="E132" i="134"/>
  <c r="D132" i="134"/>
  <c r="AH67" i="135"/>
  <c r="AH65" i="135"/>
  <c r="F116" i="134"/>
  <c r="D116" i="134"/>
  <c r="E116" i="134"/>
  <c r="F174" i="134"/>
  <c r="D174" i="134"/>
  <c r="E174" i="134"/>
  <c r="E155" i="134"/>
  <c r="F155" i="134"/>
  <c r="D155" i="134"/>
  <c r="F173" i="134"/>
  <c r="E173" i="134"/>
  <c r="D173" i="134"/>
  <c r="F135" i="134"/>
  <c r="D135" i="134"/>
  <c r="E135" i="134"/>
  <c r="F154" i="134"/>
  <c r="D154" i="134"/>
  <c r="E154" i="134"/>
  <c r="F134" i="134"/>
  <c r="D134" i="134"/>
  <c r="E134" i="134"/>
  <c r="E153" i="134"/>
  <c r="F153" i="134"/>
  <c r="D153" i="134"/>
  <c r="F172" i="134"/>
  <c r="D172" i="134"/>
  <c r="E172" i="134"/>
  <c r="F133" i="134"/>
  <c r="D133" i="134"/>
  <c r="E133" i="134"/>
  <c r="D113" i="134"/>
  <c r="E113" i="134"/>
  <c r="F152" i="134"/>
  <c r="D152" i="134"/>
  <c r="E152" i="134"/>
  <c r="F171" i="134"/>
  <c r="E171" i="134"/>
  <c r="D171" i="134"/>
  <c r="E150" i="134"/>
  <c r="F150" i="134"/>
  <c r="D150" i="134"/>
  <c r="E131" i="134"/>
  <c r="F131" i="134"/>
  <c r="D131" i="134"/>
  <c r="F169" i="134"/>
  <c r="E169" i="134"/>
  <c r="D169" i="134"/>
  <c r="F149" i="134"/>
  <c r="D149" i="134"/>
  <c r="E149" i="134"/>
  <c r="E130" i="134"/>
  <c r="F130" i="134"/>
  <c r="D130" i="134"/>
  <c r="F168" i="134"/>
  <c r="D168" i="134"/>
  <c r="E168" i="134"/>
  <c r="E167" i="134"/>
  <c r="D167" i="134"/>
  <c r="F129" i="134"/>
  <c r="D129" i="134"/>
  <c r="E129" i="134"/>
  <c r="F148" i="134"/>
  <c r="D148" i="134"/>
  <c r="E148" i="134"/>
  <c r="E97" i="134"/>
  <c r="E57" i="134"/>
  <c r="C76" i="137"/>
  <c r="D65" i="138"/>
  <c r="AY10" i="138"/>
  <c r="F136" i="134"/>
  <c r="E94" i="134"/>
  <c r="D59" i="138"/>
  <c r="AY27" i="138"/>
  <c r="C36" i="137"/>
  <c r="F95" i="134"/>
  <c r="C10" i="137"/>
  <c r="F94" i="134"/>
  <c r="C72" i="137"/>
  <c r="F97" i="134"/>
  <c r="C50" i="137"/>
  <c r="F57" i="134"/>
  <c r="AH53" i="135"/>
  <c r="AH45" i="135"/>
  <c r="AH47" i="135"/>
  <c r="AH75" i="135"/>
  <c r="AH71" i="135"/>
  <c r="AH55" i="135"/>
  <c r="AH29" i="135"/>
  <c r="AH25" i="135"/>
  <c r="AH27" i="135"/>
  <c r="AH35" i="135"/>
  <c r="AH5" i="135"/>
  <c r="AH15" i="135"/>
  <c r="AH7" i="135"/>
  <c r="AH13" i="135"/>
  <c r="AH9" i="135"/>
  <c r="AH11" i="135"/>
  <c r="D13" i="134"/>
  <c r="D19" i="134"/>
  <c r="D17" i="134"/>
  <c r="C108" i="134" l="1"/>
  <c r="D108" i="134" s="1"/>
  <c r="C10" i="134"/>
  <c r="D10" i="134" s="1"/>
  <c r="C48" i="134"/>
  <c r="D48" i="134" s="1"/>
  <c r="C69" i="134"/>
  <c r="D69" i="134" s="1"/>
  <c r="C147" i="134"/>
  <c r="F147" i="134" s="1"/>
  <c r="C11" i="134"/>
  <c r="D11" i="134" s="1"/>
  <c r="C50" i="134"/>
  <c r="D50" i="134" s="1"/>
  <c r="C89" i="134"/>
  <c r="D89" i="134" s="1"/>
  <c r="C128" i="134"/>
  <c r="E128" i="134" s="1"/>
  <c r="C165" i="134"/>
  <c r="C29" i="134"/>
  <c r="D29" i="134" s="1"/>
  <c r="C9" i="134"/>
  <c r="D9" i="134" s="1"/>
  <c r="C67" i="134"/>
  <c r="D67" i="134" s="1"/>
  <c r="C87" i="134"/>
  <c r="D87" i="134" s="1"/>
  <c r="C106" i="134"/>
  <c r="D106" i="134" s="1"/>
  <c r="C126" i="134"/>
  <c r="E126" i="134" s="1"/>
  <c r="C145" i="134"/>
  <c r="D145" i="134" s="1"/>
  <c r="C164" i="134"/>
  <c r="C28" i="134"/>
  <c r="D28" i="134" s="1"/>
  <c r="C8" i="134"/>
  <c r="D8" i="134" s="1"/>
  <c r="C47" i="134"/>
  <c r="D47" i="134" s="1"/>
  <c r="C86" i="134"/>
  <c r="D86" i="134" s="1"/>
  <c r="C125" i="134"/>
  <c r="F125" i="134" s="1"/>
  <c r="C66" i="134"/>
  <c r="D66" i="134" s="1"/>
  <c r="C105" i="134"/>
  <c r="E105" i="134" s="1"/>
  <c r="C144" i="134"/>
  <c r="F144" i="134" s="1"/>
  <c r="C163" i="134"/>
  <c r="C27" i="134"/>
  <c r="D27" i="134" s="1"/>
  <c r="C30" i="134"/>
  <c r="D30" i="134" s="1"/>
  <c r="C166" i="134"/>
  <c r="C146" i="134"/>
  <c r="E146" i="134" s="1"/>
  <c r="D18" i="134"/>
  <c r="C49" i="134"/>
  <c r="D49" i="134" s="1"/>
  <c r="C68" i="134"/>
  <c r="D68" i="134" s="1"/>
  <c r="C88" i="134"/>
  <c r="D88" i="134" s="1"/>
  <c r="C107" i="134"/>
  <c r="D107" i="134" s="1"/>
  <c r="C127" i="134"/>
  <c r="F127" i="134" s="1"/>
  <c r="D14" i="134"/>
  <c r="D16" i="134"/>
  <c r="D15" i="134"/>
  <c r="D12" i="134"/>
  <c r="F128" i="134"/>
  <c r="D105" i="134"/>
  <c r="D125" i="134" l="1"/>
  <c r="D147" i="134"/>
  <c r="F146" i="134"/>
  <c r="F126" i="134"/>
  <c r="E145" i="134"/>
  <c r="E86" i="134"/>
  <c r="E127" i="134"/>
  <c r="F145" i="134"/>
  <c r="E125" i="134"/>
  <c r="D127" i="134"/>
  <c r="D128" i="134"/>
  <c r="E147" i="134"/>
  <c r="F86" i="134"/>
  <c r="D146" i="134"/>
  <c r="F165" i="134"/>
  <c r="D165" i="134"/>
  <c r="E165" i="134"/>
  <c r="D126" i="134"/>
  <c r="F164" i="134"/>
  <c r="E164" i="134"/>
  <c r="D164" i="134"/>
  <c r="D144" i="134"/>
  <c r="E144" i="134"/>
  <c r="F163" i="134"/>
  <c r="D163" i="134"/>
  <c r="E163" i="134"/>
  <c r="F166" i="134"/>
  <c r="E166" i="134"/>
  <c r="D166" i="134"/>
  <c r="B60" i="106"/>
  <c r="B59" i="106"/>
  <c r="B58" i="106"/>
  <c r="B57" i="106"/>
  <c r="C57" i="106" s="1"/>
  <c r="B56" i="106"/>
  <c r="C56" i="106" s="1"/>
  <c r="B55" i="106"/>
  <c r="B54" i="106"/>
  <c r="C54" i="106" s="1"/>
  <c r="B53" i="106"/>
  <c r="D60" i="106"/>
  <c r="D59" i="106"/>
  <c r="E59" i="106" s="1"/>
  <c r="D58" i="106"/>
  <c r="E58" i="106" s="1"/>
  <c r="D57" i="106"/>
  <c r="D56" i="106"/>
  <c r="E56" i="106" s="1"/>
  <c r="D55" i="106"/>
  <c r="D54" i="106"/>
  <c r="D53" i="106"/>
  <c r="E53" i="106" s="1"/>
  <c r="D52" i="106"/>
  <c r="B52" i="106"/>
  <c r="C52" i="106" s="1"/>
  <c r="D75" i="106"/>
  <c r="D74" i="106"/>
  <c r="E74" i="106" s="1"/>
  <c r="D73" i="106"/>
  <c r="E73" i="106" s="1"/>
  <c r="D72" i="106"/>
  <c r="E72" i="106" s="1"/>
  <c r="B75" i="106"/>
  <c r="D81" i="106" s="1"/>
  <c r="E81" i="106" s="1"/>
  <c r="B74" i="106"/>
  <c r="B73" i="106"/>
  <c r="D80" i="106" s="1"/>
  <c r="E80" i="106" s="1"/>
  <c r="B72" i="106"/>
  <c r="C72" i="106" s="1"/>
  <c r="E75" i="106"/>
  <c r="D71" i="106"/>
  <c r="B71" i="106"/>
  <c r="D69" i="106"/>
  <c r="B69" i="106"/>
  <c r="D68" i="106"/>
  <c r="E68" i="106" s="1"/>
  <c r="B68" i="106"/>
  <c r="C68" i="106" s="1"/>
  <c r="D67" i="106"/>
  <c r="E67" i="106" s="1"/>
  <c r="B67" i="106"/>
  <c r="C67" i="106" s="1"/>
  <c r="D66" i="106"/>
  <c r="B66" i="106"/>
  <c r="D65" i="106"/>
  <c r="E65" i="106" s="1"/>
  <c r="B65" i="106"/>
  <c r="D64" i="106"/>
  <c r="E64" i="106" s="1"/>
  <c r="B64" i="106"/>
  <c r="C64" i="106" s="1"/>
  <c r="D63" i="106"/>
  <c r="E63" i="106" s="1"/>
  <c r="B63" i="106"/>
  <c r="C63" i="106" s="1"/>
  <c r="D62" i="106"/>
  <c r="B62" i="106"/>
  <c r="D61" i="106"/>
  <c r="E61" i="106" s="1"/>
  <c r="B61" i="106"/>
  <c r="D50" i="106"/>
  <c r="E50" i="106" s="1"/>
  <c r="B50" i="106"/>
  <c r="D49" i="106"/>
  <c r="B49" i="106"/>
  <c r="D48" i="106"/>
  <c r="B48" i="106"/>
  <c r="D47" i="106"/>
  <c r="B47" i="106"/>
  <c r="D46" i="106"/>
  <c r="E46" i="106" s="1"/>
  <c r="B46" i="106"/>
  <c r="C46" i="106" s="1"/>
  <c r="D45" i="106"/>
  <c r="B45" i="106"/>
  <c r="C45" i="106" s="1"/>
  <c r="D44" i="106"/>
  <c r="E44" i="106" s="1"/>
  <c r="B44" i="106"/>
  <c r="D43" i="106"/>
  <c r="B43" i="106"/>
  <c r="D42" i="106"/>
  <c r="E42" i="106" s="1"/>
  <c r="D41" i="106"/>
  <c r="E41" i="106" s="1"/>
  <c r="B42" i="106"/>
  <c r="C42" i="106" s="1"/>
  <c r="B41" i="106"/>
  <c r="D40" i="106"/>
  <c r="B40" i="106"/>
  <c r="C40" i="106" s="1"/>
  <c r="D38" i="106"/>
  <c r="E38" i="106" s="1"/>
  <c r="B38" i="106"/>
  <c r="O53" i="106"/>
  <c r="O54" i="106"/>
  <c r="O55" i="106"/>
  <c r="O56" i="106"/>
  <c r="O57" i="106"/>
  <c r="O58" i="106"/>
  <c r="O59" i="106"/>
  <c r="O60" i="106"/>
  <c r="O61" i="106"/>
  <c r="O62" i="106"/>
  <c r="O63" i="106"/>
  <c r="O64" i="106"/>
  <c r="O65" i="106"/>
  <c r="O66" i="106"/>
  <c r="O67" i="106"/>
  <c r="O68" i="106"/>
  <c r="O69" i="106"/>
  <c r="O70" i="106"/>
  <c r="O71" i="106"/>
  <c r="O72" i="106"/>
  <c r="O73" i="106"/>
  <c r="O74" i="106"/>
  <c r="O75" i="106"/>
  <c r="O76" i="106"/>
  <c r="O77" i="106"/>
  <c r="O78" i="106"/>
  <c r="O79" i="106"/>
  <c r="O80" i="106"/>
  <c r="O81" i="106"/>
  <c r="O82" i="106"/>
  <c r="O83" i="106"/>
  <c r="B39" i="106"/>
  <c r="C39" i="106" s="1"/>
  <c r="D37" i="106"/>
  <c r="B37" i="106"/>
  <c r="D36" i="106"/>
  <c r="B36" i="106"/>
  <c r="D35" i="106"/>
  <c r="B35" i="106"/>
  <c r="G29" i="133"/>
  <c r="G27" i="133"/>
  <c r="J19" i="133"/>
  <c r="D14" i="133"/>
  <c r="G13" i="133"/>
  <c r="D12" i="133"/>
  <c r="J11" i="133"/>
  <c r="D10" i="133"/>
  <c r="G9" i="133"/>
  <c r="D8" i="133"/>
  <c r="K3" i="133"/>
  <c r="D3" i="133"/>
  <c r="G4" i="133"/>
  <c r="D2" i="133"/>
  <c r="D1" i="133"/>
  <c r="F20" i="133"/>
  <c r="G20" i="133" s="1"/>
  <c r="F18" i="133"/>
  <c r="I23" i="133" s="1"/>
  <c r="J23" i="133" s="1"/>
  <c r="I15" i="133"/>
  <c r="Q70" i="107"/>
  <c r="K74" i="107" s="1"/>
  <c r="I2" i="114"/>
  <c r="J4" i="109"/>
  <c r="E68" i="134"/>
  <c r="E66" i="134"/>
  <c r="E88" i="134"/>
  <c r="E74" i="134"/>
  <c r="E34" i="134"/>
  <c r="E71" i="134"/>
  <c r="E49" i="134"/>
  <c r="E36" i="134"/>
  <c r="E92" i="134"/>
  <c r="E70" i="134"/>
  <c r="E56" i="134"/>
  <c r="E90" i="134"/>
  <c r="E58" i="134"/>
  <c r="E109" i="134"/>
  <c r="E48" i="134"/>
  <c r="E111" i="134"/>
  <c r="E53" i="134"/>
  <c r="E112" i="134"/>
  <c r="E47" i="134"/>
  <c r="E32" i="134"/>
  <c r="E93" i="134"/>
  <c r="E110" i="134"/>
  <c r="E107" i="134"/>
  <c r="E50" i="134"/>
  <c r="E76" i="134"/>
  <c r="E69" i="134"/>
  <c r="E77" i="134"/>
  <c r="E31" i="134"/>
  <c r="C26" i="137"/>
  <c r="C6" i="86"/>
  <c r="D13" i="133"/>
  <c r="C34" i="86"/>
  <c r="F28" i="134"/>
  <c r="F70" i="134"/>
  <c r="C46" i="137"/>
  <c r="C22" i="86"/>
  <c r="C20" i="86"/>
  <c r="D15" i="133"/>
  <c r="C48" i="135"/>
  <c r="C28" i="135"/>
  <c r="AA61" i="138"/>
  <c r="AJ55" i="138"/>
  <c r="D55" i="109"/>
  <c r="C68" i="137"/>
  <c r="C68" i="136"/>
  <c r="D10" i="109"/>
  <c r="D14" i="52"/>
  <c r="D22" i="52"/>
  <c r="D9" i="52"/>
  <c r="D26" i="52"/>
  <c r="D10" i="52"/>
  <c r="D29" i="52"/>
  <c r="D23" i="52"/>
  <c r="D41" i="52"/>
  <c r="D20" i="52"/>
  <c r="D37" i="52"/>
  <c r="D40" i="52"/>
  <c r="D36" i="52"/>
  <c r="D31" i="52"/>
  <c r="D11" i="52"/>
  <c r="D32" i="52"/>
  <c r="D13" i="52"/>
  <c r="D17" i="52"/>
  <c r="D43" i="52"/>
  <c r="D33" i="52"/>
  <c r="D25" i="52"/>
  <c r="D42" i="52"/>
  <c r="D16" i="52"/>
  <c r="D12" i="52"/>
  <c r="D18" i="52"/>
  <c r="AH77" i="107"/>
  <c r="AH79" i="107"/>
  <c r="AH81" i="107"/>
  <c r="AH59" i="107"/>
  <c r="AH17" i="107"/>
  <c r="AH19" i="107"/>
  <c r="AH21" i="107"/>
  <c r="H6" i="107"/>
  <c r="B1" i="121"/>
  <c r="Q25" i="121" s="1"/>
  <c r="W25" i="121"/>
  <c r="H25" i="121"/>
  <c r="W17" i="121"/>
  <c r="H17" i="121"/>
  <c r="W9" i="121"/>
  <c r="H9" i="121"/>
  <c r="W1" i="121"/>
  <c r="F1" i="121"/>
  <c r="F17" i="121" s="1"/>
  <c r="G6" i="114"/>
  <c r="H6" i="114" s="1"/>
  <c r="G7" i="114"/>
  <c r="H7" i="114" s="1"/>
  <c r="G8" i="114"/>
  <c r="H8" i="114" s="1"/>
  <c r="G9" i="114"/>
  <c r="H9" i="114" s="1"/>
  <c r="G10" i="114"/>
  <c r="H10" i="114" s="1"/>
  <c r="G11" i="114"/>
  <c r="H11" i="114" s="1"/>
  <c r="G12" i="114"/>
  <c r="H12" i="114" s="1"/>
  <c r="G13" i="114"/>
  <c r="H13" i="114" s="1"/>
  <c r="G14" i="114"/>
  <c r="H14" i="114" s="1"/>
  <c r="G15" i="114"/>
  <c r="H15" i="114" s="1"/>
  <c r="G16" i="114"/>
  <c r="H16" i="114" s="1"/>
  <c r="G17" i="114"/>
  <c r="H17" i="114" s="1"/>
  <c r="G18" i="114"/>
  <c r="H18" i="114" s="1"/>
  <c r="G19" i="114"/>
  <c r="H19" i="114" s="1"/>
  <c r="G20" i="114"/>
  <c r="H20" i="114" s="1"/>
  <c r="G21" i="114"/>
  <c r="H21" i="114" s="1"/>
  <c r="G22" i="114"/>
  <c r="H22" i="114" s="1"/>
  <c r="G23" i="114"/>
  <c r="H23" i="114" s="1"/>
  <c r="G24" i="114"/>
  <c r="H24" i="114" s="1"/>
  <c r="G25" i="114"/>
  <c r="H25" i="114" s="1"/>
  <c r="G26" i="114"/>
  <c r="H26" i="114" s="1"/>
  <c r="G27" i="114"/>
  <c r="H27" i="114" s="1"/>
  <c r="G28" i="114"/>
  <c r="H28" i="114" s="1"/>
  <c r="G29" i="114"/>
  <c r="H29" i="114" s="1"/>
  <c r="G30" i="114"/>
  <c r="H30" i="114" s="1"/>
  <c r="G31" i="114"/>
  <c r="H31" i="114" s="1"/>
  <c r="G32" i="114"/>
  <c r="H32" i="114" s="1"/>
  <c r="G33" i="114"/>
  <c r="H33" i="114" s="1"/>
  <c r="G34" i="114"/>
  <c r="H34" i="114" s="1"/>
  <c r="G35" i="114"/>
  <c r="H35" i="114" s="1"/>
  <c r="G36" i="114"/>
  <c r="H36" i="114" s="1"/>
  <c r="G37" i="114"/>
  <c r="H37" i="114" s="1"/>
  <c r="G38" i="114"/>
  <c r="H38" i="114" s="1"/>
  <c r="G39" i="114"/>
  <c r="H39" i="114" s="1"/>
  <c r="G40" i="114"/>
  <c r="H40" i="114" s="1"/>
  <c r="G41" i="114"/>
  <c r="H41" i="114" s="1"/>
  <c r="G42" i="114"/>
  <c r="H42" i="114" s="1"/>
  <c r="G43" i="114"/>
  <c r="H43" i="114" s="1"/>
  <c r="G44" i="114"/>
  <c r="H44" i="114" s="1"/>
  <c r="G45" i="114"/>
  <c r="H45" i="114" s="1"/>
  <c r="G46" i="114"/>
  <c r="H46" i="114" s="1"/>
  <c r="G47" i="114"/>
  <c r="H47" i="114" s="1"/>
  <c r="G48" i="114"/>
  <c r="H48" i="114" s="1"/>
  <c r="G49" i="114"/>
  <c r="H49" i="114" s="1"/>
  <c r="G50" i="114"/>
  <c r="H50" i="114" s="1"/>
  <c r="G51" i="114"/>
  <c r="H51" i="114" s="1"/>
  <c r="G52" i="114"/>
  <c r="H52" i="114" s="1"/>
  <c r="G53" i="114"/>
  <c r="H53" i="114" s="1"/>
  <c r="G54" i="114"/>
  <c r="H54" i="114" s="1"/>
  <c r="G55" i="114"/>
  <c r="H55" i="114" s="1"/>
  <c r="G56" i="114"/>
  <c r="H56" i="114" s="1"/>
  <c r="G57" i="114"/>
  <c r="H57" i="114" s="1"/>
  <c r="G58" i="114"/>
  <c r="H58" i="114" s="1"/>
  <c r="G59" i="114"/>
  <c r="H59" i="114" s="1"/>
  <c r="G60" i="114"/>
  <c r="H60" i="114" s="1"/>
  <c r="G61" i="114"/>
  <c r="H61" i="114" s="1"/>
  <c r="G62" i="114"/>
  <c r="H62" i="114" s="1"/>
  <c r="G63" i="114"/>
  <c r="H63" i="114" s="1"/>
  <c r="G64" i="114"/>
  <c r="H64" i="114" s="1"/>
  <c r="G65" i="114"/>
  <c r="H65" i="114" s="1"/>
  <c r="G66" i="114"/>
  <c r="H66" i="114" s="1"/>
  <c r="G67" i="114"/>
  <c r="H67" i="114" s="1"/>
  <c r="G68" i="114"/>
  <c r="H68" i="114" s="1"/>
  <c r="G5" i="114"/>
  <c r="H5" i="114" s="1"/>
  <c r="O6" i="114"/>
  <c r="P6" i="114" s="1"/>
  <c r="O7" i="114"/>
  <c r="P7" i="114" s="1"/>
  <c r="O8" i="114"/>
  <c r="P8" i="114" s="1"/>
  <c r="O9" i="114"/>
  <c r="P9" i="114" s="1"/>
  <c r="O10" i="114"/>
  <c r="P10" i="114" s="1"/>
  <c r="O11" i="114"/>
  <c r="P11" i="114" s="1"/>
  <c r="O12" i="114"/>
  <c r="P12" i="114" s="1"/>
  <c r="O13" i="114"/>
  <c r="P13" i="114" s="1"/>
  <c r="O14" i="114"/>
  <c r="P14" i="114" s="1"/>
  <c r="O15" i="114"/>
  <c r="P15" i="114" s="1"/>
  <c r="O16" i="114"/>
  <c r="P16" i="114" s="1"/>
  <c r="O17" i="114"/>
  <c r="P17" i="114" s="1"/>
  <c r="O18" i="114"/>
  <c r="P18" i="114" s="1"/>
  <c r="O19" i="114"/>
  <c r="P19" i="114" s="1"/>
  <c r="O20" i="114"/>
  <c r="P20" i="114" s="1"/>
  <c r="O21" i="114"/>
  <c r="P21" i="114" s="1"/>
  <c r="O22" i="114"/>
  <c r="P22" i="114" s="1"/>
  <c r="O23" i="114"/>
  <c r="P23" i="114" s="1"/>
  <c r="O24" i="114"/>
  <c r="P24" i="114" s="1"/>
  <c r="O25" i="114"/>
  <c r="P25" i="114" s="1"/>
  <c r="O26" i="114"/>
  <c r="P26" i="114" s="1"/>
  <c r="O27" i="114"/>
  <c r="P27" i="114" s="1"/>
  <c r="O28" i="114"/>
  <c r="P28" i="114" s="1"/>
  <c r="O29" i="114"/>
  <c r="P29" i="114" s="1"/>
  <c r="O30" i="114"/>
  <c r="P30" i="114" s="1"/>
  <c r="O31" i="114"/>
  <c r="P31" i="114" s="1"/>
  <c r="O32" i="114"/>
  <c r="P32" i="114" s="1"/>
  <c r="O33" i="114"/>
  <c r="P33" i="114" s="1"/>
  <c r="O34" i="114"/>
  <c r="P34" i="114" s="1"/>
  <c r="O35" i="114"/>
  <c r="P35" i="114" s="1"/>
  <c r="O36" i="114"/>
  <c r="P36" i="114" s="1"/>
  <c r="O37" i="114"/>
  <c r="P37" i="114" s="1"/>
  <c r="O38" i="114"/>
  <c r="P38" i="114" s="1"/>
  <c r="O39" i="114"/>
  <c r="P39" i="114" s="1"/>
  <c r="O40" i="114"/>
  <c r="P40" i="114" s="1"/>
  <c r="O41" i="114"/>
  <c r="P41" i="114" s="1"/>
  <c r="O42" i="114"/>
  <c r="P42" i="114" s="1"/>
  <c r="O43" i="114"/>
  <c r="P43" i="114" s="1"/>
  <c r="O44" i="114"/>
  <c r="P44" i="114" s="1"/>
  <c r="O45" i="114"/>
  <c r="P45" i="114" s="1"/>
  <c r="O46" i="114"/>
  <c r="P46" i="114" s="1"/>
  <c r="O47" i="114"/>
  <c r="P47" i="114" s="1"/>
  <c r="O48" i="114"/>
  <c r="P48" i="114" s="1"/>
  <c r="O49" i="114"/>
  <c r="P49" i="114" s="1"/>
  <c r="O50" i="114"/>
  <c r="P50" i="114" s="1"/>
  <c r="O51" i="114"/>
  <c r="P51" i="114" s="1"/>
  <c r="O52" i="114"/>
  <c r="P52" i="114" s="1"/>
  <c r="O53" i="114"/>
  <c r="P53" i="114" s="1"/>
  <c r="O54" i="114"/>
  <c r="P54" i="114" s="1"/>
  <c r="O55" i="114"/>
  <c r="P55" i="114" s="1"/>
  <c r="O56" i="114"/>
  <c r="P56" i="114" s="1"/>
  <c r="O57" i="114"/>
  <c r="P57" i="114" s="1"/>
  <c r="O58" i="114"/>
  <c r="P58" i="114" s="1"/>
  <c r="O59" i="114"/>
  <c r="P59" i="114" s="1"/>
  <c r="O60" i="114"/>
  <c r="P60" i="114" s="1"/>
  <c r="O5" i="114"/>
  <c r="P5" i="114" s="1"/>
  <c r="M6" i="114"/>
  <c r="N6" i="114" s="1"/>
  <c r="M7" i="114"/>
  <c r="N7" i="114" s="1"/>
  <c r="M8" i="114"/>
  <c r="N8" i="114" s="1"/>
  <c r="M9" i="114"/>
  <c r="N9" i="114" s="1"/>
  <c r="M10" i="114"/>
  <c r="N10" i="114" s="1"/>
  <c r="M11" i="114"/>
  <c r="N11" i="114" s="1"/>
  <c r="M12" i="114"/>
  <c r="N12" i="114" s="1"/>
  <c r="M13" i="114"/>
  <c r="N13" i="114" s="1"/>
  <c r="M14" i="114"/>
  <c r="N14" i="114" s="1"/>
  <c r="M15" i="114"/>
  <c r="N15" i="114" s="1"/>
  <c r="M16" i="114"/>
  <c r="N16" i="114" s="1"/>
  <c r="M17" i="114"/>
  <c r="N17" i="114" s="1"/>
  <c r="M18" i="114"/>
  <c r="N18" i="114" s="1"/>
  <c r="M19" i="114"/>
  <c r="N19" i="114" s="1"/>
  <c r="M20" i="114"/>
  <c r="N20" i="114" s="1"/>
  <c r="M21" i="114"/>
  <c r="N21" i="114" s="1"/>
  <c r="M22" i="114"/>
  <c r="N22" i="114" s="1"/>
  <c r="M23" i="114"/>
  <c r="N23" i="114" s="1"/>
  <c r="M24" i="114"/>
  <c r="N24" i="114" s="1"/>
  <c r="M25" i="114"/>
  <c r="N25" i="114" s="1"/>
  <c r="M26" i="114"/>
  <c r="N26" i="114" s="1"/>
  <c r="M27" i="114"/>
  <c r="N27" i="114" s="1"/>
  <c r="M28" i="114"/>
  <c r="N28" i="114" s="1"/>
  <c r="M29" i="114"/>
  <c r="N29" i="114" s="1"/>
  <c r="M30" i="114"/>
  <c r="N30" i="114" s="1"/>
  <c r="M31" i="114"/>
  <c r="N31" i="114" s="1"/>
  <c r="M32" i="114"/>
  <c r="N32" i="114" s="1"/>
  <c r="M33" i="114"/>
  <c r="N33" i="114" s="1"/>
  <c r="M34" i="114"/>
  <c r="N34" i="114" s="1"/>
  <c r="M35" i="114"/>
  <c r="N35" i="114" s="1"/>
  <c r="M36" i="114"/>
  <c r="N36" i="114" s="1"/>
  <c r="M37" i="114"/>
  <c r="N37" i="114" s="1"/>
  <c r="M38" i="114"/>
  <c r="N38" i="114" s="1"/>
  <c r="M39" i="114"/>
  <c r="N39" i="114" s="1"/>
  <c r="M40" i="114"/>
  <c r="N40" i="114" s="1"/>
  <c r="M41" i="114"/>
  <c r="N41" i="114" s="1"/>
  <c r="M42" i="114"/>
  <c r="N42" i="114" s="1"/>
  <c r="M43" i="114"/>
  <c r="N43" i="114" s="1"/>
  <c r="M44" i="114"/>
  <c r="N44" i="114" s="1"/>
  <c r="M45" i="114"/>
  <c r="N45" i="114" s="1"/>
  <c r="M46" i="114"/>
  <c r="N46" i="114" s="1"/>
  <c r="M47" i="114"/>
  <c r="N47" i="114" s="1"/>
  <c r="M48" i="114"/>
  <c r="N48" i="114" s="1"/>
  <c r="M49" i="114"/>
  <c r="N49" i="114" s="1"/>
  <c r="M50" i="114"/>
  <c r="N50" i="114" s="1"/>
  <c r="M51" i="114"/>
  <c r="N51" i="114" s="1"/>
  <c r="M52" i="114"/>
  <c r="N52" i="114" s="1"/>
  <c r="M53" i="114"/>
  <c r="N53" i="114" s="1"/>
  <c r="M54" i="114"/>
  <c r="N54" i="114" s="1"/>
  <c r="M55" i="114"/>
  <c r="N55" i="114" s="1"/>
  <c r="M56" i="114"/>
  <c r="N56" i="114" s="1"/>
  <c r="M57" i="114"/>
  <c r="N57" i="114" s="1"/>
  <c r="M58" i="114"/>
  <c r="N58" i="114" s="1"/>
  <c r="M59" i="114"/>
  <c r="N59" i="114" s="1"/>
  <c r="M60" i="114"/>
  <c r="N60" i="114" s="1"/>
  <c r="M5" i="114"/>
  <c r="N5" i="114" s="1"/>
  <c r="E6" i="114"/>
  <c r="F6" i="114" s="1"/>
  <c r="E7" i="114"/>
  <c r="F7" i="114" s="1"/>
  <c r="E8" i="114"/>
  <c r="F8" i="114" s="1"/>
  <c r="E9" i="114"/>
  <c r="F9" i="114" s="1"/>
  <c r="E10" i="114"/>
  <c r="F10" i="114" s="1"/>
  <c r="E11" i="114"/>
  <c r="F11" i="114" s="1"/>
  <c r="E12" i="114"/>
  <c r="F12" i="114" s="1"/>
  <c r="E13" i="114"/>
  <c r="F13" i="114" s="1"/>
  <c r="E14" i="114"/>
  <c r="F14" i="114" s="1"/>
  <c r="E15" i="114"/>
  <c r="F15" i="114" s="1"/>
  <c r="E16" i="114"/>
  <c r="F16" i="114" s="1"/>
  <c r="E17" i="114"/>
  <c r="F17" i="114" s="1"/>
  <c r="E18" i="114"/>
  <c r="F18" i="114" s="1"/>
  <c r="E19" i="114"/>
  <c r="F19" i="114" s="1"/>
  <c r="E20" i="114"/>
  <c r="F20" i="114" s="1"/>
  <c r="E21" i="114"/>
  <c r="F21" i="114" s="1"/>
  <c r="E22" i="114"/>
  <c r="F22" i="114" s="1"/>
  <c r="E23" i="114"/>
  <c r="F23" i="114" s="1"/>
  <c r="E24" i="114"/>
  <c r="F24" i="114" s="1"/>
  <c r="E25" i="114"/>
  <c r="F25" i="114" s="1"/>
  <c r="E26" i="114"/>
  <c r="F26" i="114" s="1"/>
  <c r="E27" i="114"/>
  <c r="F27" i="114" s="1"/>
  <c r="E28" i="114"/>
  <c r="F28" i="114" s="1"/>
  <c r="E29" i="114"/>
  <c r="F29" i="114" s="1"/>
  <c r="E30" i="114"/>
  <c r="F30" i="114" s="1"/>
  <c r="E31" i="114"/>
  <c r="F31" i="114" s="1"/>
  <c r="E32" i="114"/>
  <c r="F32" i="114" s="1"/>
  <c r="E33" i="114"/>
  <c r="F33" i="114" s="1"/>
  <c r="E34" i="114"/>
  <c r="F34" i="114" s="1"/>
  <c r="E35" i="114"/>
  <c r="F35" i="114" s="1"/>
  <c r="E36" i="114"/>
  <c r="F36" i="114" s="1"/>
  <c r="E37" i="114"/>
  <c r="F37" i="114" s="1"/>
  <c r="E38" i="114"/>
  <c r="F38" i="114" s="1"/>
  <c r="E39" i="114"/>
  <c r="F39" i="114" s="1"/>
  <c r="E40" i="114"/>
  <c r="F40" i="114" s="1"/>
  <c r="E41" i="114"/>
  <c r="F41" i="114" s="1"/>
  <c r="E42" i="114"/>
  <c r="F42" i="114" s="1"/>
  <c r="E43" i="114"/>
  <c r="F43" i="114" s="1"/>
  <c r="E44" i="114"/>
  <c r="F44" i="114" s="1"/>
  <c r="E45" i="114"/>
  <c r="F45" i="114" s="1"/>
  <c r="E46" i="114"/>
  <c r="F46" i="114" s="1"/>
  <c r="E47" i="114"/>
  <c r="F47" i="114" s="1"/>
  <c r="E48" i="114"/>
  <c r="F48" i="114" s="1"/>
  <c r="E49" i="114"/>
  <c r="F49" i="114" s="1"/>
  <c r="E50" i="114"/>
  <c r="F50" i="114" s="1"/>
  <c r="E51" i="114"/>
  <c r="F51" i="114" s="1"/>
  <c r="E52" i="114"/>
  <c r="F52" i="114" s="1"/>
  <c r="E53" i="114"/>
  <c r="F53" i="114" s="1"/>
  <c r="E54" i="114"/>
  <c r="F54" i="114" s="1"/>
  <c r="E55" i="114"/>
  <c r="F55" i="114" s="1"/>
  <c r="E56" i="114"/>
  <c r="F56" i="114" s="1"/>
  <c r="E57" i="114"/>
  <c r="F57" i="114" s="1"/>
  <c r="E58" i="114"/>
  <c r="F58" i="114" s="1"/>
  <c r="E59" i="114"/>
  <c r="F59" i="114" s="1"/>
  <c r="E60" i="114"/>
  <c r="F60" i="114" s="1"/>
  <c r="E61" i="114"/>
  <c r="F61" i="114" s="1"/>
  <c r="E62" i="114"/>
  <c r="F62" i="114" s="1"/>
  <c r="E63" i="114"/>
  <c r="F63" i="114" s="1"/>
  <c r="E64" i="114"/>
  <c r="F64" i="114" s="1"/>
  <c r="E65" i="114"/>
  <c r="F65" i="114" s="1"/>
  <c r="E66" i="114"/>
  <c r="F66" i="114" s="1"/>
  <c r="E67" i="114"/>
  <c r="F67" i="114" s="1"/>
  <c r="E68" i="114"/>
  <c r="F68" i="114" s="1"/>
  <c r="E5" i="114"/>
  <c r="F5" i="114" s="1"/>
  <c r="AE41" i="113"/>
  <c r="AE34" i="113"/>
  <c r="AE27" i="113"/>
  <c r="AE20" i="113"/>
  <c r="AE11" i="113"/>
  <c r="AE10" i="113"/>
  <c r="V36" i="113"/>
  <c r="V26" i="113"/>
  <c r="AB14" i="113"/>
  <c r="AB6" i="113"/>
  <c r="Y16" i="113"/>
  <c r="Y8" i="113"/>
  <c r="V18" i="113"/>
  <c r="V14" i="113"/>
  <c r="V10" i="113"/>
  <c r="V6" i="113"/>
  <c r="T38" i="113"/>
  <c r="T34" i="113"/>
  <c r="T28" i="113"/>
  <c r="T24" i="113"/>
  <c r="T19" i="113"/>
  <c r="T15" i="113"/>
  <c r="T11" i="113"/>
  <c r="T7" i="113"/>
  <c r="M25" i="113"/>
  <c r="K33" i="113"/>
  <c r="K17" i="113"/>
  <c r="I37" i="113"/>
  <c r="I29" i="113"/>
  <c r="I21" i="113"/>
  <c r="I13" i="113"/>
  <c r="F39" i="113"/>
  <c r="F35" i="113"/>
  <c r="F31" i="113"/>
  <c r="F27" i="113"/>
  <c r="F23" i="113"/>
  <c r="F19" i="113"/>
  <c r="F15" i="113"/>
  <c r="F11" i="113"/>
  <c r="D40" i="113"/>
  <c r="D38" i="113"/>
  <c r="D36" i="113"/>
  <c r="D34" i="113"/>
  <c r="D32" i="113"/>
  <c r="D30" i="113"/>
  <c r="D28" i="113"/>
  <c r="D26" i="113"/>
  <c r="D24" i="113"/>
  <c r="D22" i="113"/>
  <c r="D20" i="113"/>
  <c r="D18" i="113"/>
  <c r="D10" i="113"/>
  <c r="D12" i="113"/>
  <c r="M26" i="113"/>
  <c r="D16" i="113"/>
  <c r="D14" i="113"/>
  <c r="C40" i="113"/>
  <c r="C38" i="113"/>
  <c r="C36" i="113"/>
  <c r="C34" i="113"/>
  <c r="C32" i="113"/>
  <c r="C30" i="113"/>
  <c r="C28" i="113"/>
  <c r="C26" i="113"/>
  <c r="C24" i="113"/>
  <c r="C22" i="113"/>
  <c r="C20" i="113"/>
  <c r="C18" i="113"/>
  <c r="C16" i="113"/>
  <c r="C14" i="113"/>
  <c r="C12" i="113"/>
  <c r="C10" i="113"/>
  <c r="V46" i="113"/>
  <c r="V44" i="113"/>
  <c r="I6" i="113"/>
  <c r="H77" i="112"/>
  <c r="H75" i="112"/>
  <c r="M3" i="112"/>
  <c r="A3" i="112"/>
  <c r="A2" i="112"/>
  <c r="A1" i="112"/>
  <c r="D3" i="86"/>
  <c r="M10" i="109"/>
  <c r="Q105" i="109"/>
  <c r="Q39" i="109"/>
  <c r="Q14" i="109"/>
  <c r="Q9" i="109"/>
  <c r="Q13" i="109"/>
  <c r="Q12" i="109"/>
  <c r="Q86" i="109"/>
  <c r="Q84" i="109"/>
  <c r="Q102" i="109"/>
  <c r="Q15" i="109"/>
  <c r="Q75" i="109"/>
  <c r="Q91" i="109"/>
  <c r="Q79" i="109"/>
  <c r="Q68" i="109"/>
  <c r="Q92" i="109"/>
  <c r="Q23" i="109"/>
  <c r="Q80" i="109"/>
  <c r="Q66" i="109"/>
  <c r="Q69" i="109"/>
  <c r="Q37" i="109"/>
  <c r="Q87" i="109"/>
  <c r="Q85" i="109"/>
  <c r="Q40" i="109"/>
  <c r="Q28" i="109"/>
  <c r="Q43" i="109"/>
  <c r="Q20" i="109"/>
  <c r="Q88" i="109"/>
  <c r="Q82" i="109"/>
  <c r="Q58" i="109"/>
  <c r="Q31" i="109"/>
  <c r="Q70" i="109"/>
  <c r="Q50" i="109"/>
  <c r="Q18" i="109"/>
  <c r="Q48" i="109"/>
  <c r="Q29" i="109"/>
  <c r="Q56" i="109"/>
  <c r="Q26" i="109"/>
  <c r="Q41" i="109"/>
  <c r="Q101" i="109"/>
  <c r="Q60" i="109"/>
  <c r="Q47" i="109"/>
  <c r="Q94" i="109"/>
  <c r="Q57" i="109"/>
  <c r="Q71" i="109"/>
  <c r="Q44" i="109"/>
  <c r="Q36" i="109"/>
  <c r="Q98" i="109"/>
  <c r="Q64" i="109"/>
  <c r="Q46" i="109"/>
  <c r="Q90" i="109"/>
  <c r="Q96" i="109"/>
  <c r="Q54" i="109"/>
  <c r="Q83" i="109"/>
  <c r="Q33" i="109"/>
  <c r="Q21" i="109"/>
  <c r="Q63" i="109"/>
  <c r="Q30" i="109"/>
  <c r="Q73" i="109"/>
  <c r="Q78" i="109"/>
  <c r="Q27" i="109"/>
  <c r="Q81" i="109"/>
  <c r="Q89" i="109"/>
  <c r="Q100" i="109"/>
  <c r="Q99" i="109"/>
  <c r="Q51" i="109"/>
  <c r="Q45" i="109"/>
  <c r="Q52" i="109"/>
  <c r="Q35" i="109"/>
  <c r="Q77" i="109"/>
  <c r="Q22" i="109"/>
  <c r="Q67" i="109"/>
  <c r="Q59" i="109"/>
  <c r="Q24" i="109"/>
  <c r="Q53" i="109"/>
  <c r="Q19" i="109"/>
  <c r="Q65" i="109"/>
  <c r="Q17" i="109"/>
  <c r="Q95" i="109"/>
  <c r="Q25" i="109"/>
  <c r="Q74" i="109"/>
  <c r="Q62" i="109"/>
  <c r="Q34" i="109"/>
  <c r="Q11" i="109"/>
  <c r="Q103" i="109"/>
  <c r="Q61" i="109"/>
  <c r="Q72" i="109"/>
  <c r="Q16" i="109"/>
  <c r="Q104" i="109"/>
  <c r="Q76" i="109"/>
  <c r="Q49" i="109"/>
  <c r="Q93" i="109"/>
  <c r="Q97" i="109"/>
  <c r="M105" i="109"/>
  <c r="M39" i="109"/>
  <c r="M14" i="109"/>
  <c r="M9" i="109"/>
  <c r="M13" i="109"/>
  <c r="M12" i="109"/>
  <c r="M86" i="109"/>
  <c r="M84" i="109"/>
  <c r="M102" i="109"/>
  <c r="M15" i="109"/>
  <c r="M75" i="109"/>
  <c r="M91" i="109"/>
  <c r="M79" i="109"/>
  <c r="M68" i="109"/>
  <c r="M92" i="109"/>
  <c r="M23" i="109"/>
  <c r="M80" i="109"/>
  <c r="M66" i="109"/>
  <c r="M69" i="109"/>
  <c r="M37" i="109"/>
  <c r="M87" i="109"/>
  <c r="M85" i="109"/>
  <c r="M40" i="109"/>
  <c r="M28" i="109"/>
  <c r="M43" i="109"/>
  <c r="M20" i="109"/>
  <c r="M88" i="109"/>
  <c r="M82" i="109"/>
  <c r="M58" i="109"/>
  <c r="M31" i="109"/>
  <c r="M70" i="109"/>
  <c r="M50" i="109"/>
  <c r="M18" i="109"/>
  <c r="M48" i="109"/>
  <c r="M29" i="109"/>
  <c r="M56" i="109"/>
  <c r="M26" i="109"/>
  <c r="M41" i="109"/>
  <c r="M101" i="109"/>
  <c r="M60" i="109"/>
  <c r="M47" i="109"/>
  <c r="M94" i="109"/>
  <c r="M57" i="109"/>
  <c r="M71" i="109"/>
  <c r="M44" i="109"/>
  <c r="M36" i="109"/>
  <c r="M98" i="109"/>
  <c r="M64" i="109"/>
  <c r="M46" i="109"/>
  <c r="M90" i="109"/>
  <c r="M96" i="109"/>
  <c r="M54" i="109"/>
  <c r="M83" i="109"/>
  <c r="M33" i="109"/>
  <c r="M21" i="109"/>
  <c r="M63" i="109"/>
  <c r="M30" i="109"/>
  <c r="M73" i="109"/>
  <c r="M78" i="109"/>
  <c r="M27" i="109"/>
  <c r="M81" i="109"/>
  <c r="M89" i="109"/>
  <c r="M100" i="109"/>
  <c r="M99" i="109"/>
  <c r="M51" i="109"/>
  <c r="M45" i="109"/>
  <c r="M52" i="109"/>
  <c r="M35" i="109"/>
  <c r="M77" i="109"/>
  <c r="M22" i="109"/>
  <c r="M67" i="109"/>
  <c r="M59" i="109"/>
  <c r="M24" i="109"/>
  <c r="M53" i="109"/>
  <c r="M19" i="109"/>
  <c r="M65" i="109"/>
  <c r="M17" i="109"/>
  <c r="M95" i="109"/>
  <c r="M25" i="109"/>
  <c r="M74" i="109"/>
  <c r="M62" i="109"/>
  <c r="M34" i="109"/>
  <c r="M11" i="109"/>
  <c r="M103" i="109"/>
  <c r="M61" i="109"/>
  <c r="M72" i="109"/>
  <c r="M16" i="109"/>
  <c r="M104" i="109"/>
  <c r="M76" i="109"/>
  <c r="M49" i="109"/>
  <c r="M93" i="109"/>
  <c r="M97" i="109"/>
  <c r="K105" i="109"/>
  <c r="K39" i="109"/>
  <c r="K14" i="109"/>
  <c r="K9" i="109"/>
  <c r="K13" i="109"/>
  <c r="K12" i="109"/>
  <c r="K86" i="109"/>
  <c r="K84" i="109"/>
  <c r="K102" i="109"/>
  <c r="K15" i="109"/>
  <c r="K75" i="109"/>
  <c r="K91" i="109"/>
  <c r="K79" i="109"/>
  <c r="K68" i="109"/>
  <c r="K92" i="109"/>
  <c r="K23" i="109"/>
  <c r="K80" i="109"/>
  <c r="K66" i="109"/>
  <c r="K69" i="109"/>
  <c r="K37" i="109"/>
  <c r="K87" i="109"/>
  <c r="K85" i="109"/>
  <c r="K40" i="109"/>
  <c r="K28" i="109"/>
  <c r="K43" i="109"/>
  <c r="K20" i="109"/>
  <c r="K88" i="109"/>
  <c r="K82" i="109"/>
  <c r="K58" i="109"/>
  <c r="K31" i="109"/>
  <c r="K70" i="109"/>
  <c r="K50" i="109"/>
  <c r="K18" i="109"/>
  <c r="K48" i="109"/>
  <c r="K29" i="109"/>
  <c r="K56" i="109"/>
  <c r="K26" i="109"/>
  <c r="K41" i="109"/>
  <c r="K101" i="109"/>
  <c r="K60" i="109"/>
  <c r="K47" i="109"/>
  <c r="K94" i="109"/>
  <c r="K57" i="109"/>
  <c r="K71" i="109"/>
  <c r="K44" i="109"/>
  <c r="K36" i="109"/>
  <c r="K98" i="109"/>
  <c r="K64" i="109"/>
  <c r="K46" i="109"/>
  <c r="K90" i="109"/>
  <c r="K96" i="109"/>
  <c r="K54" i="109"/>
  <c r="K83" i="109"/>
  <c r="K33" i="109"/>
  <c r="K21" i="109"/>
  <c r="K63" i="109"/>
  <c r="K30" i="109"/>
  <c r="K73" i="109"/>
  <c r="K78" i="109"/>
  <c r="K27" i="109"/>
  <c r="K81" i="109"/>
  <c r="K89" i="109"/>
  <c r="K100" i="109"/>
  <c r="K99" i="109"/>
  <c r="K51" i="109"/>
  <c r="K45" i="109"/>
  <c r="K52" i="109"/>
  <c r="K35" i="109"/>
  <c r="K77" i="109"/>
  <c r="K22" i="109"/>
  <c r="K67" i="109"/>
  <c r="K59" i="109"/>
  <c r="K24" i="109"/>
  <c r="K53" i="109"/>
  <c r="K19" i="109"/>
  <c r="K65" i="109"/>
  <c r="K17" i="109"/>
  <c r="K95" i="109"/>
  <c r="K25" i="109"/>
  <c r="K74" i="109"/>
  <c r="K62" i="109"/>
  <c r="K34" i="109"/>
  <c r="K11" i="109"/>
  <c r="K103" i="109"/>
  <c r="K61" i="109"/>
  <c r="K72" i="109"/>
  <c r="K16" i="109"/>
  <c r="K104" i="109"/>
  <c r="K76" i="109"/>
  <c r="K49" i="109"/>
  <c r="K93" i="109"/>
  <c r="K97" i="109"/>
  <c r="I105" i="109"/>
  <c r="I39" i="109"/>
  <c r="I14" i="109"/>
  <c r="I9" i="109"/>
  <c r="I13" i="109"/>
  <c r="I12" i="109"/>
  <c r="I86" i="109"/>
  <c r="I84" i="109"/>
  <c r="I102" i="109"/>
  <c r="I15" i="109"/>
  <c r="I75" i="109"/>
  <c r="I91" i="109"/>
  <c r="I79" i="109"/>
  <c r="I68" i="109"/>
  <c r="I92" i="109"/>
  <c r="I23" i="109"/>
  <c r="I80" i="109"/>
  <c r="I66" i="109"/>
  <c r="I69" i="109"/>
  <c r="I37" i="109"/>
  <c r="I87" i="109"/>
  <c r="I85" i="109"/>
  <c r="I40" i="109"/>
  <c r="I28" i="109"/>
  <c r="I43" i="109"/>
  <c r="I20" i="109"/>
  <c r="I88" i="109"/>
  <c r="I82" i="109"/>
  <c r="I58" i="109"/>
  <c r="I31" i="109"/>
  <c r="I70" i="109"/>
  <c r="I50" i="109"/>
  <c r="I18" i="109"/>
  <c r="I48" i="109"/>
  <c r="I29" i="109"/>
  <c r="I56" i="109"/>
  <c r="I26" i="109"/>
  <c r="I41" i="109"/>
  <c r="I101" i="109"/>
  <c r="I60" i="109"/>
  <c r="I47" i="109"/>
  <c r="I94" i="109"/>
  <c r="I57" i="109"/>
  <c r="I71" i="109"/>
  <c r="I44" i="109"/>
  <c r="I36" i="109"/>
  <c r="I98" i="109"/>
  <c r="I64" i="109"/>
  <c r="I46" i="109"/>
  <c r="I90" i="109"/>
  <c r="I96" i="109"/>
  <c r="I54" i="109"/>
  <c r="I83" i="109"/>
  <c r="I33" i="109"/>
  <c r="I21" i="109"/>
  <c r="I63" i="109"/>
  <c r="I30" i="109"/>
  <c r="I73" i="109"/>
  <c r="I78" i="109"/>
  <c r="I27" i="109"/>
  <c r="I81" i="109"/>
  <c r="I89" i="109"/>
  <c r="I100" i="109"/>
  <c r="I99" i="109"/>
  <c r="I51" i="109"/>
  <c r="I45" i="109"/>
  <c r="I52" i="109"/>
  <c r="I35" i="109"/>
  <c r="I77" i="109"/>
  <c r="I22" i="109"/>
  <c r="I67" i="109"/>
  <c r="I59" i="109"/>
  <c r="I24" i="109"/>
  <c r="I53" i="109"/>
  <c r="I19" i="109"/>
  <c r="I65" i="109"/>
  <c r="I17" i="109"/>
  <c r="I95" i="109"/>
  <c r="I25" i="109"/>
  <c r="I74" i="109"/>
  <c r="I62" i="109"/>
  <c r="I34" i="109"/>
  <c r="I11" i="109"/>
  <c r="I103" i="109"/>
  <c r="I61" i="109"/>
  <c r="I72" i="109"/>
  <c r="I16" i="109"/>
  <c r="I104" i="109"/>
  <c r="I76" i="109"/>
  <c r="I49" i="109"/>
  <c r="I93" i="109"/>
  <c r="I97" i="109"/>
  <c r="F124" i="115"/>
  <c r="D124" i="115"/>
  <c r="F123" i="115"/>
  <c r="D123" i="115"/>
  <c r="F122" i="115"/>
  <c r="D122" i="115"/>
  <c r="F121" i="115"/>
  <c r="D121" i="115"/>
  <c r="F120" i="115"/>
  <c r="D120" i="115"/>
  <c r="F119" i="115"/>
  <c r="D119" i="115"/>
  <c r="F118" i="115"/>
  <c r="D118" i="115"/>
  <c r="F117" i="115"/>
  <c r="D117" i="115"/>
  <c r="F116" i="115"/>
  <c r="D116" i="115"/>
  <c r="F115" i="115"/>
  <c r="D115" i="115"/>
  <c r="F114" i="115"/>
  <c r="D114" i="115"/>
  <c r="F113" i="115"/>
  <c r="D113" i="115"/>
  <c r="F112" i="115"/>
  <c r="D112" i="115"/>
  <c r="F111" i="115"/>
  <c r="D111" i="115"/>
  <c r="F108" i="115"/>
  <c r="D108" i="115"/>
  <c r="F107" i="115"/>
  <c r="D107" i="115"/>
  <c r="F106" i="115"/>
  <c r="D106" i="115"/>
  <c r="F105" i="115"/>
  <c r="D105" i="115"/>
  <c r="F104" i="115"/>
  <c r="D104" i="115"/>
  <c r="F101" i="115"/>
  <c r="D101" i="115"/>
  <c r="F100" i="115"/>
  <c r="D100" i="115"/>
  <c r="F99" i="115"/>
  <c r="D99" i="115"/>
  <c r="F98" i="115"/>
  <c r="D98" i="115"/>
  <c r="F97" i="115"/>
  <c r="D97" i="115"/>
  <c r="F92" i="115"/>
  <c r="D92" i="115"/>
  <c r="F91" i="115"/>
  <c r="D91" i="115"/>
  <c r="F90" i="115"/>
  <c r="D90" i="115"/>
  <c r="F85" i="115"/>
  <c r="D85" i="115"/>
  <c r="F84" i="115"/>
  <c r="D84" i="115"/>
  <c r="F83" i="115"/>
  <c r="D83" i="115"/>
  <c r="F76" i="115"/>
  <c r="D76" i="115"/>
  <c r="F69" i="115"/>
  <c r="D69" i="115"/>
  <c r="F60" i="115"/>
  <c r="D60" i="115"/>
  <c r="F53" i="115"/>
  <c r="D53" i="115"/>
  <c r="F52" i="115"/>
  <c r="D52" i="115"/>
  <c r="F51" i="115"/>
  <c r="D51" i="115"/>
  <c r="F44" i="115"/>
  <c r="D44" i="115"/>
  <c r="F43" i="115"/>
  <c r="D43" i="115"/>
  <c r="F42" i="115"/>
  <c r="D42" i="115"/>
  <c r="F37" i="115"/>
  <c r="D37" i="115"/>
  <c r="F36" i="115"/>
  <c r="D36" i="115"/>
  <c r="F35" i="115"/>
  <c r="D35" i="115"/>
  <c r="F34" i="115"/>
  <c r="D34" i="115"/>
  <c r="F33" i="115"/>
  <c r="D33" i="115"/>
  <c r="F28" i="115"/>
  <c r="D28" i="115"/>
  <c r="F27" i="115"/>
  <c r="D27" i="115"/>
  <c r="F26" i="115"/>
  <c r="D26" i="115"/>
  <c r="F25" i="115"/>
  <c r="D25" i="115"/>
  <c r="F24" i="115"/>
  <c r="D24" i="115"/>
  <c r="F21" i="115"/>
  <c r="D21" i="115"/>
  <c r="F20" i="115"/>
  <c r="D20" i="115"/>
  <c r="F19" i="115"/>
  <c r="D19" i="115"/>
  <c r="F18" i="115"/>
  <c r="D18" i="115"/>
  <c r="F17" i="115"/>
  <c r="D17" i="115"/>
  <c r="F16" i="115"/>
  <c r="D16" i="115"/>
  <c r="F15" i="115"/>
  <c r="D15" i="115"/>
  <c r="F12" i="115"/>
  <c r="D12" i="115"/>
  <c r="F11" i="115"/>
  <c r="D11" i="115"/>
  <c r="F10" i="115"/>
  <c r="D10" i="115"/>
  <c r="F9" i="115"/>
  <c r="D9" i="115"/>
  <c r="F8" i="115"/>
  <c r="D8" i="115"/>
  <c r="F7" i="115"/>
  <c r="D7" i="115"/>
  <c r="F6" i="115"/>
  <c r="D6" i="115"/>
  <c r="F5" i="115"/>
  <c r="D5" i="115"/>
  <c r="N2" i="115"/>
  <c r="E2" i="115"/>
  <c r="P2" i="114"/>
  <c r="A2" i="114"/>
  <c r="A1" i="114"/>
  <c r="S27" i="109"/>
  <c r="S81" i="109"/>
  <c r="S89" i="109"/>
  <c r="S100" i="109"/>
  <c r="S99" i="109"/>
  <c r="S51" i="109"/>
  <c r="S45" i="109"/>
  <c r="S52" i="109"/>
  <c r="S35" i="109"/>
  <c r="S77" i="109"/>
  <c r="S22" i="109"/>
  <c r="S67" i="109"/>
  <c r="S59" i="109"/>
  <c r="S24" i="109"/>
  <c r="S53" i="109"/>
  <c r="S19" i="109"/>
  <c r="S65" i="109"/>
  <c r="S17" i="109"/>
  <c r="S95" i="109"/>
  <c r="S25" i="109"/>
  <c r="S74" i="109"/>
  <c r="S62" i="109"/>
  <c r="S34" i="109"/>
  <c r="S11" i="109"/>
  <c r="S103" i="109"/>
  <c r="S61" i="109"/>
  <c r="S72" i="109"/>
  <c r="S16" i="109"/>
  <c r="S104" i="109"/>
  <c r="S76" i="109"/>
  <c r="S49" i="109"/>
  <c r="S93" i="109"/>
  <c r="S97" i="109"/>
  <c r="D31" i="109"/>
  <c r="D70" i="109"/>
  <c r="D50" i="109"/>
  <c r="D18" i="109"/>
  <c r="D48" i="109"/>
  <c r="D29" i="109"/>
  <c r="D56" i="109"/>
  <c r="D26" i="109"/>
  <c r="D41" i="109"/>
  <c r="D101" i="109"/>
  <c r="D60" i="109"/>
  <c r="D47" i="109"/>
  <c r="D94" i="109"/>
  <c r="D57" i="109"/>
  <c r="D71" i="109"/>
  <c r="D44" i="109"/>
  <c r="D36" i="109"/>
  <c r="D98" i="109"/>
  <c r="D64" i="109"/>
  <c r="D46" i="109"/>
  <c r="D90" i="109"/>
  <c r="D96" i="109"/>
  <c r="D54" i="109"/>
  <c r="D83" i="109"/>
  <c r="D33" i="109"/>
  <c r="D21" i="109"/>
  <c r="D63" i="109"/>
  <c r="D30" i="109"/>
  <c r="D73" i="109"/>
  <c r="D78" i="109"/>
  <c r="D27" i="109"/>
  <c r="D81" i="109"/>
  <c r="D89" i="109"/>
  <c r="D100" i="109"/>
  <c r="D99" i="109"/>
  <c r="D51" i="109"/>
  <c r="D45" i="109"/>
  <c r="D52" i="109"/>
  <c r="D35" i="109"/>
  <c r="D77" i="109"/>
  <c r="D22" i="109"/>
  <c r="D67" i="109"/>
  <c r="D59" i="109"/>
  <c r="D24" i="109"/>
  <c r="D53" i="109"/>
  <c r="D19" i="109"/>
  <c r="D65" i="109"/>
  <c r="D17" i="109"/>
  <c r="D95" i="109"/>
  <c r="D25" i="109"/>
  <c r="D74" i="109"/>
  <c r="D62" i="109"/>
  <c r="D34" i="109"/>
  <c r="D11" i="109"/>
  <c r="D103" i="109"/>
  <c r="D61" i="109"/>
  <c r="D72" i="109"/>
  <c r="D16" i="109"/>
  <c r="D104" i="109"/>
  <c r="D76" i="109"/>
  <c r="D49" i="109"/>
  <c r="D93" i="109"/>
  <c r="D97" i="109"/>
  <c r="O97" i="109"/>
  <c r="S105" i="109"/>
  <c r="S39" i="109"/>
  <c r="S14" i="109"/>
  <c r="S9" i="109"/>
  <c r="T9" i="109" s="1"/>
  <c r="S13" i="109"/>
  <c r="S12" i="109"/>
  <c r="S86" i="109"/>
  <c r="S84" i="109"/>
  <c r="S102" i="109"/>
  <c r="S15" i="109"/>
  <c r="S75" i="109"/>
  <c r="S91" i="109"/>
  <c r="S79" i="109"/>
  <c r="S68" i="109"/>
  <c r="S92" i="109"/>
  <c r="S23" i="109"/>
  <c r="S80" i="109"/>
  <c r="S66" i="109"/>
  <c r="T66" i="109" s="1"/>
  <c r="S69" i="109"/>
  <c r="S37" i="109"/>
  <c r="T37" i="109" s="1"/>
  <c r="S87" i="109"/>
  <c r="S85" i="109"/>
  <c r="T85" i="109" s="1"/>
  <c r="S40" i="109"/>
  <c r="S28" i="109"/>
  <c r="T28" i="109" s="1"/>
  <c r="S43" i="109"/>
  <c r="S20" i="109"/>
  <c r="S88" i="109"/>
  <c r="S82" i="109"/>
  <c r="S58" i="109"/>
  <c r="S31" i="109"/>
  <c r="S70" i="109"/>
  <c r="S50" i="109"/>
  <c r="S18" i="109"/>
  <c r="S48" i="109"/>
  <c r="S29" i="109"/>
  <c r="S56" i="109"/>
  <c r="S26" i="109"/>
  <c r="S41" i="109"/>
  <c r="S101" i="109"/>
  <c r="S60" i="109"/>
  <c r="S47" i="109"/>
  <c r="S94" i="109"/>
  <c r="S57" i="109"/>
  <c r="S71" i="109"/>
  <c r="S44" i="109"/>
  <c r="S36" i="109"/>
  <c r="S98" i="109"/>
  <c r="S64" i="109"/>
  <c r="S46" i="109"/>
  <c r="S90" i="109"/>
  <c r="S96" i="109"/>
  <c r="S54" i="109"/>
  <c r="S83" i="109"/>
  <c r="S33" i="109"/>
  <c r="S21" i="109"/>
  <c r="S63" i="109"/>
  <c r="S30" i="109"/>
  <c r="S73" i="109"/>
  <c r="S78" i="109"/>
  <c r="S10" i="109"/>
  <c r="Q10" i="109"/>
  <c r="K10" i="109"/>
  <c r="I10" i="109"/>
  <c r="C82" i="107"/>
  <c r="C81" i="107"/>
  <c r="C80" i="107"/>
  <c r="C79" i="107"/>
  <c r="C78" i="107"/>
  <c r="C77" i="107"/>
  <c r="C76" i="107"/>
  <c r="C75" i="107"/>
  <c r="C74" i="107"/>
  <c r="C73" i="107"/>
  <c r="C72" i="107"/>
  <c r="C71" i="107"/>
  <c r="C70" i="107"/>
  <c r="C69" i="107"/>
  <c r="C68" i="107"/>
  <c r="C67" i="107"/>
  <c r="C66" i="107"/>
  <c r="C65" i="107"/>
  <c r="C62" i="107"/>
  <c r="C61" i="107"/>
  <c r="C60" i="107"/>
  <c r="C59" i="107"/>
  <c r="C58" i="107"/>
  <c r="C57" i="107"/>
  <c r="C56" i="107"/>
  <c r="C55" i="107"/>
  <c r="C54" i="107"/>
  <c r="C53" i="107"/>
  <c r="C52" i="107"/>
  <c r="C51" i="107"/>
  <c r="C50" i="107"/>
  <c r="C49" i="107"/>
  <c r="C48" i="107"/>
  <c r="C47" i="107"/>
  <c r="C46" i="107"/>
  <c r="C45" i="107"/>
  <c r="C42" i="107"/>
  <c r="C41" i="107"/>
  <c r="C40" i="107"/>
  <c r="C39" i="107"/>
  <c r="C38" i="107"/>
  <c r="C37" i="107"/>
  <c r="C36" i="107"/>
  <c r="C35" i="107"/>
  <c r="C34" i="107"/>
  <c r="C33" i="107"/>
  <c r="C32" i="107"/>
  <c r="C31" i="107"/>
  <c r="C30" i="107"/>
  <c r="C29" i="107"/>
  <c r="C28" i="107"/>
  <c r="C27" i="107"/>
  <c r="C26" i="107"/>
  <c r="C25" i="107"/>
  <c r="C22" i="107"/>
  <c r="C21" i="107"/>
  <c r="C20" i="107"/>
  <c r="C19" i="107"/>
  <c r="C18" i="107"/>
  <c r="C17" i="107"/>
  <c r="C16" i="107"/>
  <c r="C15" i="107"/>
  <c r="C14" i="107"/>
  <c r="C13" i="107"/>
  <c r="C12" i="107"/>
  <c r="C11" i="107"/>
  <c r="C10" i="107"/>
  <c r="C9" i="107"/>
  <c r="C8" i="107"/>
  <c r="C7" i="107"/>
  <c r="C5" i="107"/>
  <c r="L4" i="113"/>
  <c r="B4" i="113"/>
  <c r="C3" i="113"/>
  <c r="A2" i="113"/>
  <c r="U41" i="113"/>
  <c r="V41" i="113" s="1"/>
  <c r="L39" i="113"/>
  <c r="M40" i="113" s="1"/>
  <c r="U31" i="113"/>
  <c r="V31" i="113" s="1"/>
  <c r="AA28" i="113"/>
  <c r="AB28" i="113" s="1"/>
  <c r="AA26" i="113"/>
  <c r="AB26" i="113" s="1"/>
  <c r="P20" i="113"/>
  <c r="Q20" i="113" s="1"/>
  <c r="P18" i="113"/>
  <c r="P39" i="113"/>
  <c r="Q39" i="113" s="1"/>
  <c r="AD17" i="113"/>
  <c r="AE17" i="113" s="1"/>
  <c r="S17" i="113"/>
  <c r="T17" i="113" s="1"/>
  <c r="P16" i="113"/>
  <c r="Q16" i="113" s="1"/>
  <c r="P14" i="113"/>
  <c r="Q14" i="113" s="1"/>
  <c r="P37" i="113"/>
  <c r="Q37" i="113" s="1"/>
  <c r="S13" i="113"/>
  <c r="T13" i="113" s="1"/>
  <c r="P27" i="113"/>
  <c r="Q27" i="113" s="1"/>
  <c r="X12" i="113"/>
  <c r="Y12" i="113" s="1"/>
  <c r="P12" i="113"/>
  <c r="Q12" i="113" s="1"/>
  <c r="P35" i="113"/>
  <c r="Q35" i="113" s="1"/>
  <c r="P10" i="113"/>
  <c r="Q10" i="113" s="1"/>
  <c r="S9" i="113"/>
  <c r="T9" i="113" s="1"/>
  <c r="P8" i="113"/>
  <c r="Q8" i="113" s="1"/>
  <c r="P6" i="113"/>
  <c r="Q6" i="113" s="1"/>
  <c r="S5" i="113"/>
  <c r="T5" i="113" s="1"/>
  <c r="X4" i="113"/>
  <c r="Y4" i="113" s="1"/>
  <c r="N69" i="112"/>
  <c r="O69" i="112" s="1"/>
  <c r="K62" i="112"/>
  <c r="L62" i="112" s="1"/>
  <c r="K60" i="112"/>
  <c r="L60" i="112" s="1"/>
  <c r="E60" i="112"/>
  <c r="F60" i="112" s="1"/>
  <c r="N58" i="112"/>
  <c r="O58" i="112" s="1"/>
  <c r="E58" i="112"/>
  <c r="E56" i="112"/>
  <c r="F56" i="112" s="1"/>
  <c r="E54" i="112"/>
  <c r="E52" i="112"/>
  <c r="F52" i="112" s="1"/>
  <c r="E50" i="112"/>
  <c r="E48" i="112"/>
  <c r="F48" i="112" s="1"/>
  <c r="E46" i="112"/>
  <c r="N42" i="112"/>
  <c r="O42" i="112" s="1"/>
  <c r="H42" i="112"/>
  <c r="I42" i="112" s="1"/>
  <c r="H40" i="112"/>
  <c r="I40" i="112" s="1"/>
  <c r="H38" i="112"/>
  <c r="I38" i="112" s="1"/>
  <c r="H36" i="112"/>
  <c r="I36" i="112" s="1"/>
  <c r="K35" i="112"/>
  <c r="L35" i="112" s="1"/>
  <c r="K33" i="112"/>
  <c r="L33" i="112" s="1"/>
  <c r="N31" i="112"/>
  <c r="O31" i="112" s="1"/>
  <c r="J107" i="109"/>
  <c r="J106" i="109"/>
  <c r="A3" i="109"/>
  <c r="A2" i="109"/>
  <c r="R6" i="109"/>
  <c r="C6" i="109"/>
  <c r="C2" i="107"/>
  <c r="C1" i="107"/>
  <c r="D82" i="106"/>
  <c r="E82" i="106" s="1"/>
  <c r="B82" i="106"/>
  <c r="C82" i="106" s="1"/>
  <c r="D78" i="106"/>
  <c r="E78" i="106" s="1"/>
  <c r="B78" i="106"/>
  <c r="C78" i="106" s="1"/>
  <c r="D77" i="106"/>
  <c r="E77" i="106" s="1"/>
  <c r="B77" i="106"/>
  <c r="C77" i="106" s="1"/>
  <c r="D76" i="106"/>
  <c r="E76" i="106" s="1"/>
  <c r="B76" i="106"/>
  <c r="C76" i="106" s="1"/>
  <c r="D70" i="106"/>
  <c r="E70" i="106" s="1"/>
  <c r="B70" i="106"/>
  <c r="C70" i="106" s="1"/>
  <c r="AA82" i="107"/>
  <c r="Y82" i="107"/>
  <c r="X82" i="107"/>
  <c r="V82" i="107"/>
  <c r="U82" i="107"/>
  <c r="S82" i="107"/>
  <c r="R82" i="107"/>
  <c r="P82" i="107"/>
  <c r="O82" i="107"/>
  <c r="M82" i="107"/>
  <c r="L82" i="107"/>
  <c r="J82" i="107"/>
  <c r="I82" i="107"/>
  <c r="G82" i="107"/>
  <c r="F82" i="107"/>
  <c r="D82" i="107"/>
  <c r="Y81" i="107"/>
  <c r="V81" i="107"/>
  <c r="S81" i="107"/>
  <c r="P81" i="107"/>
  <c r="M81" i="107"/>
  <c r="J81" i="107"/>
  <c r="G81" i="107"/>
  <c r="D81" i="107"/>
  <c r="AC80" i="107"/>
  <c r="Z82" i="107" s="1"/>
  <c r="X80" i="107"/>
  <c r="V80" i="107"/>
  <c r="U80" i="107"/>
  <c r="S80" i="107"/>
  <c r="R80" i="107"/>
  <c r="P80" i="107"/>
  <c r="O80" i="107"/>
  <c r="M80" i="107"/>
  <c r="L80" i="107"/>
  <c r="J80" i="107"/>
  <c r="I80" i="107"/>
  <c r="G80" i="107"/>
  <c r="F80" i="107"/>
  <c r="D80" i="107"/>
  <c r="V79" i="107"/>
  <c r="S79" i="107"/>
  <c r="P79" i="107"/>
  <c r="M79" i="107"/>
  <c r="J79" i="107"/>
  <c r="G79" i="107"/>
  <c r="D79" i="107"/>
  <c r="AC78" i="107"/>
  <c r="W82" i="107" s="1"/>
  <c r="Z78" i="107"/>
  <c r="W80" i="107" s="1"/>
  <c r="U78" i="107"/>
  <c r="S78" i="107"/>
  <c r="R78" i="107"/>
  <c r="P78" i="107"/>
  <c r="O78" i="107"/>
  <c r="M78" i="107"/>
  <c r="L78" i="107"/>
  <c r="J78" i="107"/>
  <c r="I78" i="107"/>
  <c r="G78" i="107"/>
  <c r="F78" i="107"/>
  <c r="D78" i="107"/>
  <c r="S77" i="107"/>
  <c r="P77" i="107"/>
  <c r="M77" i="107"/>
  <c r="J77" i="107"/>
  <c r="G77" i="107"/>
  <c r="D77" i="107"/>
  <c r="AC76" i="107"/>
  <c r="T82" i="107" s="1"/>
  <c r="Z76" i="107"/>
  <c r="T80" i="107" s="1"/>
  <c r="W76" i="107"/>
  <c r="T78" i="107" s="1"/>
  <c r="R76" i="107"/>
  <c r="P76" i="107"/>
  <c r="O76" i="107"/>
  <c r="M76" i="107"/>
  <c r="L76" i="107"/>
  <c r="J76" i="107"/>
  <c r="I76" i="107"/>
  <c r="G76" i="107"/>
  <c r="F76" i="107"/>
  <c r="D76" i="107"/>
  <c r="P75" i="107"/>
  <c r="M75" i="107"/>
  <c r="AE75" i="107" s="1"/>
  <c r="J75" i="107"/>
  <c r="G75" i="107"/>
  <c r="D75" i="107"/>
  <c r="AC74" i="107"/>
  <c r="Q82" i="107" s="1"/>
  <c r="Z74" i="107"/>
  <c r="Q80" i="107" s="1"/>
  <c r="W74" i="107"/>
  <c r="Q78" i="107" s="1"/>
  <c r="T74" i="107"/>
  <c r="Q76" i="107" s="1"/>
  <c r="O74" i="107"/>
  <c r="M74" i="107"/>
  <c r="L74" i="107"/>
  <c r="J74" i="107"/>
  <c r="I74" i="107"/>
  <c r="G74" i="107"/>
  <c r="F74" i="107"/>
  <c r="D74" i="107"/>
  <c r="M73" i="107"/>
  <c r="J73" i="107"/>
  <c r="G73" i="107"/>
  <c r="D73" i="107"/>
  <c r="AC72" i="107"/>
  <c r="N82" i="107" s="1"/>
  <c r="Z72" i="107"/>
  <c r="N80" i="107" s="1"/>
  <c r="W72" i="107"/>
  <c r="N78" i="107" s="1"/>
  <c r="T72" i="107"/>
  <c r="N76" i="107" s="1"/>
  <c r="Q72" i="107"/>
  <c r="N74" i="107" s="1"/>
  <c r="L72" i="107"/>
  <c r="J72" i="107"/>
  <c r="I72" i="107"/>
  <c r="G72" i="107"/>
  <c r="F72" i="107"/>
  <c r="D72" i="107"/>
  <c r="J71" i="107"/>
  <c r="G71" i="107"/>
  <c r="AE71" i="107" s="1"/>
  <c r="D71" i="107"/>
  <c r="AC70" i="107"/>
  <c r="K82" i="107" s="1"/>
  <c r="Z70" i="107"/>
  <c r="K80" i="107" s="1"/>
  <c r="W70" i="107"/>
  <c r="K78" i="107" s="1"/>
  <c r="T70" i="107"/>
  <c r="K76" i="107" s="1"/>
  <c r="N70" i="107"/>
  <c r="K72" i="107" s="1"/>
  <c r="I70" i="107"/>
  <c r="G70" i="107"/>
  <c r="F70" i="107"/>
  <c r="D70" i="107"/>
  <c r="G69" i="107"/>
  <c r="D69" i="107"/>
  <c r="AC68" i="107"/>
  <c r="H82" i="107" s="1"/>
  <c r="Z68" i="107"/>
  <c r="H80" i="107" s="1"/>
  <c r="W68" i="107"/>
  <c r="H78" i="107" s="1"/>
  <c r="T68" i="107"/>
  <c r="H76" i="107" s="1"/>
  <c r="Q68" i="107"/>
  <c r="H74" i="107" s="1"/>
  <c r="N68" i="107"/>
  <c r="H72" i="107" s="1"/>
  <c r="K68" i="107"/>
  <c r="H70" i="107" s="1"/>
  <c r="F68" i="107"/>
  <c r="E68" i="107"/>
  <c r="D68" i="107"/>
  <c r="D67" i="107"/>
  <c r="AE67" i="107" s="1"/>
  <c r="AC66" i="107"/>
  <c r="E82" i="107" s="1"/>
  <c r="Z66" i="107"/>
  <c r="E80" i="107" s="1"/>
  <c r="W66" i="107"/>
  <c r="E78" i="107" s="1"/>
  <c r="T66" i="107"/>
  <c r="E76" i="107" s="1"/>
  <c r="Q66" i="107"/>
  <c r="E74" i="107" s="1"/>
  <c r="N66" i="107"/>
  <c r="E72" i="107" s="1"/>
  <c r="K66" i="107"/>
  <c r="E70" i="107" s="1"/>
  <c r="H66" i="107"/>
  <c r="AA62" i="107"/>
  <c r="Y62" i="107"/>
  <c r="X62" i="107"/>
  <c r="V62" i="107"/>
  <c r="U62" i="107"/>
  <c r="S62" i="107"/>
  <c r="R62" i="107"/>
  <c r="P62" i="107"/>
  <c r="O62" i="107"/>
  <c r="M62" i="107"/>
  <c r="L62" i="107"/>
  <c r="J62" i="107"/>
  <c r="I62" i="107"/>
  <c r="G62" i="107"/>
  <c r="F62" i="107"/>
  <c r="D62" i="107"/>
  <c r="Y61" i="107"/>
  <c r="V61" i="107"/>
  <c r="S61" i="107"/>
  <c r="P61" i="107"/>
  <c r="M61" i="107"/>
  <c r="J61" i="107"/>
  <c r="G61" i="107"/>
  <c r="D61" i="107"/>
  <c r="AC60" i="107"/>
  <c r="Z62" i="107" s="1"/>
  <c r="X60" i="107"/>
  <c r="V60" i="107"/>
  <c r="U60" i="107"/>
  <c r="S60" i="107"/>
  <c r="R60" i="107"/>
  <c r="P60" i="107"/>
  <c r="O60" i="107"/>
  <c r="M60" i="107"/>
  <c r="L60" i="107"/>
  <c r="J60" i="107"/>
  <c r="I60" i="107"/>
  <c r="G60" i="107"/>
  <c r="F60" i="107"/>
  <c r="D60" i="107"/>
  <c r="V59" i="107"/>
  <c r="S59" i="107"/>
  <c r="P59" i="107"/>
  <c r="M59" i="107"/>
  <c r="J59" i="107"/>
  <c r="G59" i="107"/>
  <c r="D59" i="107"/>
  <c r="AC58" i="107"/>
  <c r="W62" i="107" s="1"/>
  <c r="Z58" i="107"/>
  <c r="W60" i="107" s="1"/>
  <c r="U58" i="107"/>
  <c r="S58" i="107"/>
  <c r="R58" i="107"/>
  <c r="P58" i="107"/>
  <c r="O58" i="107"/>
  <c r="M58" i="107"/>
  <c r="L58" i="107"/>
  <c r="J58" i="107"/>
  <c r="I58" i="107"/>
  <c r="G58" i="107"/>
  <c r="F58" i="107"/>
  <c r="D58" i="107"/>
  <c r="S57" i="107"/>
  <c r="P57" i="107"/>
  <c r="M57" i="107"/>
  <c r="J57" i="107"/>
  <c r="G57" i="107"/>
  <c r="D57" i="107"/>
  <c r="AC56" i="107"/>
  <c r="T62" i="107" s="1"/>
  <c r="Z56" i="107"/>
  <c r="T60" i="107" s="1"/>
  <c r="W56" i="107"/>
  <c r="T58" i="107" s="1"/>
  <c r="R56" i="107"/>
  <c r="P56" i="107"/>
  <c r="O56" i="107"/>
  <c r="M56" i="107"/>
  <c r="L56" i="107"/>
  <c r="J56" i="107"/>
  <c r="I56" i="107"/>
  <c r="G56" i="107"/>
  <c r="F56" i="107"/>
  <c r="D56" i="107"/>
  <c r="P55" i="107"/>
  <c r="M55" i="107"/>
  <c r="J55" i="107"/>
  <c r="G55" i="107"/>
  <c r="D55" i="107"/>
  <c r="AC54" i="107"/>
  <c r="Q62" i="107" s="1"/>
  <c r="Z54" i="107"/>
  <c r="Q60" i="107" s="1"/>
  <c r="W54" i="107"/>
  <c r="Q58" i="107" s="1"/>
  <c r="T54" i="107"/>
  <c r="Q56" i="107" s="1"/>
  <c r="O54" i="107"/>
  <c r="M54" i="107"/>
  <c r="L54" i="107"/>
  <c r="J54" i="107"/>
  <c r="I54" i="107"/>
  <c r="G54" i="107"/>
  <c r="F54" i="107"/>
  <c r="D54" i="107"/>
  <c r="M53" i="107"/>
  <c r="J53" i="107"/>
  <c r="G53" i="107"/>
  <c r="D53" i="107"/>
  <c r="AC52" i="107"/>
  <c r="N62" i="107" s="1"/>
  <c r="Z52" i="107"/>
  <c r="N60" i="107" s="1"/>
  <c r="W52" i="107"/>
  <c r="N58" i="107" s="1"/>
  <c r="T52" i="107"/>
  <c r="N56" i="107" s="1"/>
  <c r="Q52" i="107"/>
  <c r="N54" i="107" s="1"/>
  <c r="L52" i="107"/>
  <c r="J52" i="107"/>
  <c r="I52" i="107"/>
  <c r="G52" i="107"/>
  <c r="F52" i="107"/>
  <c r="D52" i="107"/>
  <c r="J51" i="107"/>
  <c r="G51" i="107"/>
  <c r="D51" i="107"/>
  <c r="AC50" i="107"/>
  <c r="K62" i="107" s="1"/>
  <c r="Z50" i="107"/>
  <c r="K60" i="107" s="1"/>
  <c r="W50" i="107"/>
  <c r="K58" i="107" s="1"/>
  <c r="T50" i="107"/>
  <c r="K56" i="107" s="1"/>
  <c r="Q50" i="107"/>
  <c r="K54" i="107" s="1"/>
  <c r="N50" i="107"/>
  <c r="K52" i="107" s="1"/>
  <c r="I50" i="107"/>
  <c r="G50" i="107"/>
  <c r="F50" i="107"/>
  <c r="D50" i="107"/>
  <c r="G49" i="107"/>
  <c r="D49" i="107"/>
  <c r="AC48" i="107"/>
  <c r="H62" i="107" s="1"/>
  <c r="Z48" i="107"/>
  <c r="H60" i="107" s="1"/>
  <c r="W48" i="107"/>
  <c r="H58" i="107" s="1"/>
  <c r="T48" i="107"/>
  <c r="Q48" i="107"/>
  <c r="H54" i="107" s="1"/>
  <c r="N48" i="107"/>
  <c r="H52" i="107" s="1"/>
  <c r="K48" i="107"/>
  <c r="H50" i="107" s="1"/>
  <c r="F48" i="107"/>
  <c r="E48" i="107"/>
  <c r="D48" i="107"/>
  <c r="D47" i="107"/>
  <c r="AE47" i="107" s="1"/>
  <c r="AC46" i="107"/>
  <c r="E62" i="107" s="1"/>
  <c r="Z46" i="107"/>
  <c r="E60" i="107" s="1"/>
  <c r="W46" i="107"/>
  <c r="E58" i="107" s="1"/>
  <c r="T46" i="107"/>
  <c r="E56" i="107" s="1"/>
  <c r="Q46" i="107"/>
  <c r="E54" i="107" s="1"/>
  <c r="N46" i="107"/>
  <c r="E52" i="107" s="1"/>
  <c r="K46" i="107"/>
  <c r="E50" i="107" s="1"/>
  <c r="H46" i="107"/>
  <c r="AA42" i="107"/>
  <c r="Y42" i="107"/>
  <c r="X42" i="107"/>
  <c r="V42" i="107"/>
  <c r="U42" i="107"/>
  <c r="S42" i="107"/>
  <c r="R42" i="107"/>
  <c r="P42" i="107"/>
  <c r="O42" i="107"/>
  <c r="M42" i="107"/>
  <c r="L42" i="107"/>
  <c r="J42" i="107"/>
  <c r="I42" i="107"/>
  <c r="G42" i="107"/>
  <c r="F42" i="107"/>
  <c r="D42" i="107"/>
  <c r="Y41" i="107"/>
  <c r="V41" i="107"/>
  <c r="S41" i="107"/>
  <c r="P41" i="107"/>
  <c r="M41" i="107"/>
  <c r="J41" i="107"/>
  <c r="G41" i="107"/>
  <c r="D41" i="107"/>
  <c r="AC40" i="107"/>
  <c r="Z42" i="107" s="1"/>
  <c r="X40" i="107"/>
  <c r="V40" i="107"/>
  <c r="U40" i="107"/>
  <c r="S40" i="107"/>
  <c r="R40" i="107"/>
  <c r="P40" i="107"/>
  <c r="O40" i="107"/>
  <c r="M40" i="107"/>
  <c r="L40" i="107"/>
  <c r="J40" i="107"/>
  <c r="I40" i="107"/>
  <c r="G40" i="107"/>
  <c r="F40" i="107"/>
  <c r="D40" i="107"/>
  <c r="V39" i="107"/>
  <c r="S39" i="107"/>
  <c r="P39" i="107"/>
  <c r="M39" i="107"/>
  <c r="J39" i="107"/>
  <c r="G39" i="107"/>
  <c r="D39" i="107"/>
  <c r="AC38" i="107"/>
  <c r="W42" i="107" s="1"/>
  <c r="Z38" i="107"/>
  <c r="W40" i="107" s="1"/>
  <c r="U38" i="107"/>
  <c r="S38" i="107"/>
  <c r="R38" i="107"/>
  <c r="P38" i="107"/>
  <c r="O38" i="107"/>
  <c r="M38" i="107"/>
  <c r="L38" i="107"/>
  <c r="J38" i="107"/>
  <c r="I38" i="107"/>
  <c r="G38" i="107"/>
  <c r="F38" i="107"/>
  <c r="D38" i="107"/>
  <c r="S37" i="107"/>
  <c r="P37" i="107"/>
  <c r="M37" i="107"/>
  <c r="J37" i="107"/>
  <c r="G37" i="107"/>
  <c r="D37" i="107"/>
  <c r="AC36" i="107"/>
  <c r="T42" i="107" s="1"/>
  <c r="Z36" i="107"/>
  <c r="T40" i="107" s="1"/>
  <c r="W36" i="107"/>
  <c r="T38" i="107" s="1"/>
  <c r="R36" i="107"/>
  <c r="P36" i="107"/>
  <c r="O36" i="107"/>
  <c r="M36" i="107"/>
  <c r="L36" i="107"/>
  <c r="J36" i="107"/>
  <c r="I36" i="107"/>
  <c r="G36" i="107"/>
  <c r="F36" i="107"/>
  <c r="D36" i="107"/>
  <c r="P35" i="107"/>
  <c r="M35" i="107"/>
  <c r="J35" i="107"/>
  <c r="G35" i="107"/>
  <c r="D35" i="107"/>
  <c r="AC34" i="107"/>
  <c r="Q42" i="107" s="1"/>
  <c r="Z34" i="107"/>
  <c r="Q40" i="107"/>
  <c r="W34" i="107"/>
  <c r="Q38" i="107" s="1"/>
  <c r="T34" i="107"/>
  <c r="Q36" i="107" s="1"/>
  <c r="O34" i="107"/>
  <c r="M34" i="107"/>
  <c r="L34" i="107"/>
  <c r="J34" i="107"/>
  <c r="I34" i="107"/>
  <c r="G34" i="107"/>
  <c r="F34" i="107"/>
  <c r="D34" i="107"/>
  <c r="M33" i="107"/>
  <c r="J33" i="107"/>
  <c r="G33" i="107"/>
  <c r="D33" i="107"/>
  <c r="AC32" i="107"/>
  <c r="N42" i="107" s="1"/>
  <c r="Z32" i="107"/>
  <c r="N40" i="107" s="1"/>
  <c r="W32" i="107"/>
  <c r="N38" i="107" s="1"/>
  <c r="T32" i="107"/>
  <c r="N36" i="107" s="1"/>
  <c r="Q32" i="107"/>
  <c r="N34" i="107" s="1"/>
  <c r="L32" i="107"/>
  <c r="J32" i="107"/>
  <c r="I32" i="107"/>
  <c r="G32" i="107"/>
  <c r="F32" i="107"/>
  <c r="D32" i="107"/>
  <c r="J31" i="107"/>
  <c r="G31" i="107"/>
  <c r="D31" i="107"/>
  <c r="AC30" i="107"/>
  <c r="K42" i="107" s="1"/>
  <c r="Z30" i="107"/>
  <c r="K40" i="107" s="1"/>
  <c r="W30" i="107"/>
  <c r="K38" i="107" s="1"/>
  <c r="T30" i="107"/>
  <c r="K36" i="107" s="1"/>
  <c r="K34" i="107"/>
  <c r="N30" i="107"/>
  <c r="K32" i="107" s="1"/>
  <c r="I30" i="107"/>
  <c r="G30" i="107"/>
  <c r="F30" i="107"/>
  <c r="D30" i="107"/>
  <c r="G29" i="107"/>
  <c r="D29" i="107"/>
  <c r="AC28" i="107"/>
  <c r="H42" i="107" s="1"/>
  <c r="Z28" i="107"/>
  <c r="H40" i="107" s="1"/>
  <c r="W28" i="107"/>
  <c r="H38" i="107" s="1"/>
  <c r="T28" i="107"/>
  <c r="H36" i="107" s="1"/>
  <c r="Q28" i="107"/>
  <c r="H34" i="107" s="1"/>
  <c r="N28" i="107"/>
  <c r="H32" i="107" s="1"/>
  <c r="K28" i="107"/>
  <c r="H30" i="107" s="1"/>
  <c r="F28" i="107"/>
  <c r="E28" i="107"/>
  <c r="D28" i="107"/>
  <c r="D27" i="107"/>
  <c r="AE27" i="107" s="1"/>
  <c r="AC26" i="107"/>
  <c r="E42" i="107" s="1"/>
  <c r="Z26" i="107"/>
  <c r="E40" i="107" s="1"/>
  <c r="W26" i="107"/>
  <c r="E38" i="107" s="1"/>
  <c r="T26" i="107"/>
  <c r="E36" i="107" s="1"/>
  <c r="Q26" i="107"/>
  <c r="E34" i="107" s="1"/>
  <c r="N26" i="107"/>
  <c r="E32" i="107" s="1"/>
  <c r="K26" i="107"/>
  <c r="E30" i="107" s="1"/>
  <c r="H26" i="107"/>
  <c r="AE81" i="107"/>
  <c r="AE79" i="107"/>
  <c r="AE77" i="107"/>
  <c r="AE65" i="107"/>
  <c r="AE61" i="107"/>
  <c r="AE59" i="107"/>
  <c r="AE57" i="107"/>
  <c r="AE55" i="107"/>
  <c r="AE45" i="107"/>
  <c r="AE41" i="107"/>
  <c r="AE39" i="107"/>
  <c r="AE35" i="107"/>
  <c r="AE25" i="107"/>
  <c r="AA22" i="107"/>
  <c r="Y22" i="107"/>
  <c r="X22" i="107"/>
  <c r="V22" i="107"/>
  <c r="U22" i="107"/>
  <c r="S22" i="107"/>
  <c r="R22" i="107"/>
  <c r="P22" i="107"/>
  <c r="O22" i="107"/>
  <c r="M22" i="107"/>
  <c r="L22" i="107"/>
  <c r="J22" i="107"/>
  <c r="I22" i="107"/>
  <c r="G22" i="107"/>
  <c r="F22" i="107"/>
  <c r="D22" i="107"/>
  <c r="Y21" i="107"/>
  <c r="V21" i="107"/>
  <c r="S21" i="107"/>
  <c r="P21" i="107"/>
  <c r="M21" i="107"/>
  <c r="J21" i="107"/>
  <c r="G21" i="107"/>
  <c r="D21" i="107"/>
  <c r="AE21" i="107"/>
  <c r="AC20" i="107"/>
  <c r="Z22" i="107" s="1"/>
  <c r="X20" i="107"/>
  <c r="V20" i="107"/>
  <c r="U20" i="107"/>
  <c r="S20" i="107"/>
  <c r="R20" i="107"/>
  <c r="P20" i="107"/>
  <c r="O20" i="107"/>
  <c r="M20" i="107"/>
  <c r="L20" i="107"/>
  <c r="J20" i="107"/>
  <c r="I20" i="107"/>
  <c r="G20" i="107"/>
  <c r="F20" i="107"/>
  <c r="D20" i="107"/>
  <c r="V19" i="107"/>
  <c r="S19" i="107"/>
  <c r="P19" i="107"/>
  <c r="M19" i="107"/>
  <c r="AE19" i="107"/>
  <c r="J19" i="107"/>
  <c r="G19" i="107"/>
  <c r="D19" i="107"/>
  <c r="AC18" i="107"/>
  <c r="W22" i="107" s="1"/>
  <c r="Z18" i="107"/>
  <c r="W20" i="107" s="1"/>
  <c r="U18" i="107"/>
  <c r="S18" i="107"/>
  <c r="R18" i="107"/>
  <c r="P18" i="107"/>
  <c r="O18" i="107"/>
  <c r="M18" i="107"/>
  <c r="L18" i="107"/>
  <c r="J18" i="107"/>
  <c r="I18" i="107"/>
  <c r="G18" i="107"/>
  <c r="F18" i="107"/>
  <c r="D18" i="107"/>
  <c r="S17" i="107"/>
  <c r="P17" i="107"/>
  <c r="AE17" i="107"/>
  <c r="M17" i="107"/>
  <c r="J17" i="107"/>
  <c r="G17" i="107"/>
  <c r="D17" i="107"/>
  <c r="AC16" i="107"/>
  <c r="T22" i="107" s="1"/>
  <c r="Z16" i="107"/>
  <c r="T20" i="107" s="1"/>
  <c r="W16" i="107"/>
  <c r="T18" i="107" s="1"/>
  <c r="R16" i="107"/>
  <c r="P16" i="107"/>
  <c r="O16" i="107"/>
  <c r="M16" i="107"/>
  <c r="L16" i="107"/>
  <c r="J16" i="107"/>
  <c r="I16" i="107"/>
  <c r="G16" i="107"/>
  <c r="F16" i="107"/>
  <c r="D16" i="107"/>
  <c r="P15" i="107"/>
  <c r="M15" i="107"/>
  <c r="J15" i="107"/>
  <c r="G15" i="107"/>
  <c r="D15" i="107"/>
  <c r="AE15" i="107" s="1"/>
  <c r="AC14" i="107"/>
  <c r="Q22" i="107" s="1"/>
  <c r="Z14" i="107"/>
  <c r="Q20" i="107" s="1"/>
  <c r="W14" i="107"/>
  <c r="Q18" i="107" s="1"/>
  <c r="T14" i="107"/>
  <c r="Q16" i="107" s="1"/>
  <c r="O14" i="107"/>
  <c r="M14" i="107"/>
  <c r="L14" i="107"/>
  <c r="J14" i="107"/>
  <c r="I14" i="107"/>
  <c r="G14" i="107"/>
  <c r="F14" i="107"/>
  <c r="D14" i="107"/>
  <c r="M13" i="107"/>
  <c r="J13" i="107"/>
  <c r="G13" i="107"/>
  <c r="D13" i="107"/>
  <c r="AC12" i="107"/>
  <c r="N22" i="107" s="1"/>
  <c r="Z12" i="107"/>
  <c r="N20" i="107" s="1"/>
  <c r="W12" i="107"/>
  <c r="N18" i="107" s="1"/>
  <c r="T12" i="107"/>
  <c r="N16" i="107" s="1"/>
  <c r="Q12" i="107"/>
  <c r="N14" i="107" s="1"/>
  <c r="L12" i="107"/>
  <c r="J12" i="107"/>
  <c r="I12" i="107"/>
  <c r="G12" i="107"/>
  <c r="F12" i="107"/>
  <c r="D12" i="107"/>
  <c r="J11" i="107"/>
  <c r="G11" i="107"/>
  <c r="D11" i="107"/>
  <c r="AC10" i="107"/>
  <c r="K22" i="107" s="1"/>
  <c r="Z10" i="107"/>
  <c r="K20" i="107" s="1"/>
  <c r="W10" i="107"/>
  <c r="K18" i="107" s="1"/>
  <c r="T10" i="107"/>
  <c r="K16" i="107" s="1"/>
  <c r="Q10" i="107"/>
  <c r="K14" i="107" s="1"/>
  <c r="N10" i="107"/>
  <c r="K12" i="107" s="1"/>
  <c r="I10" i="107"/>
  <c r="G10" i="107"/>
  <c r="F10" i="107"/>
  <c r="D10" i="107"/>
  <c r="G9" i="107"/>
  <c r="D9" i="107"/>
  <c r="AC8" i="107"/>
  <c r="H22" i="107" s="1"/>
  <c r="Z8" i="107"/>
  <c r="H20" i="107" s="1"/>
  <c r="W8" i="107"/>
  <c r="H18" i="107" s="1"/>
  <c r="T8" i="107"/>
  <c r="Q8" i="107"/>
  <c r="H16" i="107" s="1"/>
  <c r="N8" i="107"/>
  <c r="H12" i="107" s="1"/>
  <c r="K8" i="107"/>
  <c r="H10" i="107" s="1"/>
  <c r="F8" i="107"/>
  <c r="E8" i="107"/>
  <c r="D8" i="107"/>
  <c r="D7" i="107"/>
  <c r="AE7" i="107" s="1"/>
  <c r="AC6" i="107"/>
  <c r="E22" i="107" s="1"/>
  <c r="Z6" i="107"/>
  <c r="E20" i="107" s="1"/>
  <c r="W6" i="107"/>
  <c r="E18" i="107" s="1"/>
  <c r="T6" i="107"/>
  <c r="E16" i="107" s="1"/>
  <c r="Q6" i="107"/>
  <c r="E14" i="107" s="1"/>
  <c r="N6" i="107"/>
  <c r="E12" i="107" s="1"/>
  <c r="K6" i="107"/>
  <c r="E10" i="107" s="1"/>
  <c r="AE5" i="107"/>
  <c r="C65" i="106"/>
  <c r="E60" i="106"/>
  <c r="C53" i="106"/>
  <c r="C61" i="106"/>
  <c r="E49" i="106"/>
  <c r="C49" i="106"/>
  <c r="E47" i="106"/>
  <c r="E45" i="106"/>
  <c r="C44" i="106"/>
  <c r="G5" i="106"/>
  <c r="G6" i="106"/>
  <c r="G7" i="106"/>
  <c r="G8" i="106"/>
  <c r="G9" i="106"/>
  <c r="G10" i="106"/>
  <c r="G11" i="106"/>
  <c r="G12" i="106"/>
  <c r="G13" i="106"/>
  <c r="G14" i="106"/>
  <c r="G15" i="106"/>
  <c r="G16" i="106"/>
  <c r="G17" i="106"/>
  <c r="G18" i="106"/>
  <c r="G19" i="106"/>
  <c r="G20" i="106"/>
  <c r="G21" i="106"/>
  <c r="G22" i="106"/>
  <c r="G23" i="106"/>
  <c r="G24" i="106"/>
  <c r="G25" i="106"/>
  <c r="G26" i="106"/>
  <c r="G27" i="106"/>
  <c r="G28" i="106"/>
  <c r="G29" i="106"/>
  <c r="G30" i="106"/>
  <c r="G31" i="106"/>
  <c r="G32" i="106"/>
  <c r="G33" i="106"/>
  <c r="G34" i="106"/>
  <c r="G35" i="106"/>
  <c r="G36" i="106"/>
  <c r="G37" i="106"/>
  <c r="G38" i="106"/>
  <c r="G39" i="106"/>
  <c r="G40" i="106"/>
  <c r="G41" i="106"/>
  <c r="G42" i="106"/>
  <c r="G43" i="106"/>
  <c r="G44" i="106"/>
  <c r="G45" i="106"/>
  <c r="G46" i="106"/>
  <c r="G47" i="106"/>
  <c r="G48" i="106"/>
  <c r="G49" i="106"/>
  <c r="G50" i="106"/>
  <c r="G51" i="106"/>
  <c r="G52" i="106"/>
  <c r="G53" i="106"/>
  <c r="G54" i="106"/>
  <c r="G55" i="106"/>
  <c r="G56" i="106"/>
  <c r="G57" i="106"/>
  <c r="G58" i="106"/>
  <c r="G59" i="106"/>
  <c r="G60" i="106"/>
  <c r="G61" i="106"/>
  <c r="G62" i="106"/>
  <c r="G63" i="106"/>
  <c r="G64" i="106"/>
  <c r="G65" i="106"/>
  <c r="G66" i="106"/>
  <c r="G67" i="106"/>
  <c r="G68" i="106"/>
  <c r="G69" i="106"/>
  <c r="G70" i="106"/>
  <c r="G71" i="106"/>
  <c r="G72" i="106"/>
  <c r="G73" i="106"/>
  <c r="G74" i="106"/>
  <c r="G75" i="106"/>
  <c r="G76" i="106"/>
  <c r="G77" i="106"/>
  <c r="G78" i="106"/>
  <c r="G79" i="106"/>
  <c r="G80" i="106"/>
  <c r="G81" i="106"/>
  <c r="G82" i="106"/>
  <c r="G83" i="106"/>
  <c r="G4" i="106"/>
  <c r="D19" i="106"/>
  <c r="D18" i="106"/>
  <c r="D17" i="106"/>
  <c r="D16" i="106"/>
  <c r="D15" i="106"/>
  <c r="D14" i="106"/>
  <c r="D13" i="106"/>
  <c r="D12" i="106"/>
  <c r="D11" i="106"/>
  <c r="D10" i="106"/>
  <c r="D9" i="106"/>
  <c r="D8" i="106"/>
  <c r="D7" i="106"/>
  <c r="D6" i="106"/>
  <c r="D5" i="106"/>
  <c r="D4" i="106"/>
  <c r="B19" i="106"/>
  <c r="B18" i="106"/>
  <c r="B17" i="106"/>
  <c r="B16" i="106"/>
  <c r="B15" i="106"/>
  <c r="E40" i="106"/>
  <c r="B14" i="106"/>
  <c r="B13" i="106"/>
  <c r="B12" i="106"/>
  <c r="B11" i="106"/>
  <c r="B10" i="106"/>
  <c r="B9" i="106"/>
  <c r="E37" i="106"/>
  <c r="B8" i="106"/>
  <c r="B7" i="106"/>
  <c r="B6" i="106"/>
  <c r="B5" i="106"/>
  <c r="B4" i="106"/>
  <c r="Q83" i="106"/>
  <c r="P83" i="106"/>
  <c r="R83" i="106"/>
  <c r="Q82" i="106"/>
  <c r="P82" i="106"/>
  <c r="R82" i="106"/>
  <c r="Q81" i="106"/>
  <c r="P81" i="106"/>
  <c r="R81" i="106"/>
  <c r="Q80" i="106"/>
  <c r="P80" i="106"/>
  <c r="R80" i="106"/>
  <c r="Q79" i="106"/>
  <c r="P79" i="106"/>
  <c r="R79" i="106"/>
  <c r="Q78" i="106"/>
  <c r="P78" i="106"/>
  <c r="R78" i="106"/>
  <c r="Q77" i="106"/>
  <c r="P77" i="106"/>
  <c r="R77" i="106"/>
  <c r="Q76" i="106"/>
  <c r="P76" i="106"/>
  <c r="R76" i="106"/>
  <c r="Q75" i="106"/>
  <c r="P75" i="106"/>
  <c r="R75" i="106"/>
  <c r="Q74" i="106"/>
  <c r="P74" i="106"/>
  <c r="R74" i="106"/>
  <c r="Q73" i="106"/>
  <c r="P73" i="106"/>
  <c r="R73" i="106"/>
  <c r="Q72" i="106"/>
  <c r="P72" i="106"/>
  <c r="R72" i="106"/>
  <c r="Q71" i="106"/>
  <c r="P71" i="106"/>
  <c r="Q70" i="106"/>
  <c r="P70" i="106"/>
  <c r="R70" i="106"/>
  <c r="Q69" i="106"/>
  <c r="P69" i="106"/>
  <c r="R69" i="106"/>
  <c r="Q68" i="106"/>
  <c r="P68" i="106"/>
  <c r="R68" i="106"/>
  <c r="Q67" i="106"/>
  <c r="P67" i="106"/>
  <c r="R67" i="106"/>
  <c r="Q66" i="106"/>
  <c r="P66" i="106"/>
  <c r="R66" i="106"/>
  <c r="Q65" i="106"/>
  <c r="P65" i="106"/>
  <c r="R65" i="106"/>
  <c r="Q64" i="106"/>
  <c r="P64" i="106"/>
  <c r="R64" i="106"/>
  <c r="Q63" i="106"/>
  <c r="P63" i="106"/>
  <c r="R63" i="106"/>
  <c r="Q62" i="106"/>
  <c r="P62" i="106"/>
  <c r="R62" i="106"/>
  <c r="Q61" i="106"/>
  <c r="P61" i="106"/>
  <c r="R61" i="106"/>
  <c r="Q60" i="106"/>
  <c r="P60" i="106"/>
  <c r="R60" i="106"/>
  <c r="Q59" i="106"/>
  <c r="P59" i="106"/>
  <c r="R59" i="106"/>
  <c r="Q58" i="106"/>
  <c r="P58" i="106"/>
  <c r="R58" i="106"/>
  <c r="Q57" i="106"/>
  <c r="P57" i="106"/>
  <c r="R57" i="106"/>
  <c r="Q56" i="106"/>
  <c r="P56" i="106"/>
  <c r="R56" i="106"/>
  <c r="Q55" i="106"/>
  <c r="P55" i="106"/>
  <c r="R55" i="106"/>
  <c r="Q54" i="106"/>
  <c r="P54" i="106"/>
  <c r="R54" i="106"/>
  <c r="Q53" i="106"/>
  <c r="P53" i="106"/>
  <c r="R53" i="106"/>
  <c r="Q52" i="106"/>
  <c r="P52" i="106"/>
  <c r="O52" i="106"/>
  <c r="R52" i="106"/>
  <c r="Q51" i="106"/>
  <c r="P51" i="106"/>
  <c r="O51" i="106"/>
  <c r="R51" i="106"/>
  <c r="Q50" i="106"/>
  <c r="P50" i="106"/>
  <c r="O50" i="106"/>
  <c r="R50" i="106"/>
  <c r="Q49" i="106"/>
  <c r="P49" i="106"/>
  <c r="O49" i="106"/>
  <c r="R49" i="106"/>
  <c r="Q48" i="106"/>
  <c r="P48" i="106"/>
  <c r="O48" i="106"/>
  <c r="R48" i="106"/>
  <c r="E48" i="106"/>
  <c r="Q47" i="106"/>
  <c r="P47" i="106"/>
  <c r="O47" i="106"/>
  <c r="R47" i="106"/>
  <c r="Q46" i="106"/>
  <c r="P46" i="106"/>
  <c r="O46" i="106"/>
  <c r="R46" i="106"/>
  <c r="Q45" i="106"/>
  <c r="P45" i="106"/>
  <c r="O45" i="106"/>
  <c r="R45" i="106"/>
  <c r="Q44" i="106"/>
  <c r="P44" i="106"/>
  <c r="O44" i="106"/>
  <c r="R44" i="106"/>
  <c r="Q43" i="106"/>
  <c r="P43" i="106"/>
  <c r="O43" i="106"/>
  <c r="R43" i="106"/>
  <c r="E43" i="106"/>
  <c r="Q42" i="106"/>
  <c r="P42" i="106"/>
  <c r="O42" i="106"/>
  <c r="R42" i="106"/>
  <c r="Q41" i="106"/>
  <c r="P41" i="106"/>
  <c r="O41" i="106"/>
  <c r="R41" i="106"/>
  <c r="Q40" i="106"/>
  <c r="P40" i="106"/>
  <c r="O40" i="106"/>
  <c r="R40" i="106"/>
  <c r="Q39" i="106"/>
  <c r="P39" i="106"/>
  <c r="O39" i="106"/>
  <c r="R39" i="106"/>
  <c r="Q38" i="106"/>
  <c r="P38" i="106"/>
  <c r="O38" i="106"/>
  <c r="R38" i="106"/>
  <c r="Q37" i="106"/>
  <c r="P37" i="106"/>
  <c r="O37" i="106"/>
  <c r="R37" i="106"/>
  <c r="Q36" i="106"/>
  <c r="P36" i="106"/>
  <c r="O36" i="106"/>
  <c r="R36" i="106"/>
  <c r="Q35" i="106"/>
  <c r="P35" i="106"/>
  <c r="O35" i="106"/>
  <c r="R35" i="106"/>
  <c r="Q34" i="106"/>
  <c r="P34" i="106"/>
  <c r="O34" i="106"/>
  <c r="R34" i="106"/>
  <c r="D34" i="106"/>
  <c r="E34" i="106" s="1"/>
  <c r="B34" i="106"/>
  <c r="C34" i="106" s="1"/>
  <c r="Q33" i="106"/>
  <c r="P33" i="106"/>
  <c r="O33" i="106"/>
  <c r="R33" i="106"/>
  <c r="D33" i="106"/>
  <c r="E33" i="106" s="1"/>
  <c r="B33" i="106"/>
  <c r="Q32" i="106"/>
  <c r="P32" i="106"/>
  <c r="O32" i="106"/>
  <c r="R32" i="106"/>
  <c r="D32" i="106"/>
  <c r="E32" i="106" s="1"/>
  <c r="B32" i="106"/>
  <c r="C32" i="106" s="1"/>
  <c r="Q31" i="106"/>
  <c r="P31" i="106"/>
  <c r="O31" i="106"/>
  <c r="R31" i="106"/>
  <c r="D31" i="106"/>
  <c r="E31" i="106" s="1"/>
  <c r="B31" i="106"/>
  <c r="C31" i="106" s="1"/>
  <c r="Q30" i="106"/>
  <c r="P30" i="106"/>
  <c r="O30" i="106"/>
  <c r="R30" i="106"/>
  <c r="D30" i="106"/>
  <c r="E30" i="106" s="1"/>
  <c r="B30" i="106"/>
  <c r="C30" i="106" s="1"/>
  <c r="Q29" i="106"/>
  <c r="P29" i="106"/>
  <c r="O29" i="106"/>
  <c r="R29" i="106"/>
  <c r="D29" i="106"/>
  <c r="E29" i="106" s="1"/>
  <c r="B29" i="106"/>
  <c r="C29" i="106" s="1"/>
  <c r="Q28" i="106"/>
  <c r="P28" i="106"/>
  <c r="O28" i="106"/>
  <c r="R28" i="106"/>
  <c r="D28" i="106"/>
  <c r="E28" i="106" s="1"/>
  <c r="B28" i="106"/>
  <c r="Q27" i="106"/>
  <c r="P27" i="106"/>
  <c r="O27" i="106"/>
  <c r="R27" i="106"/>
  <c r="D27" i="106"/>
  <c r="E27" i="106" s="1"/>
  <c r="B27" i="106"/>
  <c r="C27" i="106" s="1"/>
  <c r="Q26" i="106"/>
  <c r="P26" i="106"/>
  <c r="O26" i="106"/>
  <c r="R26" i="106"/>
  <c r="D26" i="106"/>
  <c r="E26" i="106" s="1"/>
  <c r="B26" i="106"/>
  <c r="C26" i="106" s="1"/>
  <c r="Q25" i="106"/>
  <c r="P25" i="106"/>
  <c r="O25" i="106"/>
  <c r="R25" i="106"/>
  <c r="D25" i="106"/>
  <c r="E25" i="106" s="1"/>
  <c r="B25" i="106"/>
  <c r="C25" i="106" s="1"/>
  <c r="Q24" i="106"/>
  <c r="P24" i="106"/>
  <c r="O24" i="106"/>
  <c r="R24" i="106"/>
  <c r="D24" i="106"/>
  <c r="E24" i="106" s="1"/>
  <c r="B24" i="106"/>
  <c r="C24" i="106" s="1"/>
  <c r="Q23" i="106"/>
  <c r="P23" i="106"/>
  <c r="O23" i="106"/>
  <c r="R23" i="106"/>
  <c r="D23" i="106"/>
  <c r="E23" i="106" s="1"/>
  <c r="B23" i="106"/>
  <c r="C23" i="106" s="1"/>
  <c r="Q22" i="106"/>
  <c r="P22" i="106"/>
  <c r="O22" i="106"/>
  <c r="R22" i="106"/>
  <c r="D22" i="106"/>
  <c r="E22" i="106" s="1"/>
  <c r="B22" i="106"/>
  <c r="C22" i="106" s="1"/>
  <c r="W21" i="106"/>
  <c r="Q21" i="106"/>
  <c r="P21" i="106"/>
  <c r="O21" i="106"/>
  <c r="R21" i="106"/>
  <c r="D21" i="106"/>
  <c r="E21" i="106" s="1"/>
  <c r="B21" i="106"/>
  <c r="C21" i="106" s="1"/>
  <c r="W20" i="106"/>
  <c r="Q20" i="106"/>
  <c r="P20" i="106"/>
  <c r="O20" i="106"/>
  <c r="R20" i="106"/>
  <c r="D20" i="106"/>
  <c r="E20" i="106" s="1"/>
  <c r="B20" i="106"/>
  <c r="C20" i="106" s="1"/>
  <c r="W19" i="106"/>
  <c r="Q19" i="106"/>
  <c r="P19" i="106"/>
  <c r="O19" i="106"/>
  <c r="R19" i="106"/>
  <c r="W18" i="106"/>
  <c r="Q18" i="106"/>
  <c r="P18" i="106"/>
  <c r="O18" i="106"/>
  <c r="R18" i="106"/>
  <c r="W17" i="106"/>
  <c r="Q17" i="106"/>
  <c r="P17" i="106"/>
  <c r="O17" i="106"/>
  <c r="R17" i="106"/>
  <c r="W16" i="106"/>
  <c r="Q16" i="106"/>
  <c r="P16" i="106"/>
  <c r="O16" i="106"/>
  <c r="R16" i="106"/>
  <c r="W15" i="106"/>
  <c r="Q15" i="106"/>
  <c r="P15" i="106"/>
  <c r="O15" i="106"/>
  <c r="R15" i="106"/>
  <c r="W14" i="106"/>
  <c r="Q14" i="106"/>
  <c r="P14" i="106"/>
  <c r="O14" i="106"/>
  <c r="R14" i="106"/>
  <c r="W13" i="106"/>
  <c r="Q13" i="106"/>
  <c r="P13" i="106"/>
  <c r="O13" i="106"/>
  <c r="R13" i="106"/>
  <c r="W12" i="106"/>
  <c r="Q12" i="106"/>
  <c r="P12" i="106"/>
  <c r="O12" i="106"/>
  <c r="R12" i="106"/>
  <c r="W11" i="106"/>
  <c r="Q11" i="106"/>
  <c r="P11" i="106"/>
  <c r="O11" i="106"/>
  <c r="R11" i="106"/>
  <c r="W10" i="106"/>
  <c r="Q10" i="106"/>
  <c r="P10" i="106"/>
  <c r="O10" i="106"/>
  <c r="R10" i="106"/>
  <c r="C38" i="106"/>
  <c r="W9" i="106"/>
  <c r="Q9" i="106"/>
  <c r="P9" i="106"/>
  <c r="O9" i="106"/>
  <c r="R9" i="106"/>
  <c r="W8" i="106"/>
  <c r="Q8" i="106"/>
  <c r="P8" i="106"/>
  <c r="O8" i="106"/>
  <c r="R8" i="106"/>
  <c r="W7" i="106"/>
  <c r="Q7" i="106"/>
  <c r="P7" i="106"/>
  <c r="O7" i="106"/>
  <c r="R7" i="106"/>
  <c r="E36" i="106"/>
  <c r="W6" i="106"/>
  <c r="Q6" i="106"/>
  <c r="P6" i="106"/>
  <c r="O6" i="106"/>
  <c r="R6" i="106"/>
  <c r="C36" i="106"/>
  <c r="W5" i="106"/>
  <c r="Q5" i="106"/>
  <c r="P5" i="106"/>
  <c r="O5" i="106"/>
  <c r="R5" i="106"/>
  <c r="E35" i="106"/>
  <c r="W4" i="106"/>
  <c r="Q4" i="106"/>
  <c r="P4" i="106"/>
  <c r="O4" i="106"/>
  <c r="R4" i="106"/>
  <c r="D68" i="109"/>
  <c r="D39" i="109"/>
  <c r="D12" i="109"/>
  <c r="D91" i="109"/>
  <c r="D80" i="109"/>
  <c r="D92" i="109"/>
  <c r="D23" i="109"/>
  <c r="D15" i="109"/>
  <c r="D102" i="109"/>
  <c r="D66" i="109"/>
  <c r="D79" i="109"/>
  <c r="D69" i="109"/>
  <c r="D37" i="109"/>
  <c r="D87" i="109"/>
  <c r="D85" i="109"/>
  <c r="D40" i="109"/>
  <c r="D28" i="109"/>
  <c r="D43" i="109"/>
  <c r="D20" i="109"/>
  <c r="D88" i="109"/>
  <c r="D82" i="109"/>
  <c r="D58" i="109"/>
  <c r="AK2" i="86"/>
  <c r="C2" i="86"/>
  <c r="I2" i="86"/>
  <c r="H6" i="86"/>
  <c r="Q6" i="86"/>
  <c r="E14" i="86" s="1"/>
  <c r="W6" i="86"/>
  <c r="E18" i="86" s="1"/>
  <c r="AC6" i="86"/>
  <c r="E22" i="86" s="1"/>
  <c r="AI6" i="86"/>
  <c r="E26" i="86" s="1"/>
  <c r="AO6" i="86"/>
  <c r="E30" i="86" s="1"/>
  <c r="A1" i="86"/>
  <c r="C9" i="86"/>
  <c r="C11" i="86"/>
  <c r="C13" i="86"/>
  <c r="C15" i="86"/>
  <c r="C17" i="86"/>
  <c r="C19" i="86"/>
  <c r="C21" i="86"/>
  <c r="C23" i="86"/>
  <c r="C25" i="86"/>
  <c r="C27" i="86"/>
  <c r="C29" i="86"/>
  <c r="C31" i="86"/>
  <c r="C32" i="86"/>
  <c r="C33" i="86"/>
  <c r="C35" i="86"/>
  <c r="C7" i="86"/>
  <c r="J29" i="52"/>
  <c r="J12" i="52"/>
  <c r="J38" i="52"/>
  <c r="J37" i="52"/>
  <c r="J25" i="52"/>
  <c r="J17" i="52"/>
  <c r="J43" i="52"/>
  <c r="J20" i="52"/>
  <c r="J39" i="52"/>
  <c r="J19" i="52"/>
  <c r="J22" i="52"/>
  <c r="J31" i="52"/>
  <c r="J16" i="52"/>
  <c r="J9" i="52"/>
  <c r="J11" i="52"/>
  <c r="J26" i="52"/>
  <c r="I29" i="52"/>
  <c r="I12" i="52"/>
  <c r="I38" i="52"/>
  <c r="I37" i="52"/>
  <c r="I25" i="52"/>
  <c r="K25" i="52" s="1"/>
  <c r="I17" i="52"/>
  <c r="I43" i="52"/>
  <c r="I20" i="52"/>
  <c r="I39" i="52"/>
  <c r="I19" i="52"/>
  <c r="I22" i="52"/>
  <c r="K22" i="52" s="1"/>
  <c r="I31" i="52"/>
  <c r="I16" i="52"/>
  <c r="I9" i="52"/>
  <c r="I11" i="52"/>
  <c r="K11" i="52" s="1"/>
  <c r="I26" i="52"/>
  <c r="K26" i="52" s="1"/>
  <c r="AA55" i="138"/>
  <c r="I35" i="52"/>
  <c r="J35" i="52"/>
  <c r="I24" i="52"/>
  <c r="J24" i="52"/>
  <c r="I21" i="52"/>
  <c r="J21" i="52"/>
  <c r="I41" i="52"/>
  <c r="J41" i="52"/>
  <c r="I34" i="52"/>
  <c r="J34" i="52"/>
  <c r="I14" i="52"/>
  <c r="J14" i="52"/>
  <c r="I42" i="52"/>
  <c r="J42" i="52"/>
  <c r="I33" i="52"/>
  <c r="J33" i="52"/>
  <c r="I36" i="52"/>
  <c r="J36" i="52"/>
  <c r="I10" i="52"/>
  <c r="J10" i="52"/>
  <c r="I13" i="52"/>
  <c r="J13" i="52"/>
  <c r="I15" i="52"/>
  <c r="J15" i="52"/>
  <c r="I18" i="52"/>
  <c r="J18" i="52"/>
  <c r="C9" i="138"/>
  <c r="I30" i="52"/>
  <c r="J30" i="52"/>
  <c r="I27" i="52"/>
  <c r="J27" i="52"/>
  <c r="I28" i="52"/>
  <c r="J28" i="52"/>
  <c r="I23" i="52"/>
  <c r="J23" i="52"/>
  <c r="I44" i="52"/>
  <c r="J44" i="52"/>
  <c r="I32" i="52"/>
  <c r="J32" i="52"/>
  <c r="I40" i="52"/>
  <c r="J40" i="52"/>
  <c r="C28" i="86"/>
  <c r="C18" i="86"/>
  <c r="C14" i="86"/>
  <c r="C41" i="106"/>
  <c r="C37" i="106"/>
  <c r="E57" i="106"/>
  <c r="C47" i="106"/>
  <c r="C43" i="106"/>
  <c r="C33" i="106"/>
  <c r="E52" i="106"/>
  <c r="C28" i="106"/>
  <c r="C69" i="106"/>
  <c r="P23" i="113"/>
  <c r="Q23" i="113" s="1"/>
  <c r="P25" i="113"/>
  <c r="Q25" i="113" s="1"/>
  <c r="P29" i="113"/>
  <c r="Q29" i="113" s="1"/>
  <c r="P33" i="113"/>
  <c r="Q33" i="113" s="1"/>
  <c r="K43" i="112"/>
  <c r="L43" i="112" s="1"/>
  <c r="AA35" i="113"/>
  <c r="AB35" i="113" s="1"/>
  <c r="C6" i="107"/>
  <c r="C24" i="86"/>
  <c r="C8" i="86"/>
  <c r="C62" i="106"/>
  <c r="C59" i="106"/>
  <c r="C60" i="106"/>
  <c r="AA21" i="113"/>
  <c r="AB21" i="113" s="1"/>
  <c r="AD31" i="113"/>
  <c r="AE31" i="113" s="1"/>
  <c r="AA33" i="113"/>
  <c r="AB33" i="113" s="1"/>
  <c r="AA19" i="113"/>
  <c r="AB19" i="113" s="1"/>
  <c r="AA40" i="113"/>
  <c r="AB40" i="113" s="1"/>
  <c r="Q18" i="113"/>
  <c r="AA42" i="113"/>
  <c r="AB42" i="113" s="1"/>
  <c r="AD37" i="113"/>
  <c r="AE37" i="113" s="1"/>
  <c r="N36" i="112"/>
  <c r="O36" i="112" s="1"/>
  <c r="K45" i="112"/>
  <c r="L45" i="112" s="1"/>
  <c r="T23" i="109"/>
  <c r="C74" i="106"/>
  <c r="C71" i="106"/>
  <c r="C50" i="106"/>
  <c r="AD24" i="113"/>
  <c r="AE24" i="113" s="1"/>
  <c r="AD44" i="113"/>
  <c r="AE44" i="113" s="1"/>
  <c r="T68" i="109"/>
  <c r="Q1" i="121"/>
  <c r="F9" i="121"/>
  <c r="F25" i="121"/>
  <c r="AH61" i="107"/>
  <c r="C30" i="86"/>
  <c r="C10" i="86"/>
  <c r="C16" i="86"/>
  <c r="C36" i="86"/>
  <c r="D105" i="109"/>
  <c r="D86" i="109"/>
  <c r="C12" i="86"/>
  <c r="C26" i="86"/>
  <c r="D75" i="109"/>
  <c r="D9" i="109"/>
  <c r="D13" i="109"/>
  <c r="D14" i="109"/>
  <c r="D84" i="109"/>
  <c r="E62" i="106"/>
  <c r="E69" i="106"/>
  <c r="C35" i="106"/>
  <c r="E55" i="106"/>
  <c r="T91" i="109"/>
  <c r="B81" i="106"/>
  <c r="C81" i="106" s="1"/>
  <c r="C73" i="106"/>
  <c r="R71" i="106"/>
  <c r="J15" i="133"/>
  <c r="E54" i="106"/>
  <c r="D39" i="106"/>
  <c r="C58" i="106"/>
  <c r="C55" i="106"/>
  <c r="E71" i="106"/>
  <c r="E39" i="106"/>
  <c r="C66" i="106"/>
  <c r="E66" i="106"/>
  <c r="AE73" i="107" l="1"/>
  <c r="AE31" i="107"/>
  <c r="D79" i="106"/>
  <c r="E79" i="106" s="1"/>
  <c r="H14" i="107"/>
  <c r="AE13" i="107"/>
  <c r="AH15" i="107" s="1"/>
  <c r="AE53" i="107"/>
  <c r="K38" i="52"/>
  <c r="F105" i="109" s="1"/>
  <c r="Q9" i="121"/>
  <c r="B80" i="106"/>
  <c r="C80" i="106" s="1"/>
  <c r="G18" i="133"/>
  <c r="H56" i="107"/>
  <c r="AE9" i="107"/>
  <c r="AE51" i="107"/>
  <c r="A13" i="121"/>
  <c r="B13" i="121" s="1"/>
  <c r="AE33" i="107"/>
  <c r="AE11" i="107"/>
  <c r="N63" i="112"/>
  <c r="O63" i="112" s="1"/>
  <c r="N46" i="112"/>
  <c r="O46" i="112" s="1"/>
  <c r="H63" i="112"/>
  <c r="F46" i="112"/>
  <c r="H65" i="112"/>
  <c r="I65" i="112" s="1"/>
  <c r="F50" i="112"/>
  <c r="H67" i="112"/>
  <c r="F54" i="112"/>
  <c r="H69" i="112"/>
  <c r="I69" i="112" s="1"/>
  <c r="F58" i="112"/>
  <c r="AE49" i="107"/>
  <c r="F37" i="109"/>
  <c r="C34" i="157"/>
  <c r="F33" i="157"/>
  <c r="I31" i="157"/>
  <c r="L27" i="157"/>
  <c r="O19" i="157"/>
  <c r="O70" i="109"/>
  <c r="F29" i="157"/>
  <c r="C28" i="157"/>
  <c r="I42" i="157"/>
  <c r="L45" i="157"/>
  <c r="O46" i="157"/>
  <c r="L41" i="157"/>
  <c r="F25" i="157"/>
  <c r="C26" i="157"/>
  <c r="O42" i="157"/>
  <c r="I40" i="157"/>
  <c r="AE69" i="107"/>
  <c r="B51" i="106"/>
  <c r="C51" i="106" s="1"/>
  <c r="D51" i="106"/>
  <c r="E51" i="106" s="1"/>
  <c r="U25" i="121"/>
  <c r="P28" i="121" s="1"/>
  <c r="R28" i="121" s="1"/>
  <c r="K1" i="121"/>
  <c r="K9" i="121"/>
  <c r="K17" i="121"/>
  <c r="K25" i="121"/>
  <c r="A21" i="121"/>
  <c r="B21" i="121" s="1"/>
  <c r="C75" i="106"/>
  <c r="U17" i="121"/>
  <c r="P21" i="121" s="1"/>
  <c r="U9" i="121"/>
  <c r="P12" i="121" s="1"/>
  <c r="R12" i="121" s="1"/>
  <c r="U1" i="121"/>
  <c r="P5" i="121" s="1"/>
  <c r="R5" i="121" s="1"/>
  <c r="B9" i="121"/>
  <c r="B17" i="121" s="1"/>
  <c r="B25" i="121" s="1"/>
  <c r="Q17" i="121"/>
  <c r="B79" i="106"/>
  <c r="C79" i="106" s="1"/>
  <c r="M39" i="113"/>
  <c r="C48" i="106"/>
  <c r="Z9" i="121"/>
  <c r="Z17" i="121"/>
  <c r="Z25" i="121"/>
  <c r="AG22" i="86"/>
  <c r="AD24" i="86" s="1"/>
  <c r="AE22" i="86"/>
  <c r="AJ20" i="86"/>
  <c r="AA26" i="86" s="1"/>
  <c r="AH20" i="86"/>
  <c r="AM18" i="86"/>
  <c r="X28" i="86" s="1"/>
  <c r="AK18" i="86"/>
  <c r="AP16" i="86"/>
  <c r="U30" i="86" s="1"/>
  <c r="AN16" i="86"/>
  <c r="AS14" i="86"/>
  <c r="R32" i="86" s="1"/>
  <c r="AQ14" i="86"/>
  <c r="AV12" i="86"/>
  <c r="O34" i="86" s="1"/>
  <c r="AT12" i="86"/>
  <c r="AJ24" i="86"/>
  <c r="AH24" i="86"/>
  <c r="AM22" i="86"/>
  <c r="AD28" i="86" s="1"/>
  <c r="AK22" i="86"/>
  <c r="AP20" i="86"/>
  <c r="AA30" i="86" s="1"/>
  <c r="AN20" i="86"/>
  <c r="AS18" i="86"/>
  <c r="X32" i="86" s="1"/>
  <c r="AQ18" i="86"/>
  <c r="AV16" i="86"/>
  <c r="U34" i="86" s="1"/>
  <c r="AT16" i="86"/>
  <c r="AM26" i="86"/>
  <c r="AJ28" i="86" s="1"/>
  <c r="AK26" i="86"/>
  <c r="AP24" i="86"/>
  <c r="AG30" i="86" s="1"/>
  <c r="AN24" i="86"/>
  <c r="AS22" i="86"/>
  <c r="AD32" i="86" s="1"/>
  <c r="AQ22" i="86"/>
  <c r="AV20" i="86"/>
  <c r="AT20" i="86"/>
  <c r="AW18" i="86"/>
  <c r="AY18" i="86"/>
  <c r="A5" i="121"/>
  <c r="C5" i="121" s="1"/>
  <c r="M6" i="86"/>
  <c r="O6" i="86"/>
  <c r="AP28" i="86"/>
  <c r="AN28" i="86"/>
  <c r="AS26" i="86"/>
  <c r="AJ32" i="86" s="1"/>
  <c r="AQ26" i="86"/>
  <c r="AV24" i="86"/>
  <c r="AG34" i="86" s="1"/>
  <c r="AT24" i="86"/>
  <c r="AS30" i="86"/>
  <c r="AP32" i="86" s="1"/>
  <c r="AQ30" i="86"/>
  <c r="AV28" i="86"/>
  <c r="AM34" i="86" s="1"/>
  <c r="AT28" i="86"/>
  <c r="AY26" i="86"/>
  <c r="AJ36" i="86" s="1"/>
  <c r="AW26" i="86"/>
  <c r="AT32" i="86"/>
  <c r="AV32" i="86"/>
  <c r="U6" i="86"/>
  <c r="F16" i="86" s="1"/>
  <c r="S6" i="86"/>
  <c r="AY30" i="86"/>
  <c r="AP36" i="86" s="1"/>
  <c r="AW30" i="86"/>
  <c r="AY34" i="86"/>
  <c r="AV36" i="86" s="1"/>
  <c r="AW34" i="86"/>
  <c r="AA6" i="86"/>
  <c r="F20" i="86" s="1"/>
  <c r="Y6" i="86"/>
  <c r="L8" i="86"/>
  <c r="I10" i="86" s="1"/>
  <c r="J8" i="86"/>
  <c r="M10" i="86"/>
  <c r="O10" i="86"/>
  <c r="AG6" i="86"/>
  <c r="R8" i="86"/>
  <c r="P8" i="86"/>
  <c r="P12" i="86"/>
  <c r="R12" i="86"/>
  <c r="AM6" i="86"/>
  <c r="AK6" i="86"/>
  <c r="S10" i="86"/>
  <c r="U10" i="86"/>
  <c r="X8" i="86"/>
  <c r="V8" i="86"/>
  <c r="S14" i="86"/>
  <c r="U14" i="86"/>
  <c r="V12" i="86"/>
  <c r="X12" i="86"/>
  <c r="AA10" i="86"/>
  <c r="Y10" i="86"/>
  <c r="AD8" i="86"/>
  <c r="AB8" i="86"/>
  <c r="V16" i="86"/>
  <c r="X16" i="86"/>
  <c r="AA14" i="86"/>
  <c r="Y14" i="86"/>
  <c r="AD12" i="86"/>
  <c r="AB12" i="86"/>
  <c r="AE10" i="86"/>
  <c r="AG10" i="86"/>
  <c r="AJ8" i="86"/>
  <c r="AH8" i="86"/>
  <c r="AS6" i="86"/>
  <c r="AQ6" i="86"/>
  <c r="AA18" i="86"/>
  <c r="Y18" i="86"/>
  <c r="AD16" i="86"/>
  <c r="AB16" i="86"/>
  <c r="AE14" i="86"/>
  <c r="AG14" i="86"/>
  <c r="AH12" i="86"/>
  <c r="AJ12" i="86"/>
  <c r="AK14" i="86"/>
  <c r="AM14" i="86"/>
  <c r="AM10" i="86"/>
  <c r="AK10" i="86"/>
  <c r="AN8" i="86"/>
  <c r="AP8" i="86"/>
  <c r="AB20" i="86"/>
  <c r="AD20" i="86"/>
  <c r="AE18" i="86"/>
  <c r="AG18" i="86"/>
  <c r="AJ16" i="86"/>
  <c r="AH16" i="86"/>
  <c r="AP12" i="86"/>
  <c r="AN12" i="86"/>
  <c r="AS10" i="86"/>
  <c r="AQ10" i="86"/>
  <c r="A4" i="121"/>
  <c r="B4" i="121" s="1"/>
  <c r="A20" i="121"/>
  <c r="C20" i="121" s="1"/>
  <c r="AW22" i="86"/>
  <c r="AY22" i="86"/>
  <c r="AW14" i="86"/>
  <c r="AY14" i="86"/>
  <c r="AW10" i="86"/>
  <c r="AY10" i="86"/>
  <c r="AT8" i="86"/>
  <c r="AV8" i="86"/>
  <c r="A28" i="121"/>
  <c r="C28" i="121" s="1"/>
  <c r="A12" i="121"/>
  <c r="B12" i="121" s="1"/>
  <c r="L6" i="86"/>
  <c r="F10" i="86" s="1"/>
  <c r="J6" i="86"/>
  <c r="AY6" i="86"/>
  <c r="AW6" i="86"/>
  <c r="F91" i="134"/>
  <c r="C32" i="136"/>
  <c r="AA66" i="138"/>
  <c r="D27" i="138"/>
  <c r="C26" i="136"/>
  <c r="C8" i="137"/>
  <c r="AM15" i="138"/>
  <c r="D61" i="138"/>
  <c r="F115" i="134"/>
  <c r="C52" i="137"/>
  <c r="AM48" i="138"/>
  <c r="D69" i="138"/>
  <c r="C46" i="136"/>
  <c r="F34" i="134"/>
  <c r="C66" i="136"/>
  <c r="C14" i="135"/>
  <c r="F66" i="134"/>
  <c r="E67" i="134"/>
  <c r="E29" i="134"/>
  <c r="E33" i="134"/>
  <c r="E30" i="134"/>
  <c r="E96" i="134"/>
  <c r="E115" i="134"/>
  <c r="E73" i="134"/>
  <c r="E114" i="134"/>
  <c r="E8" i="134"/>
  <c r="C17" i="106"/>
  <c r="AY17" i="138"/>
  <c r="D63" i="138"/>
  <c r="AJ59" i="138"/>
  <c r="C16" i="135"/>
  <c r="F105" i="134"/>
  <c r="F29" i="134"/>
  <c r="F35" i="134"/>
  <c r="C8" i="135"/>
  <c r="F27" i="134"/>
  <c r="C54" i="135"/>
  <c r="F49" i="134"/>
  <c r="F51" i="134"/>
  <c r="C10" i="136"/>
  <c r="F55" i="134"/>
  <c r="F12" i="134"/>
  <c r="D9" i="133"/>
  <c r="R37" i="138"/>
  <c r="D45" i="138"/>
  <c r="E108" i="134"/>
  <c r="E106" i="134"/>
  <c r="E75" i="134"/>
  <c r="E91" i="134"/>
  <c r="E52" i="134"/>
  <c r="E72" i="134"/>
  <c r="E35" i="134"/>
  <c r="E37" i="134"/>
  <c r="E27" i="134"/>
  <c r="E54" i="134"/>
  <c r="E51" i="134"/>
  <c r="E55" i="134"/>
  <c r="E12" i="134"/>
  <c r="E38" i="134"/>
  <c r="E87" i="134"/>
  <c r="D11" i="133"/>
  <c r="J16" i="133"/>
  <c r="J12" i="133"/>
  <c r="J20" i="133"/>
  <c r="J24" i="133"/>
  <c r="C8" i="136"/>
  <c r="F31" i="134"/>
  <c r="C28" i="136"/>
  <c r="F32" i="134"/>
  <c r="C30" i="137"/>
  <c r="F75" i="134"/>
  <c r="C52" i="136"/>
  <c r="F53" i="134"/>
  <c r="AJ71" i="138"/>
  <c r="F113" i="134"/>
  <c r="AM31" i="138"/>
  <c r="F109" i="134"/>
  <c r="C70" i="137"/>
  <c r="F58" i="134"/>
  <c r="C16" i="136"/>
  <c r="F90" i="134"/>
  <c r="C32" i="137"/>
  <c r="F56" i="134"/>
  <c r="C54" i="137"/>
  <c r="F96" i="134"/>
  <c r="C72" i="136"/>
  <c r="F73" i="134"/>
  <c r="C14" i="137"/>
  <c r="F74" i="134"/>
  <c r="AA49" i="138"/>
  <c r="F114" i="134"/>
  <c r="D29" i="138"/>
  <c r="R59" i="138"/>
  <c r="E89" i="134"/>
  <c r="C74" i="137"/>
  <c r="F77" i="134"/>
  <c r="C56" i="137"/>
  <c r="F76" i="134"/>
  <c r="AJ67" i="138"/>
  <c r="F110" i="134"/>
  <c r="C76" i="136"/>
  <c r="F93" i="134"/>
  <c r="AM36" i="138"/>
  <c r="F112" i="134"/>
  <c r="AM44" i="138"/>
  <c r="F111" i="134"/>
  <c r="C48" i="136"/>
  <c r="F33" i="134"/>
  <c r="D13" i="138"/>
  <c r="AA54" i="138"/>
  <c r="C30" i="136"/>
  <c r="F52" i="134"/>
  <c r="C50" i="136"/>
  <c r="F72" i="134"/>
  <c r="C56" i="136"/>
  <c r="F92" i="134"/>
  <c r="C48" i="137"/>
  <c r="F37" i="134"/>
  <c r="C28" i="137"/>
  <c r="F36" i="134"/>
  <c r="C34" i="136"/>
  <c r="F71" i="134"/>
  <c r="C70" i="136"/>
  <c r="F54" i="134"/>
  <c r="C66" i="137"/>
  <c r="F38" i="134"/>
  <c r="G54" i="139"/>
  <c r="X52" i="138"/>
  <c r="G67" i="139"/>
  <c r="G50" i="139"/>
  <c r="AA35" i="138"/>
  <c r="C58" i="139"/>
  <c r="E67" i="139"/>
  <c r="U53" i="138"/>
  <c r="E54" i="139"/>
  <c r="E68" i="139"/>
  <c r="AD33" i="138"/>
  <c r="O104" i="109"/>
  <c r="E5" i="139"/>
  <c r="E20" i="139"/>
  <c r="G5" i="139"/>
  <c r="C13" i="138"/>
  <c r="X34" i="138"/>
  <c r="E50" i="139"/>
  <c r="F12" i="138"/>
  <c r="E8" i="106"/>
  <c r="C74" i="135"/>
  <c r="F69" i="134"/>
  <c r="D15" i="138"/>
  <c r="C76" i="135"/>
  <c r="F108" i="134"/>
  <c r="D37" i="138"/>
  <c r="C16" i="137"/>
  <c r="D53" i="138"/>
  <c r="C14" i="136"/>
  <c r="C72" i="135"/>
  <c r="F89" i="134"/>
  <c r="C68" i="135"/>
  <c r="F30" i="134"/>
  <c r="C52" i="135"/>
  <c r="F88" i="134"/>
  <c r="D39" i="138"/>
  <c r="C34" i="137"/>
  <c r="C70" i="135"/>
  <c r="F50" i="134"/>
  <c r="D31" i="138"/>
  <c r="C56" i="135"/>
  <c r="F107" i="134"/>
  <c r="D55" i="138"/>
  <c r="C36" i="136"/>
  <c r="C10" i="135"/>
  <c r="F47" i="134"/>
  <c r="D21" i="138"/>
  <c r="C74" i="136"/>
  <c r="D23" i="138"/>
  <c r="C54" i="136"/>
  <c r="D47" i="138"/>
  <c r="C36" i="135"/>
  <c r="F106" i="134"/>
  <c r="C34" i="135"/>
  <c r="F67" i="134"/>
  <c r="C30" i="135"/>
  <c r="F48" i="134"/>
  <c r="D38" i="109"/>
  <c r="C12" i="137"/>
  <c r="C12" i="136"/>
  <c r="C50" i="135"/>
  <c r="F68" i="134"/>
  <c r="C32" i="135"/>
  <c r="F87" i="134"/>
  <c r="E9" i="134"/>
  <c r="E28" i="134"/>
  <c r="P29" i="121"/>
  <c r="Q29" i="121" s="1"/>
  <c r="AE37" i="107"/>
  <c r="AH13" i="107"/>
  <c r="AH57" i="107"/>
  <c r="T69" i="109"/>
  <c r="T79" i="109"/>
  <c r="T75" i="109"/>
  <c r="T102" i="109"/>
  <c r="T86" i="109"/>
  <c r="T14" i="109"/>
  <c r="T105" i="109"/>
  <c r="T15" i="109"/>
  <c r="E16" i="134"/>
  <c r="E14" i="134"/>
  <c r="E18" i="134"/>
  <c r="E10" i="134"/>
  <c r="C6" i="135"/>
  <c r="F8" i="134"/>
  <c r="C66" i="135"/>
  <c r="F19" i="134"/>
  <c r="F13" i="134"/>
  <c r="F15" i="134"/>
  <c r="F17" i="134"/>
  <c r="F11" i="134"/>
  <c r="E19" i="134"/>
  <c r="E13" i="134"/>
  <c r="E15" i="134"/>
  <c r="E17" i="134"/>
  <c r="E11" i="134"/>
  <c r="C46" i="135"/>
  <c r="F18" i="134"/>
  <c r="F16" i="134"/>
  <c r="F14" i="134"/>
  <c r="F10" i="134"/>
  <c r="C26" i="135"/>
  <c r="F9" i="134"/>
  <c r="K20" i="52"/>
  <c r="K12" i="52"/>
  <c r="O62" i="109"/>
  <c r="O93" i="109"/>
  <c r="K16" i="52"/>
  <c r="E33" i="109"/>
  <c r="O54" i="109"/>
  <c r="O90" i="109"/>
  <c r="E44" i="109"/>
  <c r="O29" i="109"/>
  <c r="D83" i="106"/>
  <c r="E83" i="106" s="1"/>
  <c r="C6" i="136"/>
  <c r="C6" i="137"/>
  <c r="T93" i="109"/>
  <c r="T76" i="109"/>
  <c r="T16" i="109"/>
  <c r="T61" i="109"/>
  <c r="T11" i="109"/>
  <c r="T62" i="109"/>
  <c r="T25" i="109"/>
  <c r="T17" i="109"/>
  <c r="T19" i="109"/>
  <c r="T24" i="109"/>
  <c r="T67" i="109"/>
  <c r="T77" i="109"/>
  <c r="T52" i="109"/>
  <c r="T99" i="109"/>
  <c r="T100" i="109"/>
  <c r="T81" i="109"/>
  <c r="T78" i="109"/>
  <c r="T30" i="109"/>
  <c r="T33" i="109"/>
  <c r="T54" i="109"/>
  <c r="T90" i="109"/>
  <c r="T98" i="109"/>
  <c r="T44" i="109"/>
  <c r="T57" i="109"/>
  <c r="T47" i="109"/>
  <c r="T101" i="109"/>
  <c r="T26" i="109"/>
  <c r="T29" i="109"/>
  <c r="T18" i="109"/>
  <c r="T70" i="109"/>
  <c r="T58" i="109"/>
  <c r="T88" i="109"/>
  <c r="T43" i="109"/>
  <c r="T97" i="109"/>
  <c r="T49" i="109"/>
  <c r="T104" i="109"/>
  <c r="T72" i="109"/>
  <c r="T103" i="109"/>
  <c r="T34" i="109"/>
  <c r="T74" i="109"/>
  <c r="T95" i="109"/>
  <c r="T65" i="109"/>
  <c r="T53" i="109"/>
  <c r="T59" i="109"/>
  <c r="T22" i="109"/>
  <c r="T35" i="109"/>
  <c r="T45" i="109"/>
  <c r="T51" i="109"/>
  <c r="T89" i="109"/>
  <c r="T27" i="109"/>
  <c r="T73" i="109"/>
  <c r="T63" i="109"/>
  <c r="T21" i="109"/>
  <c r="T83" i="109"/>
  <c r="T96" i="109"/>
  <c r="T46" i="109"/>
  <c r="T64" i="109"/>
  <c r="T36" i="109"/>
  <c r="T71" i="109"/>
  <c r="T94" i="109"/>
  <c r="T60" i="109"/>
  <c r="T41" i="109"/>
  <c r="T56" i="109"/>
  <c r="T48" i="109"/>
  <c r="T50" i="109"/>
  <c r="T31" i="109"/>
  <c r="T82" i="109"/>
  <c r="T20" i="109"/>
  <c r="T84" i="109"/>
  <c r="T39" i="109"/>
  <c r="T10" i="109"/>
  <c r="K23" i="52"/>
  <c r="K27" i="52"/>
  <c r="K30" i="52"/>
  <c r="F82" i="109"/>
  <c r="K13" i="52"/>
  <c r="K41" i="52"/>
  <c r="K24" i="52"/>
  <c r="K35" i="52"/>
  <c r="AJ72" i="138"/>
  <c r="K17" i="52"/>
  <c r="C11" i="106"/>
  <c r="O66" i="109"/>
  <c r="K40" i="52"/>
  <c r="O71" i="109" s="1"/>
  <c r="K31" i="52"/>
  <c r="K19" i="52"/>
  <c r="K43" i="52"/>
  <c r="C7" i="106"/>
  <c r="AM49" i="138"/>
  <c r="C12" i="106"/>
  <c r="E101" i="109"/>
  <c r="E105" i="109"/>
  <c r="G105" i="109" s="1"/>
  <c r="O48" i="109"/>
  <c r="K44" i="52"/>
  <c r="K29" i="52"/>
  <c r="K9" i="52"/>
  <c r="E82" i="109"/>
  <c r="K10" i="52"/>
  <c r="K36" i="52"/>
  <c r="K15" i="52"/>
  <c r="O105" i="109"/>
  <c r="E88" i="109"/>
  <c r="F66" i="109"/>
  <c r="K39" i="52"/>
  <c r="F86" i="109"/>
  <c r="E37" i="109"/>
  <c r="K32" i="52"/>
  <c r="K18" i="52"/>
  <c r="F85" i="109"/>
  <c r="F26" i="109"/>
  <c r="O49" i="109"/>
  <c r="O34" i="109"/>
  <c r="E58" i="109"/>
  <c r="E49" i="109"/>
  <c r="F57" i="109"/>
  <c r="F91" i="109"/>
  <c r="E15" i="106"/>
  <c r="K42" i="52"/>
  <c r="K34" i="52"/>
  <c r="E6" i="106"/>
  <c r="G73" i="139"/>
  <c r="G34" i="139"/>
  <c r="O39" i="109"/>
  <c r="E39" i="109"/>
  <c r="F39" i="109"/>
  <c r="O40" i="109"/>
  <c r="F33" i="109"/>
  <c r="O33" i="109"/>
  <c r="F44" i="109"/>
  <c r="O44" i="109"/>
  <c r="K28" i="52"/>
  <c r="K33" i="52"/>
  <c r="K14" i="52"/>
  <c r="K21" i="52"/>
  <c r="K37" i="52"/>
  <c r="E75" i="109"/>
  <c r="O37" i="109"/>
  <c r="P20" i="121"/>
  <c r="Q20" i="121" s="1"/>
  <c r="A29" i="121"/>
  <c r="C29" i="121" s="1"/>
  <c r="C4" i="106"/>
  <c r="C6" i="106"/>
  <c r="E17" i="106"/>
  <c r="E9" i="106"/>
  <c r="T12" i="109"/>
  <c r="T40" i="109"/>
  <c r="T87" i="109"/>
  <c r="T80" i="109"/>
  <c r="T92" i="109"/>
  <c r="T13" i="109"/>
  <c r="F15" i="109"/>
  <c r="E92" i="109"/>
  <c r="F92" i="109"/>
  <c r="E14" i="109"/>
  <c r="O68" i="109"/>
  <c r="AE29" i="107"/>
  <c r="AH51" i="107" l="1"/>
  <c r="AH55" i="107"/>
  <c r="AH29" i="107"/>
  <c r="AH35" i="107"/>
  <c r="AH9" i="107"/>
  <c r="Z1" i="121"/>
  <c r="AH45" i="107"/>
  <c r="B83" i="106"/>
  <c r="C83" i="106" s="1"/>
  <c r="Q5" i="121"/>
  <c r="C13" i="121"/>
  <c r="P13" i="121"/>
  <c r="R13" i="121" s="1"/>
  <c r="AH27" i="107"/>
  <c r="AH11" i="107"/>
  <c r="AH33" i="107"/>
  <c r="AH31" i="107"/>
  <c r="K72" i="112"/>
  <c r="L72" i="112" s="1"/>
  <c r="I67" i="112"/>
  <c r="K70" i="112"/>
  <c r="I63" i="112"/>
  <c r="G37" i="109"/>
  <c r="C21" i="121"/>
  <c r="E13" i="109"/>
  <c r="G22" i="115"/>
  <c r="O71" i="157"/>
  <c r="F69" i="109"/>
  <c r="I5" i="115"/>
  <c r="F5" i="157"/>
  <c r="C4" i="157"/>
  <c r="I7" i="157"/>
  <c r="L33" i="157"/>
  <c r="O36" i="157"/>
  <c r="O79" i="109"/>
  <c r="E15" i="109"/>
  <c r="G15" i="109" s="1"/>
  <c r="O53" i="157"/>
  <c r="I51" i="157"/>
  <c r="L49" i="157"/>
  <c r="C14" i="157"/>
  <c r="F50" i="157"/>
  <c r="O88" i="109"/>
  <c r="O61" i="157"/>
  <c r="C30" i="157"/>
  <c r="I59" i="157"/>
  <c r="L62" i="157"/>
  <c r="F58" i="157"/>
  <c r="G92" i="115"/>
  <c r="O43" i="109"/>
  <c r="O23" i="109"/>
  <c r="O34" i="157"/>
  <c r="C20" i="157"/>
  <c r="I23" i="157"/>
  <c r="F21" i="157"/>
  <c r="L35" i="157"/>
  <c r="F13" i="157"/>
  <c r="C12" i="157"/>
  <c r="I15" i="157"/>
  <c r="L11" i="157"/>
  <c r="O31" i="157"/>
  <c r="O58" i="109"/>
  <c r="O9" i="109"/>
  <c r="O44" i="157"/>
  <c r="F9" i="157"/>
  <c r="C10" i="157"/>
  <c r="I36" i="157"/>
  <c r="L43" i="157"/>
  <c r="O75" i="109"/>
  <c r="O85" i="109"/>
  <c r="O20" i="109"/>
  <c r="O31" i="109"/>
  <c r="C24" i="157"/>
  <c r="L57" i="157"/>
  <c r="I55" i="157"/>
  <c r="O58" i="157"/>
  <c r="F56" i="157"/>
  <c r="O92" i="109"/>
  <c r="F17" i="157"/>
  <c r="O39" i="157"/>
  <c r="L37" i="157"/>
  <c r="C18" i="157"/>
  <c r="I38" i="157"/>
  <c r="B20" i="121"/>
  <c r="G33" i="109"/>
  <c r="G82" i="109"/>
  <c r="C12" i="121"/>
  <c r="Q21" i="121"/>
  <c r="R21" i="121"/>
  <c r="B5" i="121"/>
  <c r="P4" i="121"/>
  <c r="R4" i="121" s="1"/>
  <c r="L28" i="86"/>
  <c r="U22" i="86"/>
  <c r="I26" i="86"/>
  <c r="O22" i="86"/>
  <c r="I22" i="86"/>
  <c r="L20" i="86"/>
  <c r="I18" i="86"/>
  <c r="AS34" i="86"/>
  <c r="AE21" i="86"/>
  <c r="AB24" i="86" s="1"/>
  <c r="AT11" i="86"/>
  <c r="M34" i="86" s="1"/>
  <c r="L36" i="86"/>
  <c r="AG26" i="86"/>
  <c r="R36" i="86"/>
  <c r="X36" i="86"/>
  <c r="AA34" i="86"/>
  <c r="F12" i="86"/>
  <c r="AD36" i="86"/>
  <c r="AN27" i="86"/>
  <c r="AK30" i="86" s="1"/>
  <c r="AM30" i="86"/>
  <c r="F24" i="86"/>
  <c r="I14" i="86"/>
  <c r="L12" i="86"/>
  <c r="L16" i="86"/>
  <c r="F28" i="86"/>
  <c r="O14" i="86"/>
  <c r="AJ30" i="86"/>
  <c r="O18" i="86"/>
  <c r="R16" i="86"/>
  <c r="F32" i="86"/>
  <c r="U18" i="86"/>
  <c r="R20" i="86"/>
  <c r="L24" i="86"/>
  <c r="X20" i="86"/>
  <c r="R24" i="86"/>
  <c r="O26" i="86"/>
  <c r="I30" i="86"/>
  <c r="X24" i="86"/>
  <c r="AA22" i="86"/>
  <c r="O30" i="86"/>
  <c r="R28" i="86"/>
  <c r="U26" i="86"/>
  <c r="L32" i="86"/>
  <c r="F36" i="86"/>
  <c r="AH19" i="86"/>
  <c r="Y26" i="86" s="1"/>
  <c r="AK17" i="86"/>
  <c r="V28" i="86" s="1"/>
  <c r="AN15" i="86"/>
  <c r="S30" i="86" s="1"/>
  <c r="AQ13" i="86"/>
  <c r="P32" i="86" s="1"/>
  <c r="Q12" i="121"/>
  <c r="AH23" i="86"/>
  <c r="AE26" i="86" s="1"/>
  <c r="B28" i="121"/>
  <c r="AK21" i="86"/>
  <c r="AB28" i="86" s="1"/>
  <c r="AN19" i="86"/>
  <c r="Y30" i="86" s="1"/>
  <c r="AQ17" i="86"/>
  <c r="V32" i="86" s="1"/>
  <c r="AT19" i="86"/>
  <c r="Y34" i="86" s="1"/>
  <c r="AT15" i="86"/>
  <c r="S34" i="86" s="1"/>
  <c r="AK25" i="86"/>
  <c r="AH28" i="86" s="1"/>
  <c r="AN23" i="86"/>
  <c r="AE30" i="86" s="1"/>
  <c r="AQ21" i="86"/>
  <c r="AB32" i="86" s="1"/>
  <c r="AW17" i="86"/>
  <c r="V36" i="86" s="1"/>
  <c r="Q4" i="121"/>
  <c r="M5" i="86"/>
  <c r="D12" i="86" s="1"/>
  <c r="AQ25" i="86"/>
  <c r="AH32" i="86" s="1"/>
  <c r="AT23" i="86"/>
  <c r="AE34" i="86" s="1"/>
  <c r="AQ29" i="86"/>
  <c r="AN32" i="86" s="1"/>
  <c r="AT27" i="86"/>
  <c r="AK34" i="86" s="1"/>
  <c r="AW25" i="86"/>
  <c r="AH36" i="86" s="1"/>
  <c r="AT31" i="86"/>
  <c r="AQ34" i="86" s="1"/>
  <c r="S5" i="86"/>
  <c r="D16" i="86" s="1"/>
  <c r="AW29" i="86"/>
  <c r="AN36" i="86" s="1"/>
  <c r="AW33" i="86"/>
  <c r="AT36" i="86" s="1"/>
  <c r="Y5" i="86"/>
  <c r="D20" i="86" s="1"/>
  <c r="J7" i="86"/>
  <c r="G10" i="86" s="1"/>
  <c r="M9" i="86"/>
  <c r="J12" i="86" s="1"/>
  <c r="AE5" i="86"/>
  <c r="D24" i="86" s="1"/>
  <c r="P7" i="86"/>
  <c r="G14" i="86" s="1"/>
  <c r="P11" i="86"/>
  <c r="M14" i="86" s="1"/>
  <c r="AK5" i="86"/>
  <c r="D28" i="86" s="1"/>
  <c r="AN25" i="86"/>
  <c r="AH30" i="86" s="1"/>
  <c r="S9" i="86"/>
  <c r="J16" i="86" s="1"/>
  <c r="V7" i="86"/>
  <c r="G18" i="86" s="1"/>
  <c r="S13" i="86"/>
  <c r="P16" i="86" s="1"/>
  <c r="V11" i="86"/>
  <c r="M18" i="86" s="1"/>
  <c r="AK13" i="86"/>
  <c r="P28" i="86" s="1"/>
  <c r="Y9" i="86"/>
  <c r="J20" i="86" s="1"/>
  <c r="AB7" i="86"/>
  <c r="G22" i="86" s="1"/>
  <c r="V15" i="86"/>
  <c r="S18" i="86" s="1"/>
  <c r="Y13" i="86"/>
  <c r="P20" i="86" s="1"/>
  <c r="AB11" i="86"/>
  <c r="M22" i="86" s="1"/>
  <c r="AE9" i="86"/>
  <c r="J24" i="86" s="1"/>
  <c r="AH7" i="86"/>
  <c r="G26" i="86" s="1"/>
  <c r="AQ5" i="86"/>
  <c r="D32" i="86" s="1"/>
  <c r="Y17" i="86"/>
  <c r="V20" i="86" s="1"/>
  <c r="AB15" i="86"/>
  <c r="S22" i="86" s="1"/>
  <c r="AE13" i="86"/>
  <c r="P24" i="86" s="1"/>
  <c r="J34" i="86"/>
  <c r="AH11" i="86"/>
  <c r="M26" i="86" s="1"/>
  <c r="AK9" i="86"/>
  <c r="J28" i="86" s="1"/>
  <c r="AN7" i="86"/>
  <c r="G30" i="86" s="1"/>
  <c r="AB19" i="86"/>
  <c r="Y22" i="86" s="1"/>
  <c r="AE17" i="86"/>
  <c r="V24" i="86" s="1"/>
  <c r="AH15" i="86"/>
  <c r="S26" i="86" s="1"/>
  <c r="AN11" i="86"/>
  <c r="M30" i="86" s="1"/>
  <c r="AQ9" i="86"/>
  <c r="J32" i="86" s="1"/>
  <c r="I34" i="86"/>
  <c r="C4" i="121"/>
  <c r="AW21" i="86"/>
  <c r="AB36" i="86" s="1"/>
  <c r="AW13" i="86"/>
  <c r="P36" i="86" s="1"/>
  <c r="AW9" i="86"/>
  <c r="J36" i="86"/>
  <c r="AT7" i="86"/>
  <c r="G34" i="86" s="1"/>
  <c r="J5" i="86"/>
  <c r="AW5" i="86"/>
  <c r="D36" i="86" s="1"/>
  <c r="AU6" i="86"/>
  <c r="E34" i="86" s="1"/>
  <c r="Q28" i="121"/>
  <c r="R29" i="121"/>
  <c r="R60" i="138"/>
  <c r="E109" i="115"/>
  <c r="G60" i="115"/>
  <c r="G67" i="115"/>
  <c r="E25" i="115"/>
  <c r="G88" i="115"/>
  <c r="G95" i="115"/>
  <c r="E34" i="115"/>
  <c r="E7" i="115"/>
  <c r="G105" i="115"/>
  <c r="E49" i="115"/>
  <c r="G112" i="115"/>
  <c r="E22" i="115"/>
  <c r="E24" i="139"/>
  <c r="G13" i="139"/>
  <c r="F44" i="138"/>
  <c r="C26" i="139"/>
  <c r="C16" i="139"/>
  <c r="F56" i="138"/>
  <c r="C30" i="139"/>
  <c r="C33" i="139"/>
  <c r="G24" i="139"/>
  <c r="G30" i="139"/>
  <c r="C70" i="139"/>
  <c r="E51" i="139"/>
  <c r="X10" i="138"/>
  <c r="G44" i="139"/>
  <c r="G91" i="115"/>
  <c r="G98" i="115"/>
  <c r="E13" i="115"/>
  <c r="G6" i="115"/>
  <c r="AJ68" i="138"/>
  <c r="AG67" i="138"/>
  <c r="R38" i="138"/>
  <c r="E76" i="115"/>
  <c r="E40" i="115"/>
  <c r="G102" i="115"/>
  <c r="E43" i="115"/>
  <c r="E52" i="115"/>
  <c r="E19" i="106"/>
  <c r="AJ60" i="138"/>
  <c r="C45" i="138"/>
  <c r="E13" i="139"/>
  <c r="C55" i="138"/>
  <c r="G16" i="139"/>
  <c r="E34" i="139"/>
  <c r="L46" i="138"/>
  <c r="O54" i="138"/>
  <c r="I42" i="138"/>
  <c r="G33" i="139"/>
  <c r="E44" i="139"/>
  <c r="U59" i="138"/>
  <c r="AA11" i="138"/>
  <c r="E58" i="115"/>
  <c r="E67" i="115"/>
  <c r="E31" i="115"/>
  <c r="C73" i="139"/>
  <c r="G84" i="115"/>
  <c r="E118" i="115"/>
  <c r="G74" i="115"/>
  <c r="G81" i="115"/>
  <c r="E16" i="115"/>
  <c r="G119" i="115"/>
  <c r="E11" i="106"/>
  <c r="G63" i="139"/>
  <c r="AM16" i="138"/>
  <c r="AM37" i="138"/>
  <c r="G64" i="139"/>
  <c r="AM24" i="138"/>
  <c r="G62" i="139"/>
  <c r="E63" i="139"/>
  <c r="AM32" i="138"/>
  <c r="G66" i="139"/>
  <c r="G68" i="139"/>
  <c r="AA50" i="138"/>
  <c r="C68" i="139"/>
  <c r="X48" i="138"/>
  <c r="G69" i="139"/>
  <c r="AG55" i="138"/>
  <c r="AJ56" i="138"/>
  <c r="C69" i="139"/>
  <c r="G65" i="139"/>
  <c r="AM45" i="138"/>
  <c r="G70" i="139"/>
  <c r="C72" i="139"/>
  <c r="AA67" i="138"/>
  <c r="X60" i="138"/>
  <c r="G72" i="139"/>
  <c r="AA62" i="138"/>
  <c r="E84" i="139"/>
  <c r="G41" i="139"/>
  <c r="X32" i="138"/>
  <c r="G84" i="139"/>
  <c r="G83" i="139"/>
  <c r="AY28" i="138"/>
  <c r="C49" i="139"/>
  <c r="AP16" i="138"/>
  <c r="AS31" i="138"/>
  <c r="C77" i="139"/>
  <c r="E83" i="139"/>
  <c r="AV30" i="138"/>
  <c r="L62" i="138"/>
  <c r="G61" i="139"/>
  <c r="G31" i="139"/>
  <c r="G26" i="139"/>
  <c r="AM8" i="138"/>
  <c r="E61" i="139"/>
  <c r="I58" i="138"/>
  <c r="C31" i="139"/>
  <c r="E33" i="139"/>
  <c r="C63" i="139"/>
  <c r="AJ5" i="138"/>
  <c r="G59" i="139"/>
  <c r="AJ11" i="138"/>
  <c r="G56" i="139"/>
  <c r="AD13" i="138"/>
  <c r="AJ36" i="138"/>
  <c r="AG15" i="138"/>
  <c r="E59" i="139"/>
  <c r="C61" i="139"/>
  <c r="E56" i="139"/>
  <c r="C64" i="139"/>
  <c r="G51" i="139"/>
  <c r="G55" i="139"/>
  <c r="G43" i="139"/>
  <c r="AG7" i="138"/>
  <c r="AA7" i="138"/>
  <c r="C55" i="139"/>
  <c r="C65" i="139"/>
  <c r="C59" i="139"/>
  <c r="AD9" i="138"/>
  <c r="AJ44" i="138"/>
  <c r="C51" i="139"/>
  <c r="C80" i="139"/>
  <c r="E78" i="139"/>
  <c r="X14" i="138"/>
  <c r="G78" i="139"/>
  <c r="G75" i="139"/>
  <c r="AS9" i="138"/>
  <c r="AV7" i="138"/>
  <c r="E45" i="139"/>
  <c r="AY18" i="138"/>
  <c r="C75" i="139"/>
  <c r="AP8" i="138"/>
  <c r="AA23" i="138"/>
  <c r="G47" i="139"/>
  <c r="X22" i="138"/>
  <c r="AG69" i="138"/>
  <c r="E73" i="139"/>
  <c r="U63" i="138"/>
  <c r="C71" i="139"/>
  <c r="E47" i="139"/>
  <c r="C53" i="139"/>
  <c r="G53" i="139"/>
  <c r="AA27" i="138"/>
  <c r="AG23" i="138"/>
  <c r="G57" i="139"/>
  <c r="G48" i="139"/>
  <c r="AJ46" i="138"/>
  <c r="E53" i="139"/>
  <c r="E65" i="139"/>
  <c r="C57" i="139"/>
  <c r="C60" i="139"/>
  <c r="AD25" i="138"/>
  <c r="G80" i="139"/>
  <c r="G77" i="139"/>
  <c r="G42" i="139"/>
  <c r="AV15" i="138"/>
  <c r="G79" i="139"/>
  <c r="AS17" i="138"/>
  <c r="AY11" i="138"/>
  <c r="E80" i="139"/>
  <c r="E79" i="139"/>
  <c r="X36" i="138"/>
  <c r="AP18" i="138"/>
  <c r="C50" i="139"/>
  <c r="E77" i="139"/>
  <c r="G45" i="139"/>
  <c r="G37" i="139"/>
  <c r="X16" i="138"/>
  <c r="AA15" i="138"/>
  <c r="U61" i="138"/>
  <c r="E70" i="139"/>
  <c r="C52" i="139"/>
  <c r="C45" i="139"/>
  <c r="C54" i="139"/>
  <c r="G49" i="139"/>
  <c r="X64" i="138"/>
  <c r="AA31" i="138"/>
  <c r="G71" i="139"/>
  <c r="E72" i="139"/>
  <c r="U65" i="138"/>
  <c r="E71" i="139"/>
  <c r="L30" i="138"/>
  <c r="G32" i="139"/>
  <c r="G29" i="139"/>
  <c r="O22" i="138"/>
  <c r="E32" i="139"/>
  <c r="C34" i="139"/>
  <c r="AA19" i="138"/>
  <c r="X18" i="138"/>
  <c r="C56" i="139"/>
  <c r="G52" i="139"/>
  <c r="G46" i="139"/>
  <c r="U49" i="138"/>
  <c r="E46" i="139"/>
  <c r="E52" i="139"/>
  <c r="E66" i="139"/>
  <c r="AD17" i="138"/>
  <c r="G23" i="139"/>
  <c r="I34" i="138"/>
  <c r="AD5" i="138"/>
  <c r="U47" i="138"/>
  <c r="E55" i="139"/>
  <c r="E29" i="139"/>
  <c r="C66" i="139"/>
  <c r="I50" i="138"/>
  <c r="C62" i="139"/>
  <c r="G60" i="139"/>
  <c r="G25" i="139"/>
  <c r="AG31" i="138"/>
  <c r="AD29" i="138"/>
  <c r="AJ27" i="138"/>
  <c r="G58" i="139"/>
  <c r="E30" i="139"/>
  <c r="E60" i="139"/>
  <c r="E58" i="139"/>
  <c r="AD21" i="138"/>
  <c r="U51" i="138"/>
  <c r="C67" i="139"/>
  <c r="AG57" i="138"/>
  <c r="E57" i="139"/>
  <c r="E69" i="139"/>
  <c r="F25" i="109"/>
  <c r="E12" i="109"/>
  <c r="E105" i="115"/>
  <c r="G69" i="115"/>
  <c r="E114" i="115"/>
  <c r="E78" i="115"/>
  <c r="G48" i="115"/>
  <c r="G20" i="115"/>
  <c r="G41" i="115"/>
  <c r="E123" i="115"/>
  <c r="G55" i="115"/>
  <c r="G62" i="115"/>
  <c r="E12" i="115"/>
  <c r="E87" i="115"/>
  <c r="E96" i="115"/>
  <c r="G34" i="115"/>
  <c r="G27" i="115"/>
  <c r="E16" i="106"/>
  <c r="F28" i="138"/>
  <c r="I26" i="138"/>
  <c r="G22" i="139"/>
  <c r="E9" i="139"/>
  <c r="E22" i="139"/>
  <c r="G9" i="139"/>
  <c r="C29" i="138"/>
  <c r="C29" i="139"/>
  <c r="F89" i="109"/>
  <c r="O51" i="109"/>
  <c r="E35" i="109"/>
  <c r="O59" i="109"/>
  <c r="F40" i="138"/>
  <c r="G12" i="139"/>
  <c r="C12" i="139"/>
  <c r="C24" i="139"/>
  <c r="C39" i="138"/>
  <c r="O95" i="109"/>
  <c r="G103" i="115"/>
  <c r="G110" i="115"/>
  <c r="E51" i="115"/>
  <c r="E24" i="115"/>
  <c r="G75" i="115"/>
  <c r="E15" i="115"/>
  <c r="E42" i="115"/>
  <c r="G68" i="115"/>
  <c r="E60" i="115"/>
  <c r="G82" i="115"/>
  <c r="G117" i="115"/>
  <c r="E6" i="115"/>
  <c r="E33" i="115"/>
  <c r="G96" i="115"/>
  <c r="G89" i="115"/>
  <c r="F10" i="109"/>
  <c r="G109" i="115"/>
  <c r="G45" i="115"/>
  <c r="G61" i="115"/>
  <c r="G13" i="115"/>
  <c r="E85" i="115"/>
  <c r="G77" i="115"/>
  <c r="G93" i="115"/>
  <c r="G29" i="115"/>
  <c r="E53" i="115"/>
  <c r="E102" i="109"/>
  <c r="E108" i="115"/>
  <c r="E72" i="115"/>
  <c r="E45" i="115"/>
  <c r="E99" i="115"/>
  <c r="E63" i="115"/>
  <c r="G31" i="115"/>
  <c r="G24" i="115"/>
  <c r="E90" i="115"/>
  <c r="G116" i="115"/>
  <c r="G38" i="115"/>
  <c r="G10" i="115"/>
  <c r="G123" i="115"/>
  <c r="E54" i="115"/>
  <c r="E81" i="115"/>
  <c r="G17" i="115"/>
  <c r="F68" i="109"/>
  <c r="G118" i="115"/>
  <c r="G90" i="115"/>
  <c r="E59" i="115"/>
  <c r="G97" i="115"/>
  <c r="E68" i="115"/>
  <c r="E41" i="115"/>
  <c r="E23" i="115"/>
  <c r="G5" i="115"/>
  <c r="G104" i="115"/>
  <c r="G111" i="115"/>
  <c r="E50" i="115"/>
  <c r="E14" i="115"/>
  <c r="G76" i="115"/>
  <c r="G83" i="115"/>
  <c r="E32" i="115"/>
  <c r="O65" i="109"/>
  <c r="O103" i="109"/>
  <c r="G10" i="139"/>
  <c r="C10" i="139"/>
  <c r="F32" i="138"/>
  <c r="C31" i="138"/>
  <c r="C23" i="139"/>
  <c r="O14" i="109"/>
  <c r="E102" i="115"/>
  <c r="G86" i="115"/>
  <c r="G58" i="115"/>
  <c r="E111" i="115"/>
  <c r="G65" i="115"/>
  <c r="E36" i="115"/>
  <c r="E120" i="115"/>
  <c r="G72" i="115"/>
  <c r="G79" i="115"/>
  <c r="E9" i="115"/>
  <c r="E18" i="115"/>
  <c r="E93" i="115"/>
  <c r="G44" i="115"/>
  <c r="G51" i="115"/>
  <c r="E27" i="115"/>
  <c r="E86" i="109"/>
  <c r="G86" i="109" s="1"/>
  <c r="E106" i="115"/>
  <c r="E70" i="115"/>
  <c r="G54" i="115"/>
  <c r="E97" i="115"/>
  <c r="G47" i="115"/>
  <c r="G19" i="115"/>
  <c r="G26" i="115"/>
  <c r="E124" i="115"/>
  <c r="E61" i="115"/>
  <c r="E79" i="115"/>
  <c r="G40" i="115"/>
  <c r="E88" i="115"/>
  <c r="E115" i="115"/>
  <c r="G33" i="115"/>
  <c r="G12" i="115"/>
  <c r="F52" i="138"/>
  <c r="E15" i="139"/>
  <c r="C53" i="138"/>
  <c r="G15" i="139"/>
  <c r="E25" i="139"/>
  <c r="F93" i="109"/>
  <c r="G18" i="139"/>
  <c r="C18" i="139"/>
  <c r="C63" i="138"/>
  <c r="F64" i="138"/>
  <c r="G27" i="139"/>
  <c r="E31" i="139"/>
  <c r="C27" i="139"/>
  <c r="I66" i="138"/>
  <c r="G121" i="115"/>
  <c r="G100" i="115"/>
  <c r="E101" i="115"/>
  <c r="E37" i="115"/>
  <c r="E5" i="115"/>
  <c r="F16" i="138"/>
  <c r="G6" i="139"/>
  <c r="C6" i="139"/>
  <c r="C15" i="138"/>
  <c r="E49" i="139"/>
  <c r="X30" i="138"/>
  <c r="C21" i="139"/>
  <c r="F16" i="109"/>
  <c r="C17" i="139"/>
  <c r="C59" i="138"/>
  <c r="U33" i="138"/>
  <c r="E41" i="139"/>
  <c r="O80" i="109"/>
  <c r="G107" i="115"/>
  <c r="E74" i="115"/>
  <c r="G114" i="115"/>
  <c r="E65" i="115"/>
  <c r="E38" i="115"/>
  <c r="E92" i="115"/>
  <c r="E83" i="115"/>
  <c r="G8" i="115"/>
  <c r="G15" i="115"/>
  <c r="E29" i="115"/>
  <c r="E56" i="115"/>
  <c r="E47" i="115"/>
  <c r="E12" i="106"/>
  <c r="O27" i="109"/>
  <c r="E17" i="139"/>
  <c r="E26" i="139"/>
  <c r="G17" i="139"/>
  <c r="C61" i="138"/>
  <c r="F60" i="138"/>
  <c r="O45" i="109"/>
  <c r="E22" i="109"/>
  <c r="E21" i="139"/>
  <c r="E7" i="139"/>
  <c r="F20" i="138"/>
  <c r="G21" i="139"/>
  <c r="G7" i="139"/>
  <c r="C21" i="138"/>
  <c r="E28" i="139"/>
  <c r="I18" i="138"/>
  <c r="E53" i="109"/>
  <c r="F84" i="109"/>
  <c r="E107" i="115"/>
  <c r="E71" i="115"/>
  <c r="E116" i="115"/>
  <c r="E80" i="115"/>
  <c r="G46" i="115"/>
  <c r="G18" i="115"/>
  <c r="G25" i="115"/>
  <c r="G124" i="115"/>
  <c r="G53" i="115"/>
  <c r="E62" i="115"/>
  <c r="G39" i="115"/>
  <c r="E89" i="115"/>
  <c r="E98" i="115"/>
  <c r="G32" i="115"/>
  <c r="G11" i="115"/>
  <c r="E40" i="109"/>
  <c r="E122" i="115"/>
  <c r="E86" i="115"/>
  <c r="G70" i="115"/>
  <c r="E77" i="115"/>
  <c r="G42" i="115"/>
  <c r="E95" i="115"/>
  <c r="G49" i="115"/>
  <c r="E104" i="115"/>
  <c r="G56" i="115"/>
  <c r="E113" i="115"/>
  <c r="G63" i="115"/>
  <c r="G35" i="115"/>
  <c r="E11" i="115"/>
  <c r="E20" i="115"/>
  <c r="O26" i="109"/>
  <c r="G19" i="139"/>
  <c r="C69" i="138"/>
  <c r="F68" i="138"/>
  <c r="E19" i="139"/>
  <c r="X6" i="138"/>
  <c r="E43" i="139"/>
  <c r="E27" i="139"/>
  <c r="E91" i="109"/>
  <c r="G91" i="109" s="1"/>
  <c r="G106" i="115"/>
  <c r="E57" i="115"/>
  <c r="E84" i="115"/>
  <c r="E48" i="115"/>
  <c r="G14" i="115"/>
  <c r="G21" i="115"/>
  <c r="E75" i="115"/>
  <c r="E66" i="115"/>
  <c r="E30" i="115"/>
  <c r="G113" i="115"/>
  <c r="E39" i="115"/>
  <c r="F34" i="109"/>
  <c r="O72" i="109"/>
  <c r="G14" i="139"/>
  <c r="C14" i="139"/>
  <c r="F48" i="138"/>
  <c r="C47" i="138"/>
  <c r="C25" i="139"/>
  <c r="F49" i="109"/>
  <c r="G49" i="109" s="1"/>
  <c r="F36" i="138"/>
  <c r="E11" i="139"/>
  <c r="C37" i="138"/>
  <c r="G11" i="139"/>
  <c r="E23" i="139"/>
  <c r="O28" i="109"/>
  <c r="E121" i="115"/>
  <c r="G85" i="115"/>
  <c r="G57" i="115"/>
  <c r="E112" i="115"/>
  <c r="G78" i="115"/>
  <c r="G50" i="115"/>
  <c r="E28" i="115"/>
  <c r="E10" i="115"/>
  <c r="G71" i="115"/>
  <c r="E94" i="115"/>
  <c r="G36" i="115"/>
  <c r="E103" i="115"/>
  <c r="G43" i="115"/>
  <c r="G64" i="115"/>
  <c r="E19" i="115"/>
  <c r="G101" i="115"/>
  <c r="G73" i="115"/>
  <c r="E44" i="115"/>
  <c r="G94" i="115"/>
  <c r="G66" i="115"/>
  <c r="E35" i="115"/>
  <c r="E17" i="115"/>
  <c r="G87" i="115"/>
  <c r="E110" i="115"/>
  <c r="G52" i="115"/>
  <c r="E8" i="115"/>
  <c r="E119" i="115"/>
  <c r="G59" i="115"/>
  <c r="G80" i="115"/>
  <c r="E26" i="115"/>
  <c r="E5" i="106"/>
  <c r="E66" i="109"/>
  <c r="G66" i="109" s="1"/>
  <c r="G122" i="115"/>
  <c r="E91" i="115"/>
  <c r="E55" i="115"/>
  <c r="E100" i="115"/>
  <c r="E64" i="115"/>
  <c r="G30" i="115"/>
  <c r="G37" i="115"/>
  <c r="G9" i="115"/>
  <c r="E73" i="115"/>
  <c r="E82" i="115"/>
  <c r="G16" i="115"/>
  <c r="G108" i="115"/>
  <c r="G115" i="115"/>
  <c r="E46" i="115"/>
  <c r="G23" i="115"/>
  <c r="F24" i="138"/>
  <c r="G8" i="139"/>
  <c r="C8" i="139"/>
  <c r="C22" i="139"/>
  <c r="C23" i="138"/>
  <c r="E48" i="139"/>
  <c r="X26" i="138"/>
  <c r="C65" i="138"/>
  <c r="E18" i="139"/>
  <c r="U35" i="138"/>
  <c r="C42" i="139"/>
  <c r="O76" i="109"/>
  <c r="C9" i="139"/>
  <c r="U17" i="138"/>
  <c r="C27" i="138"/>
  <c r="E37" i="139"/>
  <c r="G120" i="115"/>
  <c r="G99" i="115"/>
  <c r="G28" i="115"/>
  <c r="G7" i="115"/>
  <c r="E117" i="115"/>
  <c r="E69" i="115"/>
  <c r="E21" i="115"/>
  <c r="G44" i="109"/>
  <c r="U38" i="109"/>
  <c r="U42" i="109"/>
  <c r="U32" i="109"/>
  <c r="U65" i="109"/>
  <c r="U63" i="109"/>
  <c r="U55" i="109"/>
  <c r="U43" i="109"/>
  <c r="U97" i="109"/>
  <c r="U93" i="109"/>
  <c r="U49" i="109"/>
  <c r="U76" i="109"/>
  <c r="U104" i="109"/>
  <c r="U16" i="109"/>
  <c r="U72" i="109"/>
  <c r="U61" i="109"/>
  <c r="U103" i="109"/>
  <c r="U11" i="109"/>
  <c r="U34" i="109"/>
  <c r="U62" i="109"/>
  <c r="U74" i="109"/>
  <c r="U25" i="109"/>
  <c r="U95" i="109"/>
  <c r="U17" i="109"/>
  <c r="U19" i="109"/>
  <c r="U53" i="109"/>
  <c r="U24" i="109"/>
  <c r="U59" i="109"/>
  <c r="U67" i="109"/>
  <c r="U22" i="109"/>
  <c r="U77" i="109"/>
  <c r="U35" i="109"/>
  <c r="U52" i="109"/>
  <c r="U45" i="109"/>
  <c r="U51" i="109"/>
  <c r="U99" i="109"/>
  <c r="U100" i="109"/>
  <c r="U89" i="109"/>
  <c r="U81" i="109"/>
  <c r="U27" i="109"/>
  <c r="U78" i="109"/>
  <c r="U73" i="109"/>
  <c r="U30" i="109"/>
  <c r="U21" i="109"/>
  <c r="U33" i="109"/>
  <c r="U83" i="109"/>
  <c r="U54" i="109"/>
  <c r="U96" i="109"/>
  <c r="U90" i="109"/>
  <c r="U46" i="109"/>
  <c r="U64" i="109"/>
  <c r="U98" i="109"/>
  <c r="U36" i="109"/>
  <c r="U44" i="109"/>
  <c r="U71" i="109"/>
  <c r="U57" i="109"/>
  <c r="U94" i="109"/>
  <c r="U47" i="109"/>
  <c r="U60" i="109"/>
  <c r="U101" i="109"/>
  <c r="U41" i="109"/>
  <c r="U26" i="109"/>
  <c r="U56" i="109"/>
  <c r="U29" i="109"/>
  <c r="U48" i="109"/>
  <c r="U18" i="109"/>
  <c r="U50" i="109"/>
  <c r="U70" i="109"/>
  <c r="U31" i="109"/>
  <c r="U58" i="109"/>
  <c r="U82" i="109"/>
  <c r="U88" i="109"/>
  <c r="U20" i="109"/>
  <c r="U28" i="109"/>
  <c r="U40" i="109"/>
  <c r="U85" i="109"/>
  <c r="U87" i="109"/>
  <c r="U37" i="109"/>
  <c r="U66" i="109"/>
  <c r="U69" i="109"/>
  <c r="U80" i="109"/>
  <c r="U23" i="109"/>
  <c r="U13" i="109"/>
  <c r="U92" i="109"/>
  <c r="U68" i="109"/>
  <c r="U79" i="109"/>
  <c r="U91" i="109"/>
  <c r="U75" i="109"/>
  <c r="U15" i="109"/>
  <c r="U102" i="109"/>
  <c r="U84" i="109"/>
  <c r="U86" i="109"/>
  <c r="U12" i="109"/>
  <c r="U10" i="109"/>
  <c r="U9" i="109"/>
  <c r="U14" i="109"/>
  <c r="U39" i="109"/>
  <c r="U105" i="109"/>
  <c r="F40" i="109"/>
  <c r="F101" i="109"/>
  <c r="G101" i="109" s="1"/>
  <c r="E34" i="109"/>
  <c r="O101" i="109"/>
  <c r="F75" i="109"/>
  <c r="G75" i="109" s="1"/>
  <c r="F102" i="109"/>
  <c r="F14" i="109"/>
  <c r="G14" i="109" s="1"/>
  <c r="O102" i="109"/>
  <c r="O86" i="109"/>
  <c r="F58" i="109"/>
  <c r="G58" i="109" s="1"/>
  <c r="E68" i="109"/>
  <c r="O82" i="109"/>
  <c r="O91" i="109"/>
  <c r="O15" i="109"/>
  <c r="E26" i="109"/>
  <c r="G26" i="109" s="1"/>
  <c r="E85" i="109"/>
  <c r="G85" i="109" s="1"/>
  <c r="E93" i="109"/>
  <c r="F88" i="109"/>
  <c r="G88" i="109" s="1"/>
  <c r="O78" i="109"/>
  <c r="O100" i="109"/>
  <c r="O19" i="109"/>
  <c r="O52" i="109"/>
  <c r="O67" i="109"/>
  <c r="O17" i="109"/>
  <c r="O61" i="109"/>
  <c r="O89" i="109"/>
  <c r="F53" i="109"/>
  <c r="O53" i="109"/>
  <c r="O84" i="109"/>
  <c r="E14" i="106"/>
  <c r="E7" i="106"/>
  <c r="O50" i="109"/>
  <c r="E89" i="109"/>
  <c r="F13" i="109"/>
  <c r="C19" i="106"/>
  <c r="O63" i="109"/>
  <c r="O12" i="109"/>
  <c r="C5" i="106"/>
  <c r="E69" i="109"/>
  <c r="F41" i="109"/>
  <c r="E41" i="109"/>
  <c r="O22" i="109"/>
  <c r="O35" i="109"/>
  <c r="F51" i="109"/>
  <c r="E51" i="109"/>
  <c r="F35" i="109"/>
  <c r="E95" i="109"/>
  <c r="E84" i="109"/>
  <c r="F80" i="109"/>
  <c r="O16" i="109"/>
  <c r="E16" i="109"/>
  <c r="E80" i="109"/>
  <c r="C9" i="106"/>
  <c r="O98" i="109"/>
  <c r="C14" i="106"/>
  <c r="C15" i="106"/>
  <c r="O83" i="109"/>
  <c r="C10" i="106"/>
  <c r="E25" i="109"/>
  <c r="O25" i="109"/>
  <c r="O13" i="109"/>
  <c r="E4" i="106"/>
  <c r="O73" i="109"/>
  <c r="F12" i="109"/>
  <c r="O69" i="109"/>
  <c r="F95" i="109"/>
  <c r="F22" i="109"/>
  <c r="O10" i="109"/>
  <c r="E10" i="109"/>
  <c r="C16" i="106"/>
  <c r="C8" i="106"/>
  <c r="C13" i="106"/>
  <c r="C18" i="106"/>
  <c r="E18" i="106"/>
  <c r="E10" i="106"/>
  <c r="E13" i="106"/>
  <c r="O56" i="109"/>
  <c r="E65" i="109"/>
  <c r="F65" i="109"/>
  <c r="O41" i="109"/>
  <c r="O57" i="109"/>
  <c r="E57" i="109"/>
  <c r="G57" i="109" s="1"/>
  <c r="B29" i="121"/>
  <c r="R20" i="121"/>
  <c r="G39" i="109"/>
  <c r="G92" i="109"/>
  <c r="AH25" i="107"/>
  <c r="C123" i="134" l="1"/>
  <c r="F123" i="134" s="1"/>
  <c r="C103" i="134"/>
  <c r="C65" i="134"/>
  <c r="D65" i="134" s="1"/>
  <c r="C143" i="134"/>
  <c r="D143" i="134" s="1"/>
  <c r="C162" i="134"/>
  <c r="F162" i="134" s="1"/>
  <c r="C26" i="134"/>
  <c r="E26" i="134" s="1"/>
  <c r="C7" i="134"/>
  <c r="E7" i="134" s="1"/>
  <c r="C85" i="134"/>
  <c r="D85" i="134" s="1"/>
  <c r="C46" i="134"/>
  <c r="E46" i="134" s="1"/>
  <c r="C124" i="134"/>
  <c r="F124" i="134" s="1"/>
  <c r="C104" i="134"/>
  <c r="E104" i="134" s="1"/>
  <c r="C161" i="134"/>
  <c r="F161" i="134" s="1"/>
  <c r="C45" i="134"/>
  <c r="F45" i="134" s="1"/>
  <c r="C64" i="134"/>
  <c r="E64" i="134" s="1"/>
  <c r="C142" i="134"/>
  <c r="D142" i="134" s="1"/>
  <c r="C84" i="134"/>
  <c r="F84" i="134" s="1"/>
  <c r="C25" i="134"/>
  <c r="D25" i="134" s="1"/>
  <c r="C6" i="134"/>
  <c r="D6" i="134" s="1"/>
  <c r="Q13" i="121"/>
  <c r="C4" i="134"/>
  <c r="D4" i="134" s="1"/>
  <c r="C159" i="134"/>
  <c r="D159" i="134" s="1"/>
  <c r="C82" i="134"/>
  <c r="F82" i="134" s="1"/>
  <c r="C101" i="134"/>
  <c r="F101" i="134" s="1"/>
  <c r="G35" i="109"/>
  <c r="G13" i="109"/>
  <c r="G69" i="109"/>
  <c r="C23" i="134"/>
  <c r="D23" i="134" s="1"/>
  <c r="C121" i="134"/>
  <c r="F121" i="134" s="1"/>
  <c r="C43" i="134"/>
  <c r="F43" i="134" s="1"/>
  <c r="C140" i="134"/>
  <c r="F140" i="134" s="1"/>
  <c r="C62" i="134"/>
  <c r="D62" i="134" s="1"/>
  <c r="N73" i="112"/>
  <c r="O73" i="112" s="1"/>
  <c r="L70" i="112"/>
  <c r="G10" i="109"/>
  <c r="G53" i="109"/>
  <c r="G102" i="109"/>
  <c r="G12" i="109"/>
  <c r="E65" i="134"/>
  <c r="G68" i="109"/>
  <c r="G93" i="109"/>
  <c r="G34" i="109"/>
  <c r="G22" i="109"/>
  <c r="G25" i="109"/>
  <c r="G16" i="109"/>
  <c r="G89" i="109"/>
  <c r="G40" i="109"/>
  <c r="D9" i="86"/>
  <c r="D10" i="86"/>
  <c r="AZ7" i="86"/>
  <c r="AI20" i="86"/>
  <c r="Z26" i="86" s="1"/>
  <c r="Y25" i="86"/>
  <c r="AL18" i="86"/>
  <c r="W28" i="86" s="1"/>
  <c r="V27" i="86"/>
  <c r="AO16" i="86"/>
  <c r="T30" i="86" s="1"/>
  <c r="S29" i="86"/>
  <c r="AR14" i="86"/>
  <c r="Q32" i="86" s="1"/>
  <c r="P31" i="86"/>
  <c r="AI24" i="86"/>
  <c r="AF26" i="86" s="1"/>
  <c r="AE25" i="86"/>
  <c r="AU16" i="86"/>
  <c r="T34" i="86" s="1"/>
  <c r="S33" i="86"/>
  <c r="AL26" i="86"/>
  <c r="AI28" i="86" s="1"/>
  <c r="AH27" i="86"/>
  <c r="AO24" i="86"/>
  <c r="AF30" i="86" s="1"/>
  <c r="AE29" i="86"/>
  <c r="AX18" i="86"/>
  <c r="W36" i="86" s="1"/>
  <c r="V35" i="86"/>
  <c r="D11" i="86"/>
  <c r="N6" i="86"/>
  <c r="E12" i="86" s="1"/>
  <c r="AH31" i="86"/>
  <c r="AR26" i="86"/>
  <c r="AI32" i="86" s="1"/>
  <c r="AU24" i="86"/>
  <c r="AF34" i="86" s="1"/>
  <c r="AE33" i="86"/>
  <c r="AR30" i="86"/>
  <c r="AO32" i="86" s="1"/>
  <c r="AN31" i="86"/>
  <c r="T12" i="86"/>
  <c r="N16" i="86" s="1"/>
  <c r="M15" i="86"/>
  <c r="AU32" i="86"/>
  <c r="AR34" i="86" s="1"/>
  <c r="AQ33" i="86"/>
  <c r="W14" i="86"/>
  <c r="Q18" i="86" s="1"/>
  <c r="P17" i="86"/>
  <c r="D15" i="86"/>
  <c r="T6" i="86"/>
  <c r="E16" i="86" s="1"/>
  <c r="AX30" i="86"/>
  <c r="AO36" i="86" s="1"/>
  <c r="AN35" i="86"/>
  <c r="AF22" i="86"/>
  <c r="AC24" i="86"/>
  <c r="AB23" i="86"/>
  <c r="D19" i="86"/>
  <c r="Z6" i="86"/>
  <c r="E20" i="86" s="1"/>
  <c r="AC14" i="86"/>
  <c r="Q22" i="86" s="1"/>
  <c r="P21" i="86"/>
  <c r="K8" i="86"/>
  <c r="H10" i="86" s="1"/>
  <c r="G9" i="86"/>
  <c r="J11" i="86"/>
  <c r="AZ11" i="86" s="1"/>
  <c r="N10" i="86"/>
  <c r="K12" i="86" s="1"/>
  <c r="AL22" i="86"/>
  <c r="AC28" i="86" s="1"/>
  <c r="AB27" i="86"/>
  <c r="AI14" i="86"/>
  <c r="Q26" i="86" s="1"/>
  <c r="P25" i="86"/>
  <c r="D23" i="86"/>
  <c r="AF6" i="86"/>
  <c r="E24" i="86" s="1"/>
  <c r="Q8" i="86"/>
  <c r="H14" i="86" s="1"/>
  <c r="G13" i="86"/>
  <c r="AO28" i="86"/>
  <c r="AL30" i="86" s="1"/>
  <c r="AK29" i="86"/>
  <c r="AL20" i="86"/>
  <c r="Z28" i="86" s="1"/>
  <c r="Y27" i="86"/>
  <c r="Q12" i="86"/>
  <c r="N14" i="86" s="1"/>
  <c r="M13" i="86"/>
  <c r="AR22" i="86"/>
  <c r="AC32" i="86" s="1"/>
  <c r="AB31" i="86"/>
  <c r="D27" i="86"/>
  <c r="AL6" i="86"/>
  <c r="E28" i="86" s="1"/>
  <c r="AO14" i="86"/>
  <c r="Q30" i="86" s="1"/>
  <c r="P29" i="86"/>
  <c r="AO26" i="86"/>
  <c r="AI30" i="86" s="1"/>
  <c r="AH29" i="86"/>
  <c r="T10" i="86"/>
  <c r="K16" i="86" s="1"/>
  <c r="J15" i="86"/>
  <c r="AL12" i="86"/>
  <c r="N28" i="86" s="1"/>
  <c r="M27" i="86"/>
  <c r="AO20" i="86"/>
  <c r="Z30" i="86" s="1"/>
  <c r="Y29" i="86"/>
  <c r="W8" i="86"/>
  <c r="H18" i="86" s="1"/>
  <c r="G17" i="86"/>
  <c r="T14" i="86"/>
  <c r="Q16" i="86" s="1"/>
  <c r="P15" i="86"/>
  <c r="AZ15" i="86" s="1"/>
  <c r="W12" i="86"/>
  <c r="N18" i="86" s="1"/>
  <c r="M17" i="86"/>
  <c r="AU28" i="86"/>
  <c r="AL34" i="86" s="1"/>
  <c r="AK33" i="86"/>
  <c r="AR20" i="86"/>
  <c r="Z32" i="86" s="1"/>
  <c r="Y31" i="86"/>
  <c r="Z10" i="86"/>
  <c r="K20" i="86" s="1"/>
  <c r="J19" i="86"/>
  <c r="AC8" i="86"/>
  <c r="H22" i="86" s="1"/>
  <c r="G21" i="86"/>
  <c r="AO10" i="86"/>
  <c r="K30" i="86" s="1"/>
  <c r="J29" i="86"/>
  <c r="AR18" i="86"/>
  <c r="W32" i="86" s="1"/>
  <c r="V31" i="86"/>
  <c r="AX34" i="86"/>
  <c r="AU36" i="86" s="1"/>
  <c r="AT35" i="86"/>
  <c r="W16" i="86"/>
  <c r="T18" i="86" s="1"/>
  <c r="S17" i="86"/>
  <c r="AZ17" i="86" s="1"/>
  <c r="AU20" i="86"/>
  <c r="Z34" i="86" s="1"/>
  <c r="Y33" i="86"/>
  <c r="AR12" i="86"/>
  <c r="N32" i="86" s="1"/>
  <c r="M31" i="86"/>
  <c r="Z14" i="86"/>
  <c r="Q20" i="86" s="1"/>
  <c r="P19" i="86"/>
  <c r="AC12" i="86"/>
  <c r="N22" i="86" s="1"/>
  <c r="M21" i="86"/>
  <c r="AF10" i="86"/>
  <c r="K24" i="86" s="1"/>
  <c r="J23" i="86"/>
  <c r="AU18" i="86"/>
  <c r="W34" i="86" s="1"/>
  <c r="V33" i="86"/>
  <c r="AX26" i="86"/>
  <c r="AI36" i="86" s="1"/>
  <c r="AH35" i="86"/>
  <c r="AI8" i="86"/>
  <c r="H26" i="86" s="1"/>
  <c r="G25" i="86"/>
  <c r="AU14" i="86"/>
  <c r="Q34" i="86" s="1"/>
  <c r="P33" i="86"/>
  <c r="D31" i="86"/>
  <c r="AR6" i="86"/>
  <c r="E32" i="86" s="1"/>
  <c r="Z18" i="86"/>
  <c r="W20" i="86" s="1"/>
  <c r="V19" i="86"/>
  <c r="AZ19" i="86" s="1"/>
  <c r="AU12" i="86"/>
  <c r="N34" i="86" s="1"/>
  <c r="M33" i="86"/>
  <c r="AC16" i="86"/>
  <c r="T22" i="86" s="1"/>
  <c r="S21" i="86"/>
  <c r="AF14" i="86"/>
  <c r="Q24" i="86" s="1"/>
  <c r="P23" i="86"/>
  <c r="AI12" i="86"/>
  <c r="N26" i="86" s="1"/>
  <c r="M25" i="86"/>
  <c r="AU10" i="86"/>
  <c r="K34" i="86" s="1"/>
  <c r="J33" i="86"/>
  <c r="J27" i="86"/>
  <c r="AL10" i="86"/>
  <c r="K28" i="86" s="1"/>
  <c r="AO8" i="86"/>
  <c r="H30" i="86" s="1"/>
  <c r="G29" i="86"/>
  <c r="Y21" i="86"/>
  <c r="AC20" i="86"/>
  <c r="Z22" i="86" s="1"/>
  <c r="AF18" i="86"/>
  <c r="W24" i="86" s="1"/>
  <c r="V23" i="86"/>
  <c r="AZ23" i="86" s="1"/>
  <c r="AI16" i="86"/>
  <c r="T26" i="86" s="1"/>
  <c r="S25" i="86"/>
  <c r="AL14" i="86"/>
  <c r="Q28" i="86" s="1"/>
  <c r="P27" i="86"/>
  <c r="AO12" i="86"/>
  <c r="N30" i="86" s="1"/>
  <c r="M29" i="86"/>
  <c r="AZ29" i="86" s="1"/>
  <c r="AR10" i="86"/>
  <c r="K32" i="86" s="1"/>
  <c r="J31" i="86"/>
  <c r="AZ9" i="86"/>
  <c r="D35" i="86"/>
  <c r="AZ5" i="86"/>
  <c r="Q10" i="86"/>
  <c r="K14" i="86" s="1"/>
  <c r="J13" i="86"/>
  <c r="AZ13" i="86" s="1"/>
  <c r="AX22" i="86"/>
  <c r="AC36" i="86" s="1"/>
  <c r="AB35" i="86"/>
  <c r="P35" i="86"/>
  <c r="AX14" i="86"/>
  <c r="Q36" i="86" s="1"/>
  <c r="AX10" i="86"/>
  <c r="K36" i="86" s="1"/>
  <c r="J35" i="86"/>
  <c r="AU8" i="86"/>
  <c r="H34" i="86" s="1"/>
  <c r="G33" i="86"/>
  <c r="AZ33" i="86" s="1"/>
  <c r="AX8" i="86"/>
  <c r="H36" i="86" s="1"/>
  <c r="G35" i="86"/>
  <c r="K6" i="86"/>
  <c r="E10" i="86" s="1"/>
  <c r="C160" i="134"/>
  <c r="C24" i="134"/>
  <c r="F159" i="134"/>
  <c r="G84" i="109"/>
  <c r="G95" i="109"/>
  <c r="G41" i="109"/>
  <c r="F24" i="109"/>
  <c r="E24" i="109"/>
  <c r="O24" i="109"/>
  <c r="O99" i="109"/>
  <c r="F99" i="109"/>
  <c r="E99" i="109"/>
  <c r="F30" i="109"/>
  <c r="O30" i="109"/>
  <c r="E30" i="109"/>
  <c r="F74" i="109"/>
  <c r="O74" i="109"/>
  <c r="E74" i="109"/>
  <c r="O77" i="109"/>
  <c r="E77" i="109"/>
  <c r="F77" i="109"/>
  <c r="E81" i="109"/>
  <c r="F81" i="109"/>
  <c r="O81" i="109"/>
  <c r="E11" i="109"/>
  <c r="O11" i="109"/>
  <c r="F11" i="109"/>
  <c r="G65" i="109"/>
  <c r="F60" i="109"/>
  <c r="O60" i="109"/>
  <c r="E60" i="109"/>
  <c r="F46" i="109"/>
  <c r="O46" i="109"/>
  <c r="E46" i="109"/>
  <c r="G80" i="109"/>
  <c r="G51" i="109"/>
  <c r="O87" i="109"/>
  <c r="F87" i="109"/>
  <c r="E87" i="109"/>
  <c r="F94" i="109"/>
  <c r="O94" i="109"/>
  <c r="E94" i="109"/>
  <c r="F21" i="109"/>
  <c r="O21" i="109"/>
  <c r="E21" i="109"/>
  <c r="F96" i="109"/>
  <c r="O96" i="109"/>
  <c r="E96" i="109"/>
  <c r="F64" i="109"/>
  <c r="E64" i="109"/>
  <c r="O64" i="109"/>
  <c r="F47" i="109"/>
  <c r="O47" i="109"/>
  <c r="E47" i="109"/>
  <c r="O18" i="109"/>
  <c r="E18" i="109"/>
  <c r="F18" i="109"/>
  <c r="E36" i="109"/>
  <c r="F36" i="109"/>
  <c r="O36" i="109"/>
  <c r="D64" i="134"/>
  <c r="F64" i="134"/>
  <c r="F103" i="134"/>
  <c r="E103" i="134"/>
  <c r="D103" i="134"/>
  <c r="F6" i="134"/>
  <c r="E6" i="134"/>
  <c r="C141" i="134"/>
  <c r="C122" i="134"/>
  <c r="C102" i="134"/>
  <c r="C83" i="134"/>
  <c r="C63" i="134"/>
  <c r="C44" i="134"/>
  <c r="C5" i="134"/>
  <c r="F65" i="134" l="1"/>
  <c r="D46" i="134"/>
  <c r="D26" i="134"/>
  <c r="F46" i="134"/>
  <c r="D162" i="134"/>
  <c r="E162" i="134"/>
  <c r="E143" i="134"/>
  <c r="F143" i="134"/>
  <c r="D123" i="134"/>
  <c r="E161" i="134"/>
  <c r="D161" i="134"/>
  <c r="E123" i="134"/>
  <c r="D45" i="134"/>
  <c r="E45" i="134"/>
  <c r="E25" i="134"/>
  <c r="F25" i="134"/>
  <c r="F104" i="134"/>
  <c r="F7" i="134"/>
  <c r="D104" i="134"/>
  <c r="D7" i="134"/>
  <c r="D124" i="134"/>
  <c r="E85" i="134"/>
  <c r="F26" i="134"/>
  <c r="F85" i="134"/>
  <c r="E124" i="134"/>
  <c r="E142" i="134"/>
  <c r="D84" i="134"/>
  <c r="E84" i="134"/>
  <c r="F142" i="134"/>
  <c r="G30" i="109"/>
  <c r="G11" i="109"/>
  <c r="G96" i="109"/>
  <c r="G94" i="109"/>
  <c r="G21" i="109"/>
  <c r="F4" i="134"/>
  <c r="E4" i="134"/>
  <c r="F23" i="134"/>
  <c r="E159" i="134"/>
  <c r="D101" i="134"/>
  <c r="E140" i="134"/>
  <c r="E82" i="134"/>
  <c r="E121" i="134"/>
  <c r="E101" i="134"/>
  <c r="E23" i="134"/>
  <c r="F62" i="134"/>
  <c r="E43" i="134"/>
  <c r="D82" i="134"/>
  <c r="D140" i="134"/>
  <c r="D121" i="134"/>
  <c r="E62" i="134"/>
  <c r="D43" i="134"/>
  <c r="G74" i="109"/>
  <c r="AZ27" i="86"/>
  <c r="AZ31" i="86"/>
  <c r="AZ21" i="86"/>
  <c r="AZ25" i="86"/>
  <c r="AZ35" i="86"/>
  <c r="F160" i="134"/>
  <c r="E160" i="134"/>
  <c r="D160" i="134"/>
  <c r="G47" i="109"/>
  <c r="G46" i="109"/>
  <c r="G60" i="109"/>
  <c r="G77" i="109"/>
  <c r="G99" i="109"/>
  <c r="G24" i="109"/>
  <c r="G81" i="109"/>
  <c r="G87" i="109"/>
  <c r="G18" i="109"/>
  <c r="G64" i="109"/>
  <c r="G36" i="109"/>
  <c r="F5" i="134"/>
  <c r="E5" i="134"/>
  <c r="D5" i="134"/>
  <c r="F44" i="134"/>
  <c r="E44" i="134"/>
  <c r="D44" i="134"/>
  <c r="F83" i="134"/>
  <c r="E83" i="134"/>
  <c r="D83" i="134"/>
  <c r="F122" i="134"/>
  <c r="E122" i="134"/>
  <c r="D122" i="134"/>
  <c r="F24" i="134"/>
  <c r="E24" i="134"/>
  <c r="D24" i="134"/>
  <c r="F63" i="134"/>
  <c r="E63" i="134"/>
  <c r="D63" i="134"/>
  <c r="F102" i="134"/>
  <c r="E102" i="134"/>
  <c r="D102" i="134"/>
  <c r="F141" i="134"/>
  <c r="E141" i="134"/>
  <c r="D141" i="134"/>
  <c r="BC5" i="86" l="1"/>
  <c r="BC7" i="86"/>
  <c r="BC33" i="86"/>
  <c r="AX6" i="86"/>
  <c r="E36" i="86" s="1"/>
  <c r="BC29" i="86" l="1"/>
  <c r="BC31" i="86"/>
  <c r="BC25" i="86"/>
  <c r="BC27" i="86"/>
  <c r="BC21" i="86"/>
  <c r="BC23" i="86"/>
  <c r="BC17" i="86"/>
  <c r="BC19" i="86"/>
  <c r="BC13" i="86"/>
  <c r="BC15" i="86"/>
  <c r="BC9" i="86"/>
  <c r="BC11" i="86"/>
  <c r="BC35" i="86"/>
</calcChain>
</file>

<file path=xl/sharedStrings.xml><?xml version="1.0" encoding="utf-8"?>
<sst xmlns="http://schemas.openxmlformats.org/spreadsheetml/2006/main" count="9866" uniqueCount="2816">
  <si>
    <t>Главный судья</t>
  </si>
  <si>
    <t>Главный секретарь</t>
  </si>
  <si>
    <t>-11</t>
  </si>
  <si>
    <t>№</t>
  </si>
  <si>
    <t>Фамилия, Имя</t>
  </si>
  <si>
    <t>Дата рождения</t>
  </si>
  <si>
    <t>Рейтинг</t>
  </si>
  <si>
    <t>14</t>
  </si>
  <si>
    <t>17</t>
  </si>
  <si>
    <t>24</t>
  </si>
  <si>
    <t>1</t>
  </si>
  <si>
    <t>36</t>
  </si>
  <si>
    <t>15</t>
  </si>
  <si>
    <t>29</t>
  </si>
  <si>
    <t>18</t>
  </si>
  <si>
    <t>4</t>
  </si>
  <si>
    <t>35</t>
  </si>
  <si>
    <t>12</t>
  </si>
  <si>
    <t>25</t>
  </si>
  <si>
    <t>20</t>
  </si>
  <si>
    <t>34</t>
  </si>
  <si>
    <t>37</t>
  </si>
  <si>
    <t>8</t>
  </si>
  <si>
    <t>13</t>
  </si>
  <si>
    <t>33</t>
  </si>
  <si>
    <t>11</t>
  </si>
  <si>
    <t>28</t>
  </si>
  <si>
    <t>22</t>
  </si>
  <si>
    <t>7</t>
  </si>
  <si>
    <t>16</t>
  </si>
  <si>
    <t>10</t>
  </si>
  <si>
    <t>31</t>
  </si>
  <si>
    <t>30</t>
  </si>
  <si>
    <t>26</t>
  </si>
  <si>
    <t>32</t>
  </si>
  <si>
    <t>3</t>
  </si>
  <si>
    <t>21</t>
  </si>
  <si>
    <t>5</t>
  </si>
  <si>
    <t>9</t>
  </si>
  <si>
    <t>27</t>
  </si>
  <si>
    <t>23</t>
  </si>
  <si>
    <t>2</t>
  </si>
  <si>
    <t>6</t>
  </si>
  <si>
    <t>19</t>
  </si>
  <si>
    <t>Город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</si>
  <si>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</si>
  <si>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</si>
  <si>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</si>
  <si>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</si>
  <si>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</si>
  <si>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</si>
  <si>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</si>
  <si>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</si>
  <si>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</si>
  <si>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</si>
  <si>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</si>
  <si>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-27</t>
  </si>
  <si>
    <t>Тренер</t>
  </si>
  <si>
    <t>-26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</si>
  <si>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</si>
  <si>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</si>
  <si>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</si>
  <si>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</si>
  <si>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</si>
  <si>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</si>
  <si>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</si>
  <si>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</si>
  <si>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</si>
  <si>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63</t>
  </si>
  <si>
    <t>64</t>
  </si>
  <si>
    <t>-31</t>
  </si>
  <si>
    <t>Ивонин Денис</t>
  </si>
  <si>
    <t>Пермь</t>
  </si>
  <si>
    <t>Чебоксары</t>
  </si>
  <si>
    <t>Казань</t>
  </si>
  <si>
    <t>Саратов</t>
  </si>
  <si>
    <t>Уфа</t>
  </si>
  <si>
    <t>66</t>
  </si>
  <si>
    <t>67</t>
  </si>
  <si>
    <t>68</t>
  </si>
  <si>
    <t>Ульяновск</t>
  </si>
  <si>
    <t>70</t>
  </si>
  <si>
    <t>71</t>
  </si>
  <si>
    <t>Самара</t>
  </si>
  <si>
    <t>Пенза</t>
  </si>
  <si>
    <t>Гришин Андрей</t>
  </si>
  <si>
    <t>72</t>
  </si>
  <si>
    <t>73</t>
  </si>
  <si>
    <t>74</t>
  </si>
  <si>
    <t>Лист 1.</t>
  </si>
  <si>
    <t>Лист 2.</t>
  </si>
  <si>
    <t>Лист 3.</t>
  </si>
  <si>
    <t>-25</t>
  </si>
  <si>
    <t>-28</t>
  </si>
  <si>
    <t>83</t>
  </si>
  <si>
    <t>84</t>
  </si>
  <si>
    <t>85</t>
  </si>
  <si>
    <t>86</t>
  </si>
  <si>
    <t>-66</t>
  </si>
  <si>
    <t>Н.Новгород</t>
  </si>
  <si>
    <t>Место</t>
  </si>
  <si>
    <t>Фамилия</t>
  </si>
  <si>
    <t>Стрежевой   Томск.о.</t>
  </si>
  <si>
    <t>Краснодар</t>
  </si>
  <si>
    <t>Тольятти</t>
  </si>
  <si>
    <t>Москва</t>
  </si>
  <si>
    <t>Калуга</t>
  </si>
  <si>
    <t>Липецк</t>
  </si>
  <si>
    <t>Скопин  Ряз.о.</t>
  </si>
  <si>
    <t>Ярославль</t>
  </si>
  <si>
    <t>Рыбинск</t>
  </si>
  <si>
    <t>Челябинск</t>
  </si>
  <si>
    <t>Владивосток</t>
  </si>
  <si>
    <t>Екатеринбург</t>
  </si>
  <si>
    <t>Махачкала</t>
  </si>
  <si>
    <t>Курган</t>
  </si>
  <si>
    <t>Аксанов Никита</t>
  </si>
  <si>
    <t>Иркутск</t>
  </si>
  <si>
    <t>Воронеж</t>
  </si>
  <si>
    <t>Благовещенск</t>
  </si>
  <si>
    <t>С.-Петербург</t>
  </si>
  <si>
    <t>Хабаровск</t>
  </si>
  <si>
    <t>Новосибирск</t>
  </si>
  <si>
    <t>Алешкин Антон</t>
  </si>
  <si>
    <t>Котовск  Тамб.о.</t>
  </si>
  <si>
    <t>Алчимбаев Руслан</t>
  </si>
  <si>
    <t>Жуковский</t>
  </si>
  <si>
    <t>Чита</t>
  </si>
  <si>
    <t>Петрозаводск</t>
  </si>
  <si>
    <t>Тихорецк  Кр.кр.</t>
  </si>
  <si>
    <t>Оренбург</t>
  </si>
  <si>
    <t>Антуфьев Максим</t>
  </si>
  <si>
    <t>Иваново</t>
  </si>
  <si>
    <t>Коломна</t>
  </si>
  <si>
    <t>Аскеров Артем</t>
  </si>
  <si>
    <t>Астахов Семен</t>
  </si>
  <si>
    <t>Астрахань</t>
  </si>
  <si>
    <t>Нарткала  КБР</t>
  </si>
  <si>
    <t>Волжский</t>
  </si>
  <si>
    <t>Тула</t>
  </si>
  <si>
    <t>Брянск</t>
  </si>
  <si>
    <t>Зеленогорск  Кр.кр.</t>
  </si>
  <si>
    <t>Владимир</t>
  </si>
  <si>
    <t>Байрамов Олег</t>
  </si>
  <si>
    <t>Вологда</t>
  </si>
  <si>
    <t>Тамбов</t>
  </si>
  <si>
    <t>Бакман Александр</t>
  </si>
  <si>
    <t>Калининград</t>
  </si>
  <si>
    <t>Кавказкая  Кр.кр.</t>
  </si>
  <si>
    <t>Барановский Дмитрий</t>
  </si>
  <si>
    <t>Барботин Вадим</t>
  </si>
  <si>
    <t>Барилкин Иван</t>
  </si>
  <si>
    <t>Баркан Александр</t>
  </si>
  <si>
    <t>Барсуков Кирилл</t>
  </si>
  <si>
    <t>Лодейное Поле  Лен.о.</t>
  </si>
  <si>
    <t>Южноуральск  Чел.о.</t>
  </si>
  <si>
    <t>Батыров Ислам</t>
  </si>
  <si>
    <t>Баушев Максим</t>
  </si>
  <si>
    <t>Башкатов Никита</t>
  </si>
  <si>
    <t>Баштовой Леонид</t>
  </si>
  <si>
    <t>Ханты-Мансийск</t>
  </si>
  <si>
    <t>Бейненсон Глеб</t>
  </si>
  <si>
    <t>Белов Артем</t>
  </si>
  <si>
    <t>Тюмень</t>
  </si>
  <si>
    <t>Ижевск</t>
  </si>
  <si>
    <t>Нальчик</t>
  </si>
  <si>
    <t>Архангельск</t>
  </si>
  <si>
    <t>Бесчастный Юрий</t>
  </si>
  <si>
    <t>Мураши  Кировск.о.</t>
  </si>
  <si>
    <t>Бикеев Даниил</t>
  </si>
  <si>
    <t>Магнитогорск</t>
  </si>
  <si>
    <t>Смоленск</t>
  </si>
  <si>
    <t>Богданов Евгений</t>
  </si>
  <si>
    <t>Курск</t>
  </si>
  <si>
    <t>Брехов Дмитрий</t>
  </si>
  <si>
    <t>Омск</t>
  </si>
  <si>
    <t>Дубна</t>
  </si>
  <si>
    <t>Васильев Фёдор</t>
  </si>
  <si>
    <t>Вдовин Егор</t>
  </si>
  <si>
    <t>Тобольск</t>
  </si>
  <si>
    <t>Кумены  Кировск.о.</t>
  </si>
  <si>
    <t>Виноградов Михаил</t>
  </si>
  <si>
    <t>Виноградов Сергей</t>
  </si>
  <si>
    <t>Абинск  Кр.кр.</t>
  </si>
  <si>
    <t>Воробьев Никита</t>
  </si>
  <si>
    <t>Воронов Максим</t>
  </si>
  <si>
    <t>Подпорожье  Лен.о.</t>
  </si>
  <si>
    <t>Вотинцев Никита</t>
  </si>
  <si>
    <t>Кострома</t>
  </si>
  <si>
    <t>Гальченко Артем</t>
  </si>
  <si>
    <t>Гапиенко Илья</t>
  </si>
  <si>
    <t>Гасанов Арсен</t>
  </si>
  <si>
    <t>Гашников Виталий</t>
  </si>
  <si>
    <t>Герасимов Денис</t>
  </si>
  <si>
    <t>Германов Игорь</t>
  </si>
  <si>
    <t>Гладков Денис</t>
  </si>
  <si>
    <t>Глебов Даниил</t>
  </si>
  <si>
    <t>Глебов Руслан</t>
  </si>
  <si>
    <t>Головлев Николай</t>
  </si>
  <si>
    <t>Гонтарь Михаил</t>
  </si>
  <si>
    <t>Большой Камень</t>
  </si>
  <si>
    <t>Горохов Михаил</t>
  </si>
  <si>
    <t>Новый-Торьял  Марий-Эл</t>
  </si>
  <si>
    <t>Грузинов Вячеслав</t>
  </si>
  <si>
    <t>Губарев Евгений</t>
  </si>
  <si>
    <t>Гусаков Владимир</t>
  </si>
  <si>
    <t>Давлетов Артур</t>
  </si>
  <si>
    <t>Двойников Артем</t>
  </si>
  <si>
    <t>Кемерово</t>
  </si>
  <si>
    <t>Демин Денис</t>
  </si>
  <si>
    <t>Дениз Даниил</t>
  </si>
  <si>
    <t>Денисов Василий</t>
  </si>
  <si>
    <t>Дмитриев Артемий</t>
  </si>
  <si>
    <t>Орехово-Зуево</t>
  </si>
  <si>
    <t>Долгушкин Алексей</t>
  </si>
  <si>
    <t>Дохов Залим</t>
  </si>
  <si>
    <t>Евдокимов Андрей</t>
  </si>
  <si>
    <t>Евсеев Ярослав</t>
  </si>
  <si>
    <t>Егоршев Иван</t>
  </si>
  <si>
    <t>Ерепкин Виталий</t>
  </si>
  <si>
    <t>Белоусово  Кал.о.</t>
  </si>
  <si>
    <t>Ерзов Григорий</t>
  </si>
  <si>
    <t>Саров  Ниж.о.</t>
  </si>
  <si>
    <t>Ермаков Михаил</t>
  </si>
  <si>
    <t>Ермошенко Артем</t>
  </si>
  <si>
    <t>Еропкинов Виталий</t>
  </si>
  <si>
    <t>Ершов Вячеслав</t>
  </si>
  <si>
    <t>Йошкар-Ола</t>
  </si>
  <si>
    <t>Жуков Святослав</t>
  </si>
  <si>
    <t>Журомский Артем</t>
  </si>
  <si>
    <t>Зайцев Владислав</t>
  </si>
  <si>
    <t>Богородск  Ниж.о.</t>
  </si>
  <si>
    <t>Захаров Владимир</t>
  </si>
  <si>
    <t>Зеленевский Вадим</t>
  </si>
  <si>
    <t>Зеткин Евгений</t>
  </si>
  <si>
    <t>Зиганшин Роберт</t>
  </si>
  <si>
    <t>Злобин Евгений</t>
  </si>
  <si>
    <t>Ибрагимов Артур</t>
  </si>
  <si>
    <t>Иванов Александр</t>
  </si>
  <si>
    <t>Иванов Алексей</t>
  </si>
  <si>
    <t>Иванов Дмитрий</t>
  </si>
  <si>
    <t>Сарманово  Тат</t>
  </si>
  <si>
    <t>Исаков Илья</t>
  </si>
  <si>
    <t>Копейск  Чел.о.</t>
  </si>
  <si>
    <t>Искендеров Аскер</t>
  </si>
  <si>
    <t>Калитин Вячеслав</t>
  </si>
  <si>
    <t>Черногорск  Хак.</t>
  </si>
  <si>
    <t>Качанов Максим</t>
  </si>
  <si>
    <t>Кашкин Егор</t>
  </si>
  <si>
    <t>Князев Андрей</t>
  </si>
  <si>
    <t>Кобзин Василий</t>
  </si>
  <si>
    <t>Геленджик</t>
  </si>
  <si>
    <t>Кокорев Иван</t>
  </si>
  <si>
    <t>Коляков Кирилл</t>
  </si>
  <si>
    <t>Кондратенко Александр</t>
  </si>
  <si>
    <t>Кортосов Михаил</t>
  </si>
  <si>
    <t>Косенков Артем</t>
  </si>
  <si>
    <t>Южно-Сахалинск</t>
  </si>
  <si>
    <t>Котов Антон</t>
  </si>
  <si>
    <t>Кочетков Никита</t>
  </si>
  <si>
    <t>Кравченко Дмитрий</t>
  </si>
  <si>
    <t>Крамаренко Герман</t>
  </si>
  <si>
    <t>Крестьянинов Роман</t>
  </si>
  <si>
    <t>Круглов Дмитрий</t>
  </si>
  <si>
    <t>Круть Исаак</t>
  </si>
  <si>
    <t>Кузьмин Георгий</t>
  </si>
  <si>
    <t>Кукса Роман</t>
  </si>
  <si>
    <t>Кулаков Данила</t>
  </si>
  <si>
    <t>Кучин Станислав</t>
  </si>
  <si>
    <t>Лазарев  Петр</t>
  </si>
  <si>
    <t>Лахвич Тимур</t>
  </si>
  <si>
    <t>Лебедев Денис</t>
  </si>
  <si>
    <t>Липаткин Алексей</t>
  </si>
  <si>
    <t>Липатников Игорь</t>
  </si>
  <si>
    <t>Лисицын Дмитрий</t>
  </si>
  <si>
    <t>Логванов Роман</t>
  </si>
  <si>
    <t>Ломакин Игорь</t>
  </si>
  <si>
    <t>Лялин Никита</t>
  </si>
  <si>
    <t>Майнаков Никита</t>
  </si>
  <si>
    <t>Максимов Максим</t>
  </si>
  <si>
    <t>Малюгин Александр</t>
  </si>
  <si>
    <t>Маслов Даниил</t>
  </si>
  <si>
    <t>Осинники   Кем.обл.</t>
  </si>
  <si>
    <t>Матченко Александр</t>
  </si>
  <si>
    <t>Медников Илья</t>
  </si>
  <si>
    <t>Мелконян Артур</t>
  </si>
  <si>
    <t>Мельников Владислав</t>
  </si>
  <si>
    <t>Минаков Павел</t>
  </si>
  <si>
    <t>Мирюгин Андрей</t>
  </si>
  <si>
    <t>Морозов Михаил</t>
  </si>
  <si>
    <t>Новочебоксарск</t>
  </si>
  <si>
    <t>Мыльников Игорь</t>
  </si>
  <si>
    <t>Наумов Иван</t>
  </si>
  <si>
    <t>Наумов Николай</t>
  </si>
  <si>
    <t>Некрасов Роман</t>
  </si>
  <si>
    <t>Никитин Григорий</t>
  </si>
  <si>
    <t>Новиков Данил</t>
  </si>
  <si>
    <t>Овчинников Егор</t>
  </si>
  <si>
    <t>Орехов Евгений</t>
  </si>
  <si>
    <t>Осадчий Дмитрий</t>
  </si>
  <si>
    <t>Осетрин Александр</t>
  </si>
  <si>
    <t>Осколков Дмитрий</t>
  </si>
  <si>
    <t>Останний Владислав</t>
  </si>
  <si>
    <t>Пак Василий</t>
  </si>
  <si>
    <t>Панарин Георгий</t>
  </si>
  <si>
    <t>Панферьев Максим</t>
  </si>
  <si>
    <t>Паршиков Тихон</t>
  </si>
  <si>
    <t>Пашков Степан</t>
  </si>
  <si>
    <t>Подборский Даниил</t>
  </si>
  <si>
    <t>Полозов Егор</t>
  </si>
  <si>
    <t>Полтарыхин Матвей</t>
  </si>
  <si>
    <t>Пугачев Никита</t>
  </si>
  <si>
    <t>Райзберг Илья</t>
  </si>
  <si>
    <t>Ракуленко Антон</t>
  </si>
  <si>
    <t>Романов Павел</t>
  </si>
  <si>
    <t>Рябухин Дмитрий</t>
  </si>
  <si>
    <t>Сабиров Айнур</t>
  </si>
  <si>
    <t>Самусько Сергей</t>
  </si>
  <si>
    <t>Сахаров Александр</t>
  </si>
  <si>
    <t>Сачков Степан</t>
  </si>
  <si>
    <t>Семенов Илья</t>
  </si>
  <si>
    <t>Боровичи  Новг.о.</t>
  </si>
  <si>
    <t>Семеркин Илья</t>
  </si>
  <si>
    <t>Сергеев Андрей</t>
  </si>
  <si>
    <t>Серебряков Дмитрий</t>
  </si>
  <si>
    <t>Серов Роман</t>
  </si>
  <si>
    <t>Серпухов Юрий</t>
  </si>
  <si>
    <t>Сидоров Александр</t>
  </si>
  <si>
    <t>Сидоров Клим</t>
  </si>
  <si>
    <t>Симкин Роман</t>
  </si>
  <si>
    <t>Синицын Даниил</t>
  </si>
  <si>
    <t>Соколов Андрей</t>
  </si>
  <si>
    <t>Соколов Дмитрий</t>
  </si>
  <si>
    <t>Соколов Никита</t>
  </si>
  <si>
    <t>Сокольцов Руслан</t>
  </si>
  <si>
    <t>Сорогин Роман</t>
  </si>
  <si>
    <t>Соянок Владислав</t>
  </si>
  <si>
    <t>Старцев Алексей</t>
  </si>
  <si>
    <t>Стешенко Степан</t>
  </si>
  <si>
    <t>Суворов Александр</t>
  </si>
  <si>
    <t>Сучков Александр</t>
  </si>
  <si>
    <t>Тарасов Дмитрий</t>
  </si>
  <si>
    <t>Телушкин Владимир</t>
  </si>
  <si>
    <t>Темботов Аскер</t>
  </si>
  <si>
    <t>Терехов Тимофей</t>
  </si>
  <si>
    <t>Тимофеев Андрей</t>
  </si>
  <si>
    <t>Титов Иван</t>
  </si>
  <si>
    <t>Тихонов Артем</t>
  </si>
  <si>
    <t>Топоев Алексей</t>
  </si>
  <si>
    <t>Трифонов Владислав</t>
  </si>
  <si>
    <t>Труфанов Максим</t>
  </si>
  <si>
    <t>Туков Арсен</t>
  </si>
  <si>
    <t>Урусбиев Султан</t>
  </si>
  <si>
    <t>Ухалов Геннадий</t>
  </si>
  <si>
    <t>Федин Тимур</t>
  </si>
  <si>
    <t>Федоркин Василий</t>
  </si>
  <si>
    <t>Филатов Иван</t>
  </si>
  <si>
    <t>Филиппов Александр</t>
  </si>
  <si>
    <t>Хасанов Марат</t>
  </si>
  <si>
    <t>Цупрунов Кирилл</t>
  </si>
  <si>
    <t>Чеглаков Александр</t>
  </si>
  <si>
    <t>Черепанов Павел</t>
  </si>
  <si>
    <t>Черников Семен</t>
  </si>
  <si>
    <t>Чиканков Сергей</t>
  </si>
  <si>
    <t>Чумак Владимир</t>
  </si>
  <si>
    <t>Боровский  Тюм.о.</t>
  </si>
  <si>
    <t>Чучалин Евгений</t>
  </si>
  <si>
    <t>Шамайский Степан</t>
  </si>
  <si>
    <t>Шапкин Виктор</t>
  </si>
  <si>
    <t>Шемелин Егор</t>
  </si>
  <si>
    <t>Шило Олег</t>
  </si>
  <si>
    <t>Шталев Павел</t>
  </si>
  <si>
    <t>Шубников Дмитрий</t>
  </si>
  <si>
    <t>Шувалов Василий</t>
  </si>
  <si>
    <t>Шувалов Егор</t>
  </si>
  <si>
    <t>Юдин Дмитрий</t>
  </si>
  <si>
    <t>Новошахтинск  Рост.о.</t>
  </si>
  <si>
    <t>Степное  Сар.о.</t>
  </si>
  <si>
    <t>Артемов Алексей</t>
  </si>
  <si>
    <t>Веселый  Рост.о.</t>
  </si>
  <si>
    <t>Березан Дмитрий</t>
  </si>
  <si>
    <t>Бибиков Андрей</t>
  </si>
  <si>
    <t>Бондаренко Владислав</t>
  </si>
  <si>
    <t>Бурдин Александр</t>
  </si>
  <si>
    <t>Ганин Виталий</t>
  </si>
  <si>
    <t>Гнездилов Антон</t>
  </si>
  <si>
    <t>Гречишкин Сергей</t>
  </si>
  <si>
    <t>Демин Захар</t>
  </si>
  <si>
    <t>Егоров Олег</t>
  </si>
  <si>
    <t>Елтратов Денис</t>
  </si>
  <si>
    <t>Задрин Дмитрий</t>
  </si>
  <si>
    <t>Иванов Михаил</t>
  </si>
  <si>
    <t>Исаков Андрей</t>
  </si>
  <si>
    <t>Кашин Дмитрий</t>
  </si>
  <si>
    <t>Кемежук Денис</t>
  </si>
  <si>
    <t>Кожин Илья</t>
  </si>
  <si>
    <t>Кузнецов Алексей</t>
  </si>
  <si>
    <t>Кулыгин  Александр</t>
  </si>
  <si>
    <t>Кырмызы Александр</t>
  </si>
  <si>
    <t>Левайац Дмитрий</t>
  </si>
  <si>
    <t>Левин Александр</t>
  </si>
  <si>
    <t>Любавин Владимир</t>
  </si>
  <si>
    <t>Муравлев Ярослав</t>
  </si>
  <si>
    <t>Мясников Илья</t>
  </si>
  <si>
    <t>Резниченко Александр</t>
  </si>
  <si>
    <t>Рогов Олег</t>
  </si>
  <si>
    <t>Родин Родион</t>
  </si>
  <si>
    <t>Савенков Никита</t>
  </si>
  <si>
    <t>Сафошин Дмитрий</t>
  </si>
  <si>
    <t>Смирнов Илья</t>
  </si>
  <si>
    <t>Смирнов Михаил</t>
  </si>
  <si>
    <t>Сутормин Тимур</t>
  </si>
  <si>
    <t>Терещенко Максим</t>
  </si>
  <si>
    <t>Титов Даниил</t>
  </si>
  <si>
    <t>Тюрин Георгий</t>
  </si>
  <si>
    <t>Царук Владимир</t>
  </si>
  <si>
    <t>Цой Станислав</t>
  </si>
  <si>
    <t>Чирков Никита</t>
  </si>
  <si>
    <t>Швемлер Яков</t>
  </si>
  <si>
    <t>Шеремет Егор</t>
  </si>
  <si>
    <t>Шлипаков Алексей</t>
  </si>
  <si>
    <t>Авдошин Андрей</t>
  </si>
  <si>
    <t>Автомонов Никита</t>
  </si>
  <si>
    <t>Аисов Леонид</t>
  </si>
  <si>
    <t>Аллахвердиев Владимир</t>
  </si>
  <si>
    <t>Ананьев Егор</t>
  </si>
  <si>
    <t>Андреев Никита</t>
  </si>
  <si>
    <t>Бийск  Алт.кр.</t>
  </si>
  <si>
    <t>Артеменко Никита</t>
  </si>
  <si>
    <t>Артемьев Илья</t>
  </si>
  <si>
    <t>Архипов Евгений</t>
  </si>
  <si>
    <t>Архипов Иван</t>
  </si>
  <si>
    <t>Бабушкин Александр</t>
  </si>
  <si>
    <t>Багиян Александр</t>
  </si>
  <si>
    <t>Баженов Никита</t>
  </si>
  <si>
    <t>Бакум Дмитрий</t>
  </si>
  <si>
    <t>Бандин Владислав</t>
  </si>
  <si>
    <t>Беров Азамат</t>
  </si>
  <si>
    <t>Переславль-Залесский</t>
  </si>
  <si>
    <t>Бочкарев Никита</t>
  </si>
  <si>
    <t>Брюхно Виталий</t>
  </si>
  <si>
    <t>Бурдин Виталий</t>
  </si>
  <si>
    <t>Бурмистров Антон</t>
  </si>
  <si>
    <t>Бурмистров Артем</t>
  </si>
  <si>
    <t>Вантеев Даниил</t>
  </si>
  <si>
    <t>Ванькин Сергей</t>
  </si>
  <si>
    <t>Каменногорск  Лен.о.</t>
  </si>
  <si>
    <t>Васильев Дмитрий</t>
  </si>
  <si>
    <t>Васильев Игорь</t>
  </si>
  <si>
    <t>Васин Илья</t>
  </si>
  <si>
    <t>Волков Денис</t>
  </si>
  <si>
    <t>Волков Руслан</t>
  </si>
  <si>
    <t>Воронин Дмитрий</t>
  </si>
  <si>
    <t>Воронин Иван</t>
  </si>
  <si>
    <t>Вязников Иван</t>
  </si>
  <si>
    <t>Гаврик Артем</t>
  </si>
  <si>
    <t>Гасанов Илья</t>
  </si>
  <si>
    <t>Гасымов Гэйбат</t>
  </si>
  <si>
    <t>Глазков Артем</t>
  </si>
  <si>
    <t>Глухов  Николай</t>
  </si>
  <si>
    <t>Гопкало Павел</t>
  </si>
  <si>
    <t>Горев Михаил</t>
  </si>
  <si>
    <t>Грачев Николай</t>
  </si>
  <si>
    <t>Грудина Сергей</t>
  </si>
  <si>
    <t>Губашиев Адмир</t>
  </si>
  <si>
    <t>Дигодьев Александр</t>
  </si>
  <si>
    <t>Добкевич Илья</t>
  </si>
  <si>
    <t>Домолазов Тимофей</t>
  </si>
  <si>
    <t>Дрегия Сергей</t>
  </si>
  <si>
    <t>Сергач</t>
  </si>
  <si>
    <t>Евсюков Леонид</t>
  </si>
  <si>
    <t>Егоров Артем</t>
  </si>
  <si>
    <t>Егоров Дмитрий</t>
  </si>
  <si>
    <t>Ершов Даниил</t>
  </si>
  <si>
    <t>Жаворонков Александр</t>
  </si>
  <si>
    <t>Жалковский Александр</t>
  </si>
  <si>
    <t>Жирнов Юрий</t>
  </si>
  <si>
    <t>Зайцев Иван</t>
  </si>
  <si>
    <t>Заличев Влад</t>
  </si>
  <si>
    <t>Захарычев Кирилл</t>
  </si>
  <si>
    <t>Зернов Михаил</t>
  </si>
  <si>
    <t>Зиганшин Нияз</t>
  </si>
  <si>
    <t>Иванов Роман</t>
  </si>
  <si>
    <t>Ильин Денис</t>
  </si>
  <si>
    <t>Ильин Дмитрий</t>
  </si>
  <si>
    <t>Инджикян Максим</t>
  </si>
  <si>
    <t>Исаев Василий</t>
  </si>
  <si>
    <t>Истомин Михаил</t>
  </si>
  <si>
    <t>Кагазежев Асхад</t>
  </si>
  <si>
    <t>Казаков Александр</t>
  </si>
  <si>
    <t>Казенас Герман</t>
  </si>
  <si>
    <t>Казимов Фекрет</t>
  </si>
  <si>
    <t>Карзанов Данила</t>
  </si>
  <si>
    <t>Катаев Виталий</t>
  </si>
  <si>
    <t>Кержковский Алексей</t>
  </si>
  <si>
    <t>Киларев Максим</t>
  </si>
  <si>
    <t>Китаев Вадим</t>
  </si>
  <si>
    <t>Князев Егор</t>
  </si>
  <si>
    <t>Кодухов Алексей</t>
  </si>
  <si>
    <t>Козлов Александр</t>
  </si>
  <si>
    <t>Козлов Евгений</t>
  </si>
  <si>
    <t>Козырев Алексей</t>
  </si>
  <si>
    <t>Коковихин Кирилл</t>
  </si>
  <si>
    <t>Колесниченко Вадим</t>
  </si>
  <si>
    <t>Колесниченко Владимир</t>
  </si>
  <si>
    <t>Колесниченко Сергей</t>
  </si>
  <si>
    <t>Колпашников Денис</t>
  </si>
  <si>
    <t>Коменда Владислав</t>
  </si>
  <si>
    <t>Коптиков Роман</t>
  </si>
  <si>
    <t>Костоусов Лев</t>
  </si>
  <si>
    <t>Кочелаев Алексей</t>
  </si>
  <si>
    <t>Кремнев Владимир</t>
  </si>
  <si>
    <t>Кремнев Илья</t>
  </si>
  <si>
    <t>Крылов  Максим</t>
  </si>
  <si>
    <t>Кужекин Федор</t>
  </si>
  <si>
    <t>Кузнецов Глеб</t>
  </si>
  <si>
    <t>Кузьминский Семен</t>
  </si>
  <si>
    <t>Курбонбеков Амид</t>
  </si>
  <si>
    <t>Леонов Владислав</t>
  </si>
  <si>
    <t>Липкин Дмитрий</t>
  </si>
  <si>
    <t>Логинов Юрий</t>
  </si>
  <si>
    <t>Лоос Александр</t>
  </si>
  <si>
    <t>Макаров Максим</t>
  </si>
  <si>
    <t>Маков Сергей</t>
  </si>
  <si>
    <t>Малец Семен</t>
  </si>
  <si>
    <t>Маликов Айдар</t>
  </si>
  <si>
    <t>Мальцев Даниил</t>
  </si>
  <si>
    <t>Мартыненко Роман</t>
  </si>
  <si>
    <t>Маслов Антон</t>
  </si>
  <si>
    <t>Матвеев Константин</t>
  </si>
  <si>
    <t>Машин Вадим</t>
  </si>
  <si>
    <t>Мельниченко Дмитрий</t>
  </si>
  <si>
    <t>Мешков Никита</t>
  </si>
  <si>
    <t>Милкин Максим</t>
  </si>
  <si>
    <t>Мирющенко Денис</t>
  </si>
  <si>
    <t>Михайлов Глеб</t>
  </si>
  <si>
    <t>Михайлов Илья</t>
  </si>
  <si>
    <t>Морин Игорь</t>
  </si>
  <si>
    <t>Морозов Евгений</t>
  </si>
  <si>
    <t>Московцев Никита</t>
  </si>
  <si>
    <t>Муров Максим</t>
  </si>
  <si>
    <t>Мялкин Дмитрий</t>
  </si>
  <si>
    <t>Назарько Иван</t>
  </si>
  <si>
    <t>Неклюдов Андрей</t>
  </si>
  <si>
    <t>Неупокоев Виктор</t>
  </si>
  <si>
    <t>Никитин Артемий</t>
  </si>
  <si>
    <t>Николаев Андрей</t>
  </si>
  <si>
    <t>Новак Алексей</t>
  </si>
  <si>
    <t>Нурматов Даниил</t>
  </si>
  <si>
    <t>Нуруллин Аскар</t>
  </si>
  <si>
    <t>Орешин Степан</t>
  </si>
  <si>
    <t>Осипов Дмитрий</t>
  </si>
  <si>
    <t>Осмоловский Всеволод</t>
  </si>
  <si>
    <t>Пак Мирон</t>
  </si>
  <si>
    <t>Пантелеев Дмитрий</t>
  </si>
  <si>
    <t>Пахомов Владимир</t>
  </si>
  <si>
    <t>Перов Никита</t>
  </si>
  <si>
    <t>Пестравкин Артем</t>
  </si>
  <si>
    <t>Петров Павел</t>
  </si>
  <si>
    <t>Нягань   ХМАО</t>
  </si>
  <si>
    <t>Петрушков Илья</t>
  </si>
  <si>
    <t>Пикалов Владислав</t>
  </si>
  <si>
    <t>Плохотников Павел</t>
  </si>
  <si>
    <t>Плюснин Кирилл</t>
  </si>
  <si>
    <t>Побегайло Платон</t>
  </si>
  <si>
    <t>Подшивалов Леонид</t>
  </si>
  <si>
    <t>Понуровский Семен</t>
  </si>
  <si>
    <t>Попов Андрей</t>
  </si>
  <si>
    <t>Попов Дмитрий</t>
  </si>
  <si>
    <t>Потапов Артем</t>
  </si>
  <si>
    <t>Прокофьев Павел</t>
  </si>
  <si>
    <t>Прокофьев Сергей</t>
  </si>
  <si>
    <t>Пронин Сергей</t>
  </si>
  <si>
    <t>Проничев Алексей</t>
  </si>
  <si>
    <t>Пучков Игнат</t>
  </si>
  <si>
    <t>Рассадин Иван</t>
  </si>
  <si>
    <t>Рахаев Ислам</t>
  </si>
  <si>
    <t>Рожин Антон</t>
  </si>
  <si>
    <t>Ряттель Егор</t>
  </si>
  <si>
    <t>Савинов Дмитрий</t>
  </si>
  <si>
    <t>Самсонов Михаил</t>
  </si>
  <si>
    <t>Санько Максим</t>
  </si>
  <si>
    <t>Сафиуллин Рамиль</t>
  </si>
  <si>
    <t>Сванишвили Георгий</t>
  </si>
  <si>
    <t>Сельков Даниил</t>
  </si>
  <si>
    <t>Семенистый Юрий</t>
  </si>
  <si>
    <t>Сивоволенко Владислав</t>
  </si>
  <si>
    <t>Сидоркин Григорий</t>
  </si>
  <si>
    <t>Симонов Никита</t>
  </si>
  <si>
    <t>Слепнев Константин</t>
  </si>
  <si>
    <t>Слободинский Денис</t>
  </si>
  <si>
    <t>Солодкий Михаил</t>
  </si>
  <si>
    <t>Супоня Алексей</t>
  </si>
  <si>
    <t>Суржинский Павел</t>
  </si>
  <si>
    <t>Темботов Астемир</t>
  </si>
  <si>
    <t>Терентьев Григорий</t>
  </si>
  <si>
    <t>Тилле Герман</t>
  </si>
  <si>
    <t>Ткалич Павел</t>
  </si>
  <si>
    <t>Ульянко Виктор</t>
  </si>
  <si>
    <t>Фаттахов Дмитрий</t>
  </si>
  <si>
    <t>Фаттахов Руслан</t>
  </si>
  <si>
    <t>Фомин Станислав</t>
  </si>
  <si>
    <t>Хабовец Алексей</t>
  </si>
  <si>
    <t>Халмакшинов Евгений</t>
  </si>
  <si>
    <t>Худяк Владимир</t>
  </si>
  <si>
    <t>Хужоков Айдамир</t>
  </si>
  <si>
    <t>Царьков Олег</t>
  </si>
  <si>
    <t>Циркуль Эдуард</t>
  </si>
  <si>
    <t>Цыран Михаил</t>
  </si>
  <si>
    <t>Чаузов Кирилл</t>
  </si>
  <si>
    <t>Чванов Александр</t>
  </si>
  <si>
    <t>Черепанов Дмитрий</t>
  </si>
  <si>
    <t>Черновалов Виктор</t>
  </si>
  <si>
    <t>Черчик Вадим</t>
  </si>
  <si>
    <t>Усолье-Сибирское</t>
  </si>
  <si>
    <t>Чистыгашев Андрей</t>
  </si>
  <si>
    <t>Чистяков Игорь</t>
  </si>
  <si>
    <t>Чупров Борис</t>
  </si>
  <si>
    <t>Чучунов Павел</t>
  </si>
  <si>
    <t>Шаблов Михаил</t>
  </si>
  <si>
    <t>Шалаев Александр</t>
  </si>
  <si>
    <t>Шалаев Антон</t>
  </si>
  <si>
    <t>Шамин Александр</t>
  </si>
  <si>
    <t>Шениберг Илья</t>
  </si>
  <si>
    <t>Шустров Дмитрий</t>
  </si>
  <si>
    <t>Щигорцов Дмитрий</t>
  </si>
  <si>
    <t>Элерт Денис</t>
  </si>
  <si>
    <t>Юрин Артем</t>
  </si>
  <si>
    <t>Яковлев Никита</t>
  </si>
  <si>
    <t>Ярочкин Михаил</t>
  </si>
  <si>
    <t>Сабы  Тат.</t>
  </si>
  <si>
    <t>Антюфеев Дмитрий</t>
  </si>
  <si>
    <t>Аристов Алексей</t>
  </si>
  <si>
    <t>Афимченко Иван</t>
  </si>
  <si>
    <t>Башаров Айрат</t>
  </si>
  <si>
    <t>Белагин Сергей</t>
  </si>
  <si>
    <t>Боков Антон</t>
  </si>
  <si>
    <t>Борисов Кирилл</t>
  </si>
  <si>
    <t>Борькин Илья</t>
  </si>
  <si>
    <t>Брекин Денис</t>
  </si>
  <si>
    <t>Булатов Денис</t>
  </si>
  <si>
    <t>Бурейко Даниил</t>
  </si>
  <si>
    <t>Быстров Леонид</t>
  </si>
  <si>
    <t>Вагапов Андрей</t>
  </si>
  <si>
    <t>Васильев Сергей</t>
  </si>
  <si>
    <t>Васюков Константин</t>
  </si>
  <si>
    <t>Владыкин Алексей</t>
  </si>
  <si>
    <t>Волк Давид</t>
  </si>
  <si>
    <t>Волошин Максим</t>
  </si>
  <si>
    <t>Воробьев Андрей</t>
  </si>
  <si>
    <t>Воронов Дмитрий</t>
  </si>
  <si>
    <t>ГАБЛИЯ Леон</t>
  </si>
  <si>
    <t>Герасимов Всеволод</t>
  </si>
  <si>
    <t>Гиллен Александр</t>
  </si>
  <si>
    <t>Гимадеев Раиф</t>
  </si>
  <si>
    <t>Глухов Кирилл</t>
  </si>
  <si>
    <t>Горюнов Егор</t>
  </si>
  <si>
    <t>Гребнев Максим</t>
  </si>
  <si>
    <t>Дерников Ефим</t>
  </si>
  <si>
    <t>Донской Игорь</t>
  </si>
  <si>
    <t>Дубков Илья</t>
  </si>
  <si>
    <t>Дульдаев Эмиль</t>
  </si>
  <si>
    <t>Егоров Евгений</t>
  </si>
  <si>
    <t>Зайцев Даниил</t>
  </si>
  <si>
    <t>Закиев Рустам</t>
  </si>
  <si>
    <t>Захаров Даниил</t>
  </si>
  <si>
    <t>Зибарев Егор</t>
  </si>
  <si>
    <t>Зотов Алексей</t>
  </si>
  <si>
    <t>Иванов Руслан</t>
  </si>
  <si>
    <t>Ломоносов  Лен.о.</t>
  </si>
  <si>
    <t>Каган Михаил</t>
  </si>
  <si>
    <t>Кинев Антон</t>
  </si>
  <si>
    <t>Кириченко Арсений</t>
  </si>
  <si>
    <t>Усть-Каменогорск</t>
  </si>
  <si>
    <t>Коньков Семен</t>
  </si>
  <si>
    <t>Корнилов Кирилл</t>
  </si>
  <si>
    <t>Корсунцев Валентин</t>
  </si>
  <si>
    <t>Кочетков Дмитрий</t>
  </si>
  <si>
    <t>Красивичев Антон</t>
  </si>
  <si>
    <t>Кудряшов Максим</t>
  </si>
  <si>
    <t>Кузнецов Андрей</t>
  </si>
  <si>
    <t>Лебедев Павел</t>
  </si>
  <si>
    <t>Левицкий Леонид</t>
  </si>
  <si>
    <t>Лысач Станислав</t>
  </si>
  <si>
    <t>Матвеев Ролан</t>
  </si>
  <si>
    <t>Буинск  Тат</t>
  </si>
  <si>
    <t>Махнач Федор</t>
  </si>
  <si>
    <t>Машичев Андрей</t>
  </si>
  <si>
    <t>Моськин Валерий</t>
  </si>
  <si>
    <t>Мурадов Руслан</t>
  </si>
  <si>
    <t>Неледов Илья</t>
  </si>
  <si>
    <t>Носов Петр</t>
  </si>
  <si>
    <t>Павлов Артем</t>
  </si>
  <si>
    <t>Петрушин Антон</t>
  </si>
  <si>
    <t>Пигулевский Даниил</t>
  </si>
  <si>
    <t>Пойда Арсений</t>
  </si>
  <si>
    <t>Поткин Александр</t>
  </si>
  <si>
    <t>Поярков Олег</t>
  </si>
  <si>
    <t>Прокоп Александр</t>
  </si>
  <si>
    <t>Прошкин Никита</t>
  </si>
  <si>
    <t>Пустобояров Артем</t>
  </si>
  <si>
    <t>Репьев Андрей</t>
  </si>
  <si>
    <t>Рубцов Алексей</t>
  </si>
  <si>
    <t>Рябухин Сергей</t>
  </si>
  <si>
    <t>Савенков Георгий</t>
  </si>
  <si>
    <t>Салахиев Дамир</t>
  </si>
  <si>
    <t>Самойлов Роман</t>
  </si>
  <si>
    <t>Сахабиев Асхат</t>
  </si>
  <si>
    <t>Севостьянов Максим</t>
  </si>
  <si>
    <t>Сердюков Сергей</t>
  </si>
  <si>
    <t>Серебрянский Евгений</t>
  </si>
  <si>
    <t>Синичкин Егор</t>
  </si>
  <si>
    <t>Сотников Кирилл</t>
  </si>
  <si>
    <t>Соцков Степан</t>
  </si>
  <si>
    <t>Стадников Андрей</t>
  </si>
  <si>
    <t>Стафеев Павел</t>
  </si>
  <si>
    <t>Терехов Кирилл</t>
  </si>
  <si>
    <t>Урсакий Дмитрий</t>
  </si>
  <si>
    <t>Филонов Егор</t>
  </si>
  <si>
    <t>Хасбулатов Халид</t>
  </si>
  <si>
    <t>Хосяинов Роман</t>
  </si>
  <si>
    <t>Хромов Юрий</t>
  </si>
  <si>
    <t>Черемискин Кирилл</t>
  </si>
  <si>
    <t>Шакиров Камиль</t>
  </si>
  <si>
    <t>Ширшов Александр</t>
  </si>
  <si>
    <t>Ширяев Андрей</t>
  </si>
  <si>
    <t>Шкрабалюк Константин</t>
  </si>
  <si>
    <t>58</t>
  </si>
  <si>
    <t>59</t>
  </si>
  <si>
    <t>60</t>
  </si>
  <si>
    <t>61</t>
  </si>
  <si>
    <t>62</t>
  </si>
  <si>
    <t>65</t>
  </si>
  <si>
    <t>69</t>
  </si>
  <si>
    <t>ЮНОШИ</t>
  </si>
  <si>
    <t>1 МЕСТО В ГРУППЕ</t>
  </si>
  <si>
    <t>Группа №1</t>
  </si>
  <si>
    <t>Группа №2</t>
  </si>
  <si>
    <t>Группа №3</t>
  </si>
  <si>
    <t>Группа №4</t>
  </si>
  <si>
    <t>Группа №5</t>
  </si>
  <si>
    <t>Группа №6</t>
  </si>
  <si>
    <t>Группа №7</t>
  </si>
  <si>
    <t>Группа №8</t>
  </si>
  <si>
    <t>Группа №9</t>
  </si>
  <si>
    <t>Группа №10</t>
  </si>
  <si>
    <t>Группа №11</t>
  </si>
  <si>
    <t>Группа №12</t>
  </si>
  <si>
    <t>Группа №13</t>
  </si>
  <si>
    <t>Группа №14</t>
  </si>
  <si>
    <t>Группа №15</t>
  </si>
  <si>
    <t>Группа №16</t>
  </si>
  <si>
    <t>2 МЕСТО В ГРУППЕ</t>
  </si>
  <si>
    <t>3 МЕСТО В ГРУППЕ</t>
  </si>
  <si>
    <t>4 МЕСТО В ГРУППЕ</t>
  </si>
  <si>
    <t>5 МЕСТО В ГРУППЕ</t>
  </si>
  <si>
    <t>6 МЕСТО В ГРУППЕ</t>
  </si>
  <si>
    <t>Участники</t>
  </si>
  <si>
    <t>Очки</t>
  </si>
  <si>
    <t>Соот</t>
  </si>
  <si>
    <t>Гл. судья:</t>
  </si>
  <si>
    <t>Гл. секретарь:</t>
  </si>
  <si>
    <t>№ встречи</t>
  </si>
  <si>
    <t>Участник</t>
  </si>
  <si>
    <t>Победитель</t>
  </si>
  <si>
    <t>Счет в партиии</t>
  </si>
  <si>
    <t>Ададуров Илья</t>
  </si>
  <si>
    <t>Анпин Владимир</t>
  </si>
  <si>
    <t>Априк Андрей</t>
  </si>
  <si>
    <t>Бердников Степан</t>
  </si>
  <si>
    <t>Березнев Даниил</t>
  </si>
  <si>
    <t>Бобров Дмитрий</t>
  </si>
  <si>
    <t>Бредников Михаил</t>
  </si>
  <si>
    <t>Бритов Андрей</t>
  </si>
  <si>
    <t>Быстров Александр</t>
  </si>
  <si>
    <t>Васильев Алексей</t>
  </si>
  <si>
    <t>Волков Александр</t>
  </si>
  <si>
    <t>Волков Андрей</t>
  </si>
  <si>
    <t>Гапоненко Даниил</t>
  </si>
  <si>
    <t>Герасименко Максим</t>
  </si>
  <si>
    <t>Гладков Андрей</t>
  </si>
  <si>
    <t>Гнетов Владимир</t>
  </si>
  <si>
    <t>Гуриков Константин</t>
  </si>
  <si>
    <t>Гусев Кирилл</t>
  </si>
  <si>
    <t>Евстратов Артем</t>
  </si>
  <si>
    <t>Загуляев Кирилл</t>
  </si>
  <si>
    <t>Зайцев Алексей</t>
  </si>
  <si>
    <t>Заровнятных Илья</t>
  </si>
  <si>
    <t>Зверев Александр</t>
  </si>
  <si>
    <t>Исаков Александр</t>
  </si>
  <si>
    <t>Карамзин Дмитрий</t>
  </si>
  <si>
    <t>Карпов Никита</t>
  </si>
  <si>
    <t>Касаткин Дмитрий</t>
  </si>
  <si>
    <t>Кельтман Кирилл</t>
  </si>
  <si>
    <t>Кирсанов Сергей</t>
  </si>
  <si>
    <t>Колпак Александр</t>
  </si>
  <si>
    <t>Кольчук И</t>
  </si>
  <si>
    <t>Конев Иван</t>
  </si>
  <si>
    <t>Конышкин Иван</t>
  </si>
  <si>
    <t>Корнеев Никита</t>
  </si>
  <si>
    <t>Котельников Иван</t>
  </si>
  <si>
    <t>Кравец Кирилл</t>
  </si>
  <si>
    <t>Крюков Артем</t>
  </si>
  <si>
    <t>Кудрявцев Сергей</t>
  </si>
  <si>
    <t>Кузнецов Артем</t>
  </si>
  <si>
    <t>Кузнецов Максим</t>
  </si>
  <si>
    <t>Кузьмин Владимир</t>
  </si>
  <si>
    <t>Куминов Илья</t>
  </si>
  <si>
    <t>Лашта Михаил</t>
  </si>
  <si>
    <t>Мангушев Айрат</t>
  </si>
  <si>
    <t>Моштаков Роман</t>
  </si>
  <si>
    <t>Наговицин Марк</t>
  </si>
  <si>
    <t>Назаров Артем</t>
  </si>
  <si>
    <t>Нигин Алексей</t>
  </si>
  <si>
    <t>Николюк Иван</t>
  </si>
  <si>
    <t>Новиков Дмитрий</t>
  </si>
  <si>
    <t>Новоселов Александр</t>
  </si>
  <si>
    <t>Орлов Иван</t>
  </si>
  <si>
    <t>Оськин Игорь</t>
  </si>
  <si>
    <t>Павленко Иван</t>
  </si>
  <si>
    <t>Перевалов Матвей</t>
  </si>
  <si>
    <t>Петухов Даниил</t>
  </si>
  <si>
    <t>Посохов Никита</t>
  </si>
  <si>
    <t>Приходько Павел</t>
  </si>
  <si>
    <t>Рагимов Решат</t>
  </si>
  <si>
    <t>Родин Вячеслав</t>
  </si>
  <si>
    <t>Сабанов Андрей</t>
  </si>
  <si>
    <t>Савенков Дмитрий</t>
  </si>
  <si>
    <t>Салихов Антон</t>
  </si>
  <si>
    <t>Селиверстов Михаил</t>
  </si>
  <si>
    <t>Семенов Игорь</t>
  </si>
  <si>
    <t>Сидоренко Тарас</t>
  </si>
  <si>
    <t>Ухта  Р.Коми</t>
  </si>
  <si>
    <t>Соколов Илья</t>
  </si>
  <si>
    <t>Стремилов Андрей</t>
  </si>
  <si>
    <t>Суздалов Глеб</t>
  </si>
  <si>
    <t>Сыркашев Савва</t>
  </si>
  <si>
    <t>Тарасенко Валентин</t>
  </si>
  <si>
    <t>Тарханов Андрей</t>
  </si>
  <si>
    <t>Тимофеев Никита</t>
  </si>
  <si>
    <t>Торин Андрей</t>
  </si>
  <si>
    <t>Ульченко Илья</t>
  </si>
  <si>
    <t>Усманов Тимур</t>
  </si>
  <si>
    <t>Хрулев Андрей</t>
  </si>
  <si>
    <t>Цветков Андрей</t>
  </si>
  <si>
    <t>Черепанов Даниил</t>
  </si>
  <si>
    <t>Чернобаев Роман</t>
  </si>
  <si>
    <t>Черпаков Кирилл</t>
  </si>
  <si>
    <t>Шамин Олег</t>
  </si>
  <si>
    <t>Шканакин Никита</t>
  </si>
  <si>
    <t>Юдин Никита</t>
  </si>
  <si>
    <t>Яковлев Сергей</t>
  </si>
  <si>
    <t>Ячменников Иван</t>
  </si>
  <si>
    <t>Бег 30м</t>
  </si>
  <si>
    <t>Прыжок с места</t>
  </si>
  <si>
    <t>Прыжки через скакалку</t>
  </si>
  <si>
    <t>место</t>
  </si>
  <si>
    <t>Отжимание</t>
  </si>
  <si>
    <t>Пресс</t>
  </si>
  <si>
    <t>Перемещение в квадрате</t>
  </si>
  <si>
    <t>Итоговое место</t>
  </si>
  <si>
    <t>75</t>
  </si>
  <si>
    <t>76</t>
  </si>
  <si>
    <t>77</t>
  </si>
  <si>
    <t>78</t>
  </si>
  <si>
    <t>79</t>
  </si>
  <si>
    <t>80</t>
  </si>
  <si>
    <t>81</t>
  </si>
  <si>
    <t>82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</si>
  <si>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</si>
  <si>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</si>
  <si>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</si>
  <si>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</si>
  <si>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</si>
  <si>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</si>
  <si>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</si>
  <si>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</si>
  <si>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</si>
  <si>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</si>
  <si>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</si>
  <si>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Белова С.Н.</t>
  </si>
  <si>
    <t>-1</t>
  </si>
  <si>
    <t>-29</t>
  </si>
  <si>
    <t>-2</t>
  </si>
  <si>
    <t>-3</t>
  </si>
  <si>
    <t>-30</t>
  </si>
  <si>
    <t>-4</t>
  </si>
  <si>
    <t>-5</t>
  </si>
  <si>
    <t>-32</t>
  </si>
  <si>
    <t>-6</t>
  </si>
  <si>
    <t>-7</t>
  </si>
  <si>
    <t>-8</t>
  </si>
  <si>
    <t>-9</t>
  </si>
  <si>
    <t>-10</t>
  </si>
  <si>
    <t>-35</t>
  </si>
  <si>
    <t>-12</t>
  </si>
  <si>
    <t>-33</t>
  </si>
  <si>
    <t>-13</t>
  </si>
  <si>
    <t>-63</t>
  </si>
  <si>
    <t>-34</t>
  </si>
  <si>
    <t>-14</t>
  </si>
  <si>
    <t>-15</t>
  </si>
  <si>
    <t>-61</t>
  </si>
  <si>
    <t>-36</t>
  </si>
  <si>
    <t>-16</t>
  </si>
  <si>
    <t>-17</t>
  </si>
  <si>
    <t>-62</t>
  </si>
  <si>
    <t>-18</t>
  </si>
  <si>
    <t>-57</t>
  </si>
  <si>
    <t>-64</t>
  </si>
  <si>
    <t>-19</t>
  </si>
  <si>
    <t>-58</t>
  </si>
  <si>
    <t>-20</t>
  </si>
  <si>
    <t>-59</t>
  </si>
  <si>
    <t>-21</t>
  </si>
  <si>
    <t>-60</t>
  </si>
  <si>
    <t>-67</t>
  </si>
  <si>
    <t>-65</t>
  </si>
  <si>
    <t>-22</t>
  </si>
  <si>
    <t>-23</t>
  </si>
  <si>
    <t>-43</t>
  </si>
  <si>
    <t>-68</t>
  </si>
  <si>
    <t>-24</t>
  </si>
  <si>
    <t>-50</t>
  </si>
  <si>
    <t>-51</t>
  </si>
  <si>
    <t>-41</t>
  </si>
  <si>
    <t>-52</t>
  </si>
  <si>
    <t>-42</t>
  </si>
  <si>
    <t>-53</t>
  </si>
  <si>
    <t>-54</t>
  </si>
  <si>
    <t>-44</t>
  </si>
  <si>
    <t>-55</t>
  </si>
  <si>
    <t>-37</t>
  </si>
  <si>
    <t>-75</t>
  </si>
  <si>
    <t>-56</t>
  </si>
  <si>
    <t>-73</t>
  </si>
  <si>
    <t>-38</t>
  </si>
  <si>
    <t>-74</t>
  </si>
  <si>
    <t>-39</t>
  </si>
  <si>
    <t>-69</t>
  </si>
  <si>
    <t>-76</t>
  </si>
  <si>
    <t>-40</t>
  </si>
  <si>
    <t>-47</t>
  </si>
  <si>
    <t>-70</t>
  </si>
  <si>
    <t>-71</t>
  </si>
  <si>
    <t>-45</t>
  </si>
  <si>
    <t>-72</t>
  </si>
  <si>
    <t>-79</t>
  </si>
  <si>
    <t>-46</t>
  </si>
  <si>
    <t>-77</t>
  </si>
  <si>
    <t>-48</t>
  </si>
  <si>
    <t>-78</t>
  </si>
  <si>
    <t>-80</t>
  </si>
  <si>
    <t>СТАДИЯ</t>
  </si>
  <si>
    <t>1 группа</t>
  </si>
  <si>
    <t>2 группа</t>
  </si>
  <si>
    <t>3 группа</t>
  </si>
  <si>
    <t>4 группа</t>
  </si>
  <si>
    <t>(1-16)</t>
  </si>
  <si>
    <t>5 группа</t>
  </si>
  <si>
    <t>6 группа</t>
  </si>
  <si>
    <t>7 группа</t>
  </si>
  <si>
    <t>8 группа</t>
  </si>
  <si>
    <t>Сумма мест</t>
  </si>
  <si>
    <t>Тур</t>
  </si>
  <si>
    <t>Счет в партиях</t>
  </si>
  <si>
    <t>1-16</t>
  </si>
  <si>
    <t>2-15</t>
  </si>
  <si>
    <t>3-14</t>
  </si>
  <si>
    <t>4-13</t>
  </si>
  <si>
    <t>5-12</t>
  </si>
  <si>
    <t>6-11</t>
  </si>
  <si>
    <t>7-10</t>
  </si>
  <si>
    <t>8-9</t>
  </si>
  <si>
    <t>2-13</t>
  </si>
  <si>
    <t>3-12</t>
  </si>
  <si>
    <t>4-11</t>
  </si>
  <si>
    <t>5-10</t>
  </si>
  <si>
    <t>6-9</t>
  </si>
  <si>
    <t>7-8</t>
  </si>
  <si>
    <t>1-14</t>
  </si>
  <si>
    <t>2-11</t>
  </si>
  <si>
    <t>3-10</t>
  </si>
  <si>
    <t>4-9</t>
  </si>
  <si>
    <t>5-8</t>
  </si>
  <si>
    <t>6-7</t>
  </si>
  <si>
    <t>2-9</t>
  </si>
  <si>
    <t>3-8</t>
  </si>
  <si>
    <t>4-7</t>
  </si>
  <si>
    <t>5-6</t>
  </si>
  <si>
    <t>1-12</t>
  </si>
  <si>
    <t>2-7</t>
  </si>
  <si>
    <t>3-6</t>
  </si>
  <si>
    <t>4-5</t>
  </si>
  <si>
    <t>2-5</t>
  </si>
  <si>
    <t>3-4</t>
  </si>
  <si>
    <t>1-10</t>
  </si>
  <si>
    <t>2-3</t>
  </si>
  <si>
    <t>1-8</t>
  </si>
  <si>
    <t>15-16</t>
  </si>
  <si>
    <t>13-16</t>
  </si>
  <si>
    <t>14-15</t>
  </si>
  <si>
    <t>1-6</t>
  </si>
  <si>
    <t>11-16</t>
  </si>
  <si>
    <t>12-15</t>
  </si>
  <si>
    <t>13-14</t>
  </si>
  <si>
    <t>9-16</t>
  </si>
  <si>
    <t>10-15</t>
  </si>
  <si>
    <t>11-14</t>
  </si>
  <si>
    <t>12-13</t>
  </si>
  <si>
    <t>1-4</t>
  </si>
  <si>
    <t>7-16</t>
  </si>
  <si>
    <t>8-15</t>
  </si>
  <si>
    <t>9-14</t>
  </si>
  <si>
    <t>10-13</t>
  </si>
  <si>
    <t>11-12</t>
  </si>
  <si>
    <t>5-16</t>
  </si>
  <si>
    <t>6-15</t>
  </si>
  <si>
    <t>7-14</t>
  </si>
  <si>
    <t>8-13</t>
  </si>
  <si>
    <t>9-12</t>
  </si>
  <si>
    <t>10-11</t>
  </si>
  <si>
    <t>1-2</t>
  </si>
  <si>
    <t>3-16</t>
  </si>
  <si>
    <t>4-15</t>
  </si>
  <si>
    <t>5-14</t>
  </si>
  <si>
    <t>6-13</t>
  </si>
  <si>
    <t>7-12</t>
  </si>
  <si>
    <t>8-11</t>
  </si>
  <si>
    <t>9-10</t>
  </si>
  <si>
    <t>Стол №</t>
  </si>
  <si>
    <t>№ тура</t>
  </si>
  <si>
    <t>Ф.И.О. участников</t>
  </si>
  <si>
    <t>Общий счет партий</t>
  </si>
  <si>
    <t>Победил</t>
  </si>
  <si>
    <t>со счетом</t>
  </si>
  <si>
    <t>Судья:</t>
  </si>
  <si>
    <t>Главный судья:</t>
  </si>
  <si>
    <t>Главный секретарь:</t>
  </si>
  <si>
    <t>Порядок встреч игр 1 финала</t>
  </si>
  <si>
    <t>№ встр</t>
  </si>
  <si>
    <t>№ ВСТРЕЧИ</t>
  </si>
  <si>
    <t>Общий счет</t>
  </si>
  <si>
    <t>1 ФИНАЛ.</t>
  </si>
  <si>
    <t>2 ФИНАЛ.</t>
  </si>
  <si>
    <t>3 ФИНАЛ.</t>
  </si>
  <si>
    <t>4 ФИНАЛ.</t>
  </si>
  <si>
    <t>Порядок встреч игр 2 финала</t>
  </si>
  <si>
    <t>7 МЕСТО В ГРУППЕ</t>
  </si>
  <si>
    <t>8 МЕСТО В ГРУППЕ</t>
  </si>
  <si>
    <t>9 МЕСТО В ГРУППЕ</t>
  </si>
  <si>
    <t xml:space="preserve"> </t>
  </si>
  <si>
    <t>СДАЧА НОМАТИВОВ ПО ОФП и СФП.</t>
  </si>
  <si>
    <t>1 ФИНАЛ</t>
  </si>
  <si>
    <t>2 ФИНАЛ</t>
  </si>
  <si>
    <t>3 ФИНАЛ</t>
  </si>
  <si>
    <t>4 ФИНАЛ</t>
  </si>
  <si>
    <t>Абатуров Иван</t>
  </si>
  <si>
    <t>Аббасов Павел</t>
  </si>
  <si>
    <t>Аббасов Петр</t>
  </si>
  <si>
    <t>Аббасов Руслан</t>
  </si>
  <si>
    <t>Абрамов Артем</t>
  </si>
  <si>
    <t>Абрамов Владимир</t>
  </si>
  <si>
    <t>Новокузнецк</t>
  </si>
  <si>
    <t>Абрамов Владислав</t>
  </si>
  <si>
    <t>Барнаул</t>
  </si>
  <si>
    <t>Абунивайсов Марат</t>
  </si>
  <si>
    <t>Энгельс</t>
  </si>
  <si>
    <t>Абусев Артур</t>
  </si>
  <si>
    <t>Сорочинск</t>
  </si>
  <si>
    <t>Авакумов Иван</t>
  </si>
  <si>
    <t>Авакян Павел</t>
  </si>
  <si>
    <t>Аванесов Карен</t>
  </si>
  <si>
    <t>Аверьянов Егор</t>
  </si>
  <si>
    <t>Агаджанян Виталий</t>
  </si>
  <si>
    <t>Н.Тагил</t>
  </si>
  <si>
    <t>Нижневартовск</t>
  </si>
  <si>
    <t>Лабинск  Краснод.кр.</t>
  </si>
  <si>
    <t>Верхняя Пышма</t>
  </si>
  <si>
    <t>Азаров Максим</t>
  </si>
  <si>
    <t>Аз-Зари Глеб</t>
  </si>
  <si>
    <t>Аз-Зари Егор</t>
  </si>
  <si>
    <t>Айвазян Андроник</t>
  </si>
  <si>
    <t>Батайск  Рост.обл.</t>
  </si>
  <si>
    <t>Айсин Тимур</t>
  </si>
  <si>
    <t>Акименко Дэн</t>
  </si>
  <si>
    <t>Таганрог</t>
  </si>
  <si>
    <t>Акимов Максим</t>
  </si>
  <si>
    <t>Акиньшин Денис</t>
  </si>
  <si>
    <t>Каневская  Красн. кр.</t>
  </si>
  <si>
    <t>Акопян Микаэль</t>
  </si>
  <si>
    <t>Зверево  Рост.обл.</t>
  </si>
  <si>
    <t>Аксельрод Денис</t>
  </si>
  <si>
    <t>Аксенов Виктор</t>
  </si>
  <si>
    <t>Аксенов Николай</t>
  </si>
  <si>
    <t>Аксиненко Егор</t>
  </si>
  <si>
    <t>Александров Александр</t>
  </si>
  <si>
    <t>Альметьевск</t>
  </si>
  <si>
    <t>Александров Владимир</t>
  </si>
  <si>
    <t>Алексеевск  Тат.</t>
  </si>
  <si>
    <t>Александров Михаил</t>
  </si>
  <si>
    <t>Александров Эрнест</t>
  </si>
  <si>
    <t>Алексеев Андрей</t>
  </si>
  <si>
    <t>Алексеенков Игорь</t>
  </si>
  <si>
    <t>Темкино  Смол.о.</t>
  </si>
  <si>
    <t>Ростов Великий</t>
  </si>
  <si>
    <t>Алешин Никита</t>
  </si>
  <si>
    <t>Дзержинск</t>
  </si>
  <si>
    <t>Алиев Олег</t>
  </si>
  <si>
    <t>Алиментьев Егор</t>
  </si>
  <si>
    <t>Алмерзаев Расул</t>
  </si>
  <si>
    <t>Междуреченский  ХМАО</t>
  </si>
  <si>
    <t>Ананьев Владислав</t>
  </si>
  <si>
    <t>Андреев Артем</t>
  </si>
  <si>
    <t>Андреянов Александр</t>
  </si>
  <si>
    <t>Андриянов Роман</t>
  </si>
  <si>
    <t>Андронов Вячеслав</t>
  </si>
  <si>
    <t>Аникеев Станислав</t>
  </si>
  <si>
    <t>Красноярск</t>
  </si>
  <si>
    <t>Анисимов Семен</t>
  </si>
  <si>
    <t>Анищенко Сергей</t>
  </si>
  <si>
    <t>Абакан</t>
  </si>
  <si>
    <t>Анохин Дмитрий</t>
  </si>
  <si>
    <t>Анохин Илья</t>
  </si>
  <si>
    <t>Анохин Никита</t>
  </si>
  <si>
    <t>Антипов Артем</t>
  </si>
  <si>
    <t>Антонов Максим</t>
  </si>
  <si>
    <t>Ануфриев Владимир</t>
  </si>
  <si>
    <t>Сочи</t>
  </si>
  <si>
    <t>Набережные Челны</t>
  </si>
  <si>
    <t>Арстанбек Доли</t>
  </si>
  <si>
    <t>Артемов Евгений</t>
  </si>
  <si>
    <t>Артем  Прим.кр.</t>
  </si>
  <si>
    <t>Аседов Гаджибаба</t>
  </si>
  <si>
    <t>Асрединов Илья</t>
  </si>
  <si>
    <t>Афанасьев Никита</t>
  </si>
  <si>
    <t>Шипуново  Алт. кр.</t>
  </si>
  <si>
    <t>Ахмадуллин Азат</t>
  </si>
  <si>
    <t>Ахмеджанов Руслан</t>
  </si>
  <si>
    <t>Сосновый Бор</t>
  </si>
  <si>
    <t>Ахметсафин Дамир</t>
  </si>
  <si>
    <t>Аюров Дондок</t>
  </si>
  <si>
    <t>Агинск  АБАО</t>
  </si>
  <si>
    <t>Славянск-на-Кубани</t>
  </si>
  <si>
    <t>Бабков Илья</t>
  </si>
  <si>
    <t>Шелехов  Ирк.о.</t>
  </si>
  <si>
    <t>Бабушкин Константин</t>
  </si>
  <si>
    <t>Бадмаев Александр</t>
  </si>
  <si>
    <t>Кяхта  Бурятия</t>
  </si>
  <si>
    <t>Бадмаев Баир</t>
  </si>
  <si>
    <t>Элиста</t>
  </si>
  <si>
    <t>Баженов Иван</t>
  </si>
  <si>
    <t>Базунов Егор</t>
  </si>
  <si>
    <t>Королев</t>
  </si>
  <si>
    <t>Байбуз Роман</t>
  </si>
  <si>
    <t>Тимашевск  Кр.кр.</t>
  </si>
  <si>
    <t>Байкалов Аскер</t>
  </si>
  <si>
    <t>Байсагуров Руслан</t>
  </si>
  <si>
    <t>Ставрополь</t>
  </si>
  <si>
    <t>Балабанов Вячеслав</t>
  </si>
  <si>
    <t>Баланчук Николай</t>
  </si>
  <si>
    <t>Балинов Максим</t>
  </si>
  <si>
    <t>Семенов  Ниж.обл.</t>
  </si>
  <si>
    <t>Можга</t>
  </si>
  <si>
    <t>Балов Сайдин</t>
  </si>
  <si>
    <t>Черкесск  РКЧ</t>
  </si>
  <si>
    <t>Балыбердин Александр</t>
  </si>
  <si>
    <t>Балыкин Дмитрий</t>
  </si>
  <si>
    <t>Комсомольск-на-Амуре</t>
  </si>
  <si>
    <t>Бандурин Михаил</t>
  </si>
  <si>
    <t>Банько Семен</t>
  </si>
  <si>
    <t>Муравленко  ЯНАО</t>
  </si>
  <si>
    <t>Баранов Александр</t>
  </si>
  <si>
    <t>Баранов Андрей</t>
  </si>
  <si>
    <t>Новопокровская  Краснодар.кр.</t>
  </si>
  <si>
    <t>Баранов Вениамин</t>
  </si>
  <si>
    <t>Гатчина  Лен.о.</t>
  </si>
  <si>
    <t>Барашов Егор</t>
  </si>
  <si>
    <t>Биробиджан</t>
  </si>
  <si>
    <t>Барсуков Иван</t>
  </si>
  <si>
    <t>Баталов Анатолий</t>
  </si>
  <si>
    <t>Батыров Алексей</t>
  </si>
  <si>
    <t>Находка</t>
  </si>
  <si>
    <t>Бахтин Владислав</t>
  </si>
  <si>
    <t>Воткинск</t>
  </si>
  <si>
    <t>Бахтияров Александр</t>
  </si>
  <si>
    <t>Адлер</t>
  </si>
  <si>
    <t>Безрукавый Лев</t>
  </si>
  <si>
    <t>Безруков Денис</t>
  </si>
  <si>
    <t>Сухум</t>
  </si>
  <si>
    <t>Бекулов Мухамед</t>
  </si>
  <si>
    <t>Нартан  КБР</t>
  </si>
  <si>
    <t>Белореченск  Кр.кр.</t>
  </si>
  <si>
    <t>Семибратово</t>
  </si>
  <si>
    <t>Белинский Игорь</t>
  </si>
  <si>
    <t>Белов Сергей</t>
  </si>
  <si>
    <t>Белугин Георгий</t>
  </si>
  <si>
    <t>Анапа</t>
  </si>
  <si>
    <t>Беляев Дмитрий</t>
  </si>
  <si>
    <t>Павловская  Кр.кр.</t>
  </si>
  <si>
    <t>Беляков Денис</t>
  </si>
  <si>
    <t>Бенчаров Тихон</t>
  </si>
  <si>
    <t>Хужир  Ирк. обл.</t>
  </si>
  <si>
    <t>Березуцкий Семен</t>
  </si>
  <si>
    <t>Апшеронск  Краснод.кр.</t>
  </si>
  <si>
    <t>Бескровный Евгений</t>
  </si>
  <si>
    <t>Беспалов Кирилл</t>
  </si>
  <si>
    <t>Беспоясов Евгений</t>
  </si>
  <si>
    <t>Бикбаев А</t>
  </si>
  <si>
    <t>Бирюков Артем</t>
  </si>
  <si>
    <t>Бирюков Егор</t>
  </si>
  <si>
    <t>Бирюков Илья</t>
  </si>
  <si>
    <t>Блинкин Кирилл</t>
  </si>
  <si>
    <t>Блюхер Герман</t>
  </si>
  <si>
    <t>Выкса  Ниж.о.</t>
  </si>
  <si>
    <t>Богодухов Илья</t>
  </si>
  <si>
    <t>Богомягков Арсений</t>
  </si>
  <si>
    <t>Богорад Максим</t>
  </si>
  <si>
    <t>Уссурийск</t>
  </si>
  <si>
    <t>Бойцов Антон</t>
  </si>
  <si>
    <t>Боков Максим</t>
  </si>
  <si>
    <t>Болиев Астемир</t>
  </si>
  <si>
    <t>Кореновск  Красн.кр.</t>
  </si>
  <si>
    <t>Большаков Никита</t>
  </si>
  <si>
    <t>Бондарев Денис</t>
  </si>
  <si>
    <t>Бондарев Кирилл</t>
  </si>
  <si>
    <t>Бондурин Михаил</t>
  </si>
  <si>
    <t>Зеленоград  М.о.</t>
  </si>
  <si>
    <t>Борзаев Дмитрий</t>
  </si>
  <si>
    <t>Борисов Дмитрий</t>
  </si>
  <si>
    <t>Боровихин Игорь</t>
  </si>
  <si>
    <t>Боровушкин Владислав</t>
  </si>
  <si>
    <t>Борок Михаил</t>
  </si>
  <si>
    <t>Бочкарев Иван</t>
  </si>
  <si>
    <t>Кстово</t>
  </si>
  <si>
    <t>Бояров Мижит</t>
  </si>
  <si>
    <t>Брагин Данил</t>
  </si>
  <si>
    <t>Любим</t>
  </si>
  <si>
    <t>Брек Герман</t>
  </si>
  <si>
    <t>Новый Уренгой  ЯНАО</t>
  </si>
  <si>
    <t>Бубнов Юрий</t>
  </si>
  <si>
    <t>Будченко Дмитрий</t>
  </si>
  <si>
    <t>Будяк Павел</t>
  </si>
  <si>
    <t>Булдаков Евгений</t>
  </si>
  <si>
    <t>Булыгин Илья</t>
  </si>
  <si>
    <t>Бунин Михаил</t>
  </si>
  <si>
    <t>Буравцов Михаил</t>
  </si>
  <si>
    <t>Губкин  Белгор.обл.</t>
  </si>
  <si>
    <t>Сарапул</t>
  </si>
  <si>
    <t>Буриков Артем</t>
  </si>
  <si>
    <t>Сургут</t>
  </si>
  <si>
    <t>Бурназян Артур</t>
  </si>
  <si>
    <t>Бутаков Данил</t>
  </si>
  <si>
    <t>Бутенко Арсений</t>
  </si>
  <si>
    <t>Буфетов Роман</t>
  </si>
  <si>
    <t>Волосово  Лен.о.</t>
  </si>
  <si>
    <t>Бухаров Олег</t>
  </si>
  <si>
    <t>Бушуев Александр</t>
  </si>
  <si>
    <t>Быков Александр</t>
  </si>
  <si>
    <t>Вагенр Данил</t>
  </si>
  <si>
    <t>Вайнер Александр</t>
  </si>
  <si>
    <t>Вайнштейн Николай</t>
  </si>
  <si>
    <t>Вакуленко Илья</t>
  </si>
  <si>
    <t>Всеволжск  Ленингр.обл.</t>
  </si>
  <si>
    <t>Валик Илья</t>
  </si>
  <si>
    <t>Тайшет  Ирк.о.</t>
  </si>
  <si>
    <t>Варавко Данил</t>
  </si>
  <si>
    <t>Васильев Александр</t>
  </si>
  <si>
    <t>Васильев Артем</t>
  </si>
  <si>
    <t>Дальнегорск</t>
  </si>
  <si>
    <t>Луга  Лен.о.</t>
  </si>
  <si>
    <t>Выборг</t>
  </si>
  <si>
    <t>Васюков Владимир</t>
  </si>
  <si>
    <t>Ватагин Денис</t>
  </si>
  <si>
    <t>Ваулин Константин</t>
  </si>
  <si>
    <t>Верас Никита</t>
  </si>
  <si>
    <t>Ветров Максим</t>
  </si>
  <si>
    <t>Видов Никита</t>
  </si>
  <si>
    <t>Викулов Максим</t>
  </si>
  <si>
    <t>Тверь</t>
  </si>
  <si>
    <t>Висалгереев Хабиб</t>
  </si>
  <si>
    <t>Кизилюрт  Дагест.</t>
  </si>
  <si>
    <t>Вишняков Михаил</t>
  </si>
  <si>
    <t>Власков Марк</t>
  </si>
  <si>
    <t>Власов Максим</t>
  </si>
  <si>
    <t>Власов Павел</t>
  </si>
  <si>
    <t>Мичуринск  Тамб.обл.</t>
  </si>
  <si>
    <t>Власов Роман</t>
  </si>
  <si>
    <t>Войтеховский Никита</t>
  </si>
  <si>
    <t>Волин Лев</t>
  </si>
  <si>
    <t>Волков Алексей</t>
  </si>
  <si>
    <t>Шлиссельбург  Лен.о.</t>
  </si>
  <si>
    <t>Волков Иван</t>
  </si>
  <si>
    <t>Кировск  Лен.обл.</t>
  </si>
  <si>
    <t>Волков Сергей</t>
  </si>
  <si>
    <t>Волощук Артем</t>
  </si>
  <si>
    <t>Волощук Владислав</t>
  </si>
  <si>
    <t>Воробьинов Данил</t>
  </si>
  <si>
    <t>Воронов Илья</t>
  </si>
  <si>
    <t>Воронцов Никита</t>
  </si>
  <si>
    <t>Воропаев Илья</t>
  </si>
  <si>
    <t>Вотинцев Дмитрий</t>
  </si>
  <si>
    <t>Врублевский Антон</t>
  </si>
  <si>
    <t>Вухка Максим</t>
  </si>
  <si>
    <t>Выборнов Владимир</t>
  </si>
  <si>
    <t>Выборнов Даниил</t>
  </si>
  <si>
    <t>Вьюнов Владислав</t>
  </si>
  <si>
    <t>Гаврилов Иван</t>
  </si>
  <si>
    <t>Гаврилов Павел</t>
  </si>
  <si>
    <t>Гагаринов Дмитрий</t>
  </si>
  <si>
    <t>Гадзецкий Дмитрий</t>
  </si>
  <si>
    <t>Гайсин Ислам</t>
  </si>
  <si>
    <t>Галеев Руслан</t>
  </si>
  <si>
    <t>Галежа Артем</t>
  </si>
  <si>
    <t>Галиев Вадим</t>
  </si>
  <si>
    <t>Сатка  Чел.о.</t>
  </si>
  <si>
    <t>Галиев Данияр</t>
  </si>
  <si>
    <t>Галиев Руслан</t>
  </si>
  <si>
    <t>Федотово  Волог. обл.</t>
  </si>
  <si>
    <t>Галикаев Руслан</t>
  </si>
  <si>
    <t>Галинов Семен</t>
  </si>
  <si>
    <t>Галинский Дмитрий</t>
  </si>
  <si>
    <t>Галицкий Павел</t>
  </si>
  <si>
    <t>Галицкий Петр</t>
  </si>
  <si>
    <t>Галкин Владимир</t>
  </si>
  <si>
    <t>Галкин Дмитрий</t>
  </si>
  <si>
    <t>Сергиев Посад  М.о.</t>
  </si>
  <si>
    <t>Ганич Дмитрий</t>
  </si>
  <si>
    <t>Гаппаров Артур</t>
  </si>
  <si>
    <t>Гаранин Денис</t>
  </si>
  <si>
    <t>Сертолово  Лен.обл.</t>
  </si>
  <si>
    <t>Гашин Денис</t>
  </si>
  <si>
    <t>Мосренген</t>
  </si>
  <si>
    <t>ГЕНИН Валентин</t>
  </si>
  <si>
    <t>Минск  Бел.</t>
  </si>
  <si>
    <t>Герасев Михаил</t>
  </si>
  <si>
    <t>Благовещенск  Баш.</t>
  </si>
  <si>
    <t>Герасимов Никита</t>
  </si>
  <si>
    <t>Гераськин Владимир</t>
  </si>
  <si>
    <t>Гериев Эльмуразан</t>
  </si>
  <si>
    <t>Герштейн Андрей</t>
  </si>
  <si>
    <t>Гетман Ян</t>
  </si>
  <si>
    <t>Серпухов</t>
  </si>
  <si>
    <t>Вязьма  См.обл.</t>
  </si>
  <si>
    <t>Гилязов Адель</t>
  </si>
  <si>
    <t>Гиниатуллин Артур</t>
  </si>
  <si>
    <t>Гиренко Александр</t>
  </si>
  <si>
    <t>Гладилин Максим</t>
  </si>
  <si>
    <t>Глухих Семен</t>
  </si>
  <si>
    <t>Глушок Вадим</t>
  </si>
  <si>
    <t>Гнездюк Александр</t>
  </si>
  <si>
    <t>Говоров Артем</t>
  </si>
  <si>
    <t>Говорухин Антон</t>
  </si>
  <si>
    <t>Годенов Егор</t>
  </si>
  <si>
    <t>Темрюк  Краснод.кр.</t>
  </si>
  <si>
    <t>Голиков Даниил</t>
  </si>
  <si>
    <t>Голиницкий Николай</t>
  </si>
  <si>
    <t>Голуб Иван</t>
  </si>
  <si>
    <t>Голубев Евгений</t>
  </si>
  <si>
    <t>Гондусов Денис</t>
  </si>
  <si>
    <t>Гончаров Федор</t>
  </si>
  <si>
    <t>Горбачев Илья</t>
  </si>
  <si>
    <t>Горбик Глеб</t>
  </si>
  <si>
    <t>Заводской  Прим. кр.</t>
  </si>
  <si>
    <t>Красноусольск  Баш.</t>
  </si>
  <si>
    <t>Гордеев Максим</t>
  </si>
  <si>
    <t>Гордеев Михаил</t>
  </si>
  <si>
    <t>Подольск</t>
  </si>
  <si>
    <t>Гордеев Юрий</t>
  </si>
  <si>
    <t>Горев Кирилл</t>
  </si>
  <si>
    <t>Горин Андрей</t>
  </si>
  <si>
    <t>Горлов Николай</t>
  </si>
  <si>
    <t>Горлов Роберт</t>
  </si>
  <si>
    <t>Горский Никита</t>
  </si>
  <si>
    <t>Тетюши  Тат.</t>
  </si>
  <si>
    <t>Грачев Данил</t>
  </si>
  <si>
    <t>Григорьев Артем</t>
  </si>
  <si>
    <t>Григорьев Глеб</t>
  </si>
  <si>
    <t>Григорьев Денис</t>
  </si>
  <si>
    <t>Григорьев Дмитрий</t>
  </si>
  <si>
    <t>Григорьев Николай</t>
  </si>
  <si>
    <t>Григорьев Роман</t>
  </si>
  <si>
    <t>Котлас</t>
  </si>
  <si>
    <t>Гринев Иван</t>
  </si>
  <si>
    <t>Гриненко Даниил</t>
  </si>
  <si>
    <t>Гритчин Кирилл</t>
  </si>
  <si>
    <t>Грицюк Павел</t>
  </si>
  <si>
    <t>Гришин Валерий</t>
  </si>
  <si>
    <t>Гришин Василий</t>
  </si>
  <si>
    <t>Гришин Максим</t>
  </si>
  <si>
    <t>Саранск</t>
  </si>
  <si>
    <t>Грозовский Петр</t>
  </si>
  <si>
    <t>Громович Андрей</t>
  </si>
  <si>
    <t>Грудинин Андрей</t>
  </si>
  <si>
    <t>Олха  Ирк. обл.</t>
  </si>
  <si>
    <t>Грязнов Никита</t>
  </si>
  <si>
    <t>Губе Егор</t>
  </si>
  <si>
    <t>Гудименко Александр</t>
  </si>
  <si>
    <t>Мытищи</t>
  </si>
  <si>
    <t>Гузоев Асланбек</t>
  </si>
  <si>
    <t>Ростов-на-Дону</t>
  </si>
  <si>
    <t>Гулий Кирилл</t>
  </si>
  <si>
    <t>Гура Михаил</t>
  </si>
  <si>
    <t>Гурфов Артур</t>
  </si>
  <si>
    <t>Гурьев Артем</t>
  </si>
  <si>
    <t>Гурьянов Андрей</t>
  </si>
  <si>
    <t>Гусев Алексей</t>
  </si>
  <si>
    <t>Гусейнов Раиф</t>
  </si>
  <si>
    <t>Гутников Максим</t>
  </si>
  <si>
    <t>Гущин Алексей</t>
  </si>
  <si>
    <t>Гымалтдинов Ринат</t>
  </si>
  <si>
    <t>Давиденко Егор</t>
  </si>
  <si>
    <t>Давыдов Дмитрий</t>
  </si>
  <si>
    <t>Дагиров Миджит</t>
  </si>
  <si>
    <t>Улан-Удэ</t>
  </si>
  <si>
    <t>Данилейко Вячеслав</t>
  </si>
  <si>
    <t>Даньшин Илья</t>
  </si>
  <si>
    <t>Даов Тамерлан</t>
  </si>
  <si>
    <t>ДАУГЕРДАС Эдвин</t>
  </si>
  <si>
    <t>Вильнюс</t>
  </si>
  <si>
    <t>Дворядкин Даниил</t>
  </si>
  <si>
    <t>Дворядкин Игорь</t>
  </si>
  <si>
    <t>Дегтярев Дмитрий</t>
  </si>
  <si>
    <t>Дегтярев Ярослав</t>
  </si>
  <si>
    <t>Дедков Олег</t>
  </si>
  <si>
    <t>Дежиц Кирилл</t>
  </si>
  <si>
    <t>Дейтер Павел</t>
  </si>
  <si>
    <t>Декабрьский Игорь</t>
  </si>
  <si>
    <t>Деменев Дмитрий</t>
  </si>
  <si>
    <t>Александровск  Перм.кр.</t>
  </si>
  <si>
    <t>Демидов Тимофей</t>
  </si>
  <si>
    <t>Нерюнгри</t>
  </si>
  <si>
    <t>Денисов Степан</t>
  </si>
  <si>
    <t>Мокшан</t>
  </si>
  <si>
    <t>Детин Александр</t>
  </si>
  <si>
    <t>Джабаев Кирилл</t>
  </si>
  <si>
    <t>Дзуганов Анатолий</t>
  </si>
  <si>
    <t>Дзыба Юрий</t>
  </si>
  <si>
    <t>Дианов Богдан</t>
  </si>
  <si>
    <t>Диденко Артем</t>
  </si>
  <si>
    <t>Дикарев Никита</t>
  </si>
  <si>
    <t>Динисенко Тимофей</t>
  </si>
  <si>
    <t>Динмухаметов Ильгиз</t>
  </si>
  <si>
    <t>Динмухаметов Ильнур</t>
  </si>
  <si>
    <t>Дитятев Даниил</t>
  </si>
  <si>
    <t>Дмитриев Юрий</t>
  </si>
  <si>
    <t>Дмитров Никита</t>
  </si>
  <si>
    <t>Добротворский Алексей</t>
  </si>
  <si>
    <t>Добротворский Антон</t>
  </si>
  <si>
    <t>ДОВНАРОВИЧ Павел</t>
  </si>
  <si>
    <t>Долбилин Степан</t>
  </si>
  <si>
    <t>Зуевка  Киров.обл.</t>
  </si>
  <si>
    <t>Долгин Денис</t>
  </si>
  <si>
    <t>Долматов Кирилл</t>
  </si>
  <si>
    <t>Доровской Алексей</t>
  </si>
  <si>
    <t>Доровской Сергей</t>
  </si>
  <si>
    <t>Дорожкин Даниил</t>
  </si>
  <si>
    <t>Дорожкин Иван</t>
  </si>
  <si>
    <t>Дорофеев Михаил</t>
  </si>
  <si>
    <t>Дремин Михаил</t>
  </si>
  <si>
    <t>Дробышев Владимир</t>
  </si>
  <si>
    <t>Дроздов Владислав</t>
  </si>
  <si>
    <t>Дроздов Даниил</t>
  </si>
  <si>
    <t>Друх Радомир</t>
  </si>
  <si>
    <t>Дубина Владимир</t>
  </si>
  <si>
    <t>Дубков Никита</t>
  </si>
  <si>
    <t>Дубровский Александр</t>
  </si>
  <si>
    <t>Дынин Александр</t>
  </si>
  <si>
    <t>Евдокимов Егор</t>
  </si>
  <si>
    <t>Евдокимов Павел</t>
  </si>
  <si>
    <t>Евланов Илья</t>
  </si>
  <si>
    <t>Евстафьев Михаил</t>
  </si>
  <si>
    <t>Егенбаев Мурад</t>
  </si>
  <si>
    <t>Егиазарян Герман</t>
  </si>
  <si>
    <t>Егоров Павел</t>
  </si>
  <si>
    <t>Егоров Семен</t>
  </si>
  <si>
    <t>Егошин Дмитрий</t>
  </si>
  <si>
    <t>Егрищин Матвей</t>
  </si>
  <si>
    <t>Еленич Витомир</t>
  </si>
  <si>
    <t>Елизарьев Георгий</t>
  </si>
  <si>
    <t>Ельчуев Элвин</t>
  </si>
  <si>
    <t>Ендылетов Давид</t>
  </si>
  <si>
    <t>Еремеев Дмитрий</t>
  </si>
  <si>
    <t>Еремин Валентин</t>
  </si>
  <si>
    <t>Ермаков Дмитрий</t>
  </si>
  <si>
    <t>Домодедово  М.о.</t>
  </si>
  <si>
    <t>Ермилов Роман</t>
  </si>
  <si>
    <t>Ермолаев Матвей</t>
  </si>
  <si>
    <t>Ершов Вадим</t>
  </si>
  <si>
    <t>Ефименко Егор</t>
  </si>
  <si>
    <t>Ефимов Ефим</t>
  </si>
  <si>
    <t>Ангарск  Ирк.о.</t>
  </si>
  <si>
    <t>Ефимов Никита</t>
  </si>
  <si>
    <t>Ефремов Алексей</t>
  </si>
  <si>
    <t>Братск</t>
  </si>
  <si>
    <t>Жаргалов Никита</t>
  </si>
  <si>
    <t>Жаринов Алексей</t>
  </si>
  <si>
    <t>Бердск  Новос.обл.</t>
  </si>
  <si>
    <t>Жаров Максим</t>
  </si>
  <si>
    <t>Жданов Максим</t>
  </si>
  <si>
    <t>Жекамухов Астемир</t>
  </si>
  <si>
    <t>Железняков Никита</t>
  </si>
  <si>
    <t>Нефтеюганск</t>
  </si>
  <si>
    <t>Желтиков Антон</t>
  </si>
  <si>
    <t>Жемпала Степан</t>
  </si>
  <si>
    <t>Женин Даниил</t>
  </si>
  <si>
    <t>Чусовой  Перм.кр.</t>
  </si>
  <si>
    <t>Жилкевич Николай</t>
  </si>
  <si>
    <t>Житников Максим</t>
  </si>
  <si>
    <t>Журавлев Александр</t>
  </si>
  <si>
    <t>Журавлев Кирилл</t>
  </si>
  <si>
    <t>Заболотников Вадим</t>
  </si>
  <si>
    <t>Забровский Владислав</t>
  </si>
  <si>
    <t>Забродин Никита</t>
  </si>
  <si>
    <t>Загородний Святослав</t>
  </si>
  <si>
    <t>Старый Оскол</t>
  </si>
  <si>
    <t>Новороссийск</t>
  </si>
  <si>
    <t>Загрош Денис</t>
  </si>
  <si>
    <t>Заднепровский Марлен</t>
  </si>
  <si>
    <t>Балаково</t>
  </si>
  <si>
    <t>Зайцев Вадим</t>
  </si>
  <si>
    <t>Залесин Даниил</t>
  </si>
  <si>
    <t>Занин Дмитрий</t>
  </si>
  <si>
    <t>Заровнятых Иван</t>
  </si>
  <si>
    <t>Зафигурский Петр</t>
  </si>
  <si>
    <t>Захариков Иван</t>
  </si>
  <si>
    <t>Захариков Петр</t>
  </si>
  <si>
    <t>Захаров Егор</t>
  </si>
  <si>
    <t>Звездин Данил</t>
  </si>
  <si>
    <t>Здобин Артур</t>
  </si>
  <si>
    <t>Зенин Егор</t>
  </si>
  <si>
    <t>Зенкин Дмитрий</t>
  </si>
  <si>
    <t>Зимирев Олег</t>
  </si>
  <si>
    <t>Золотарев Владислав</t>
  </si>
  <si>
    <t>Золотухин Александр</t>
  </si>
  <si>
    <t>Калач  Волг.обл.</t>
  </si>
  <si>
    <t>Зубко Виталий</t>
  </si>
  <si>
    <t>Зубков Никита</t>
  </si>
  <si>
    <t>Зубов Иван</t>
  </si>
  <si>
    <t>Зубов Никита</t>
  </si>
  <si>
    <t>Зуев Дмитрий</t>
  </si>
  <si>
    <t>Зыкин Владимир</t>
  </si>
  <si>
    <t>Иваненко Вячеслав</t>
  </si>
  <si>
    <t>Иванкин Константин</t>
  </si>
  <si>
    <t>Иванов Андрей</t>
  </si>
  <si>
    <t>Сладковский р-он  Тюм. обл.</t>
  </si>
  <si>
    <t>Иванов Даниил</t>
  </si>
  <si>
    <t>Иванов Кирилл</t>
  </si>
  <si>
    <t>Роза-Коркинская  Чел.обл.</t>
  </si>
  <si>
    <t>Иванов Никита</t>
  </si>
  <si>
    <t>Иванов Николай</t>
  </si>
  <si>
    <t>Иванчин Кирилл</t>
  </si>
  <si>
    <t>Иванько Антон</t>
  </si>
  <si>
    <t>Ивлев Арсений</t>
  </si>
  <si>
    <t>Игнатов Константин</t>
  </si>
  <si>
    <t>Игнатов Сергей</t>
  </si>
  <si>
    <t>Игнатович Данил</t>
  </si>
  <si>
    <t>Илларионов Иван</t>
  </si>
  <si>
    <t>Ильин Андрей</t>
  </si>
  <si>
    <t>Ильин Владислав</t>
  </si>
  <si>
    <t>Ильиных Никита</t>
  </si>
  <si>
    <t>Илясов Роман</t>
  </si>
  <si>
    <t>Базарный Карабулак</t>
  </si>
  <si>
    <t>Исаев Владислав</t>
  </si>
  <si>
    <t>Исаев Тимофей</t>
  </si>
  <si>
    <t>Исайкин Игорь</t>
  </si>
  <si>
    <t>Балабаново  Калуж.о.</t>
  </si>
  <si>
    <t>Исанов Герман</t>
  </si>
  <si>
    <t>Искандеров Азат</t>
  </si>
  <si>
    <t>Искандеров Ислам</t>
  </si>
  <si>
    <t>Итунин Дмитрий</t>
  </si>
  <si>
    <t>Ищенко Сергей</t>
  </si>
  <si>
    <t>Кабуркин Максим</t>
  </si>
  <si>
    <t>Кадушкин Виталий</t>
  </si>
  <si>
    <t>Казаков Владислав</t>
  </si>
  <si>
    <t>Казаков Леонид</t>
  </si>
  <si>
    <t>Казенас Евгений</t>
  </si>
  <si>
    <t>Казикин Тимофей</t>
  </si>
  <si>
    <t>Кайков Александр</t>
  </si>
  <si>
    <t>Калачев Тимофей</t>
  </si>
  <si>
    <t>Днепропетровск  Укр.</t>
  </si>
  <si>
    <t>Календжан Даниил</t>
  </si>
  <si>
    <t>Туапсе</t>
  </si>
  <si>
    <t>Калимуллин Камиль</t>
  </si>
  <si>
    <t>Калинчиков Егор</t>
  </si>
  <si>
    <t>Камсков Евгений</t>
  </si>
  <si>
    <t>Камсков Сергей</t>
  </si>
  <si>
    <t>Камышников Павел</t>
  </si>
  <si>
    <t>Канашин Тимофей</t>
  </si>
  <si>
    <t>Кандыбин Виктор</t>
  </si>
  <si>
    <t>Канкулов С</t>
  </si>
  <si>
    <t>Канторович Владислав</t>
  </si>
  <si>
    <t>Капкаев Алексей</t>
  </si>
  <si>
    <t>Карамышев Дмитрий</t>
  </si>
  <si>
    <t>Карамышев Михаил</t>
  </si>
  <si>
    <t>Карпинский Филипп</t>
  </si>
  <si>
    <t>Картошкин Андрей</t>
  </si>
  <si>
    <t>КАРЧАВА Ренат</t>
  </si>
  <si>
    <t>КАРЧИНСКИЙ Илья</t>
  </si>
  <si>
    <t>Касутин Василий</t>
  </si>
  <si>
    <t>Украина</t>
  </si>
  <si>
    <t>Катков Илья</t>
  </si>
  <si>
    <t>Каурцев Денис</t>
  </si>
  <si>
    <t>Цимлянск  Рост.обл.</t>
  </si>
  <si>
    <t>Кацегоров Андрей</t>
  </si>
  <si>
    <t>Кацман Лев</t>
  </si>
  <si>
    <t>Кашин Максим</t>
  </si>
  <si>
    <t>Кохма  Иван.обл.</t>
  </si>
  <si>
    <t>Каюмов Булат</t>
  </si>
  <si>
    <t>Кукмор  Тат</t>
  </si>
  <si>
    <t>Кекконен Вадим</t>
  </si>
  <si>
    <t>Ким Даниил</t>
  </si>
  <si>
    <t>В. Новгород</t>
  </si>
  <si>
    <t>Ким Максим</t>
  </si>
  <si>
    <t>Киреев Дмитрий</t>
  </si>
  <si>
    <t>Кириллов Михаил</t>
  </si>
  <si>
    <t>Кириллов Олег</t>
  </si>
  <si>
    <t>Кириченков Антон</t>
  </si>
  <si>
    <t>Кирякин Даниил</t>
  </si>
  <si>
    <t>Киселев Виктор</t>
  </si>
  <si>
    <t>Киселев Кирилл</t>
  </si>
  <si>
    <t>Кистенев Никита</t>
  </si>
  <si>
    <t>Клементьев Роман</t>
  </si>
  <si>
    <t>Кленин Андрей</t>
  </si>
  <si>
    <t>Клименко Николай</t>
  </si>
  <si>
    <t>Климин Даниил</t>
  </si>
  <si>
    <t>Клыков Артем</t>
  </si>
  <si>
    <t>Клюкин Артем</t>
  </si>
  <si>
    <t>Князьков Петр</t>
  </si>
  <si>
    <t>Ковалев Алексей</t>
  </si>
  <si>
    <t>Палласовский р-он  Волгогр.обл.</t>
  </si>
  <si>
    <t>Ковалевский ?</t>
  </si>
  <si>
    <t>Коваль Дмитрий</t>
  </si>
  <si>
    <t>Ковальков Илья</t>
  </si>
  <si>
    <t>Ковальчук Антон</t>
  </si>
  <si>
    <t>Ковшов Илья</t>
  </si>
  <si>
    <t>Кожевников Андрей</t>
  </si>
  <si>
    <t>Козин Евгений</t>
  </si>
  <si>
    <t>Козлов Дмитрий</t>
  </si>
  <si>
    <t>Козырев Никита</t>
  </si>
  <si>
    <t>Козырь Даниил</t>
  </si>
  <si>
    <t>Козырь Денис</t>
  </si>
  <si>
    <t>Козьминых Александр</t>
  </si>
  <si>
    <t>Кокозов Дмитрий</t>
  </si>
  <si>
    <t>Кокорев Данила</t>
  </si>
  <si>
    <t>Кокорин Артем</t>
  </si>
  <si>
    <t>Колганов Виктор</t>
  </si>
  <si>
    <t>Колегов Вячеслав</t>
  </si>
  <si>
    <t>Новоселово  Красноярск.кр.</t>
  </si>
  <si>
    <t>Колесников Виктор</t>
  </si>
  <si>
    <t>Колмаков Роман</t>
  </si>
  <si>
    <t>Колодяжный Александр</t>
  </si>
  <si>
    <t>Колотушкин Даниил</t>
  </si>
  <si>
    <t>Комаровский Алексей</t>
  </si>
  <si>
    <t>Комков Дмитрий</t>
  </si>
  <si>
    <t>Кондратенков Артем</t>
  </si>
  <si>
    <t>Кондрахин Антон</t>
  </si>
  <si>
    <t>Кондрашов Леонид</t>
  </si>
  <si>
    <t>Конов Ислам</t>
  </si>
  <si>
    <t>Коновалов Вячеслав</t>
  </si>
  <si>
    <t>Коновалов Максим</t>
  </si>
  <si>
    <t>Шахты  Рост.о.</t>
  </si>
  <si>
    <t>Коновалов Роман</t>
  </si>
  <si>
    <t>КОНОВАЛОВ Сергей</t>
  </si>
  <si>
    <t>Кононов Александр</t>
  </si>
  <si>
    <t>Кононов Алексей</t>
  </si>
  <si>
    <t>Копысов Артем</t>
  </si>
  <si>
    <t>Корнеев Аркадий</t>
  </si>
  <si>
    <t>Корниенко Виталий</t>
  </si>
  <si>
    <t>Коробейников Данил</t>
  </si>
  <si>
    <t>Корокозов Владислав</t>
  </si>
  <si>
    <t>Королев Антон</t>
  </si>
  <si>
    <t>Королев Владимир</t>
  </si>
  <si>
    <t>Коротков Данил</t>
  </si>
  <si>
    <t>Коротыгин Иван</t>
  </si>
  <si>
    <t>Коротяев Иван</t>
  </si>
  <si>
    <t>КОРЧИНСКИЙ Илья</t>
  </si>
  <si>
    <t>Косарев Денис</t>
  </si>
  <si>
    <t>Космач Илья</t>
  </si>
  <si>
    <t>Косов Артемий</t>
  </si>
  <si>
    <t>Косткин Денис</t>
  </si>
  <si>
    <t>Костриков Ярослав</t>
  </si>
  <si>
    <t>Котенев Максим</t>
  </si>
  <si>
    <t>Котиков Василий</t>
  </si>
  <si>
    <t>Котлов Никита</t>
  </si>
  <si>
    <t>Котов Владислав</t>
  </si>
  <si>
    <t>Кочешков Никита</t>
  </si>
  <si>
    <t>Кошелев Евгений</t>
  </si>
  <si>
    <t>Кошкин Егор</t>
  </si>
  <si>
    <t>Кравец Даниил</t>
  </si>
  <si>
    <t>Кравцов Кирилл</t>
  </si>
  <si>
    <t>Кравчак Максим</t>
  </si>
  <si>
    <t>Кравчук Владислав</t>
  </si>
  <si>
    <t>Кравчук Илья</t>
  </si>
  <si>
    <t>Крайнев Александр</t>
  </si>
  <si>
    <t>Краморенко Алексей</t>
  </si>
  <si>
    <t>Крапивин Григорий</t>
  </si>
  <si>
    <t>Красковский Александр</t>
  </si>
  <si>
    <t>Краснов Мирослав</t>
  </si>
  <si>
    <t>Красноперов Андрей</t>
  </si>
  <si>
    <t>Краснощеков Арсен</t>
  </si>
  <si>
    <t>Крецул Артем</t>
  </si>
  <si>
    <t>КРОШЕНКО Денис</t>
  </si>
  <si>
    <t>Крошилин Иван</t>
  </si>
  <si>
    <t>Крутев Кирилл</t>
  </si>
  <si>
    <t>Крутов Илья</t>
  </si>
  <si>
    <t>Крылов Илья</t>
  </si>
  <si>
    <t>Крыхтин Арсений</t>
  </si>
  <si>
    <t>Кубарев Павел</t>
  </si>
  <si>
    <t>Кудинов Анатолий</t>
  </si>
  <si>
    <t>Выселки  Краснд.кр.</t>
  </si>
  <si>
    <t>Кудрявцев Александр</t>
  </si>
  <si>
    <t>Кудрявцев Георгий</t>
  </si>
  <si>
    <t>Кудрявцев Данила</t>
  </si>
  <si>
    <t>Кудрявцев Кирилл</t>
  </si>
  <si>
    <t>Кузманоски Кристиан</t>
  </si>
  <si>
    <t>Кузнецов Аркадий</t>
  </si>
  <si>
    <t>Кузнецов Георгий</t>
  </si>
  <si>
    <t>Кузнецов Данил</t>
  </si>
  <si>
    <t>Кузнецов Егор</t>
  </si>
  <si>
    <t>Кузнецов Никита</t>
  </si>
  <si>
    <t>Кузьмин Александр</t>
  </si>
  <si>
    <t>Куимов Михаил</t>
  </si>
  <si>
    <t>Кукушкин Дмитрий</t>
  </si>
  <si>
    <t>Кулагин Александр</t>
  </si>
  <si>
    <t>Кулида Даниил</t>
  </si>
  <si>
    <t>Кулинченко Дмитрий</t>
  </si>
  <si>
    <t>Нижний Ломов  Пен.обл.</t>
  </si>
  <si>
    <t>Кульков Алексей</t>
  </si>
  <si>
    <t>Кулясов Сергей</t>
  </si>
  <si>
    <t>Кумахов Софият</t>
  </si>
  <si>
    <t>Купин Николай</t>
  </si>
  <si>
    <t>Купов Залим</t>
  </si>
  <si>
    <t>Куприенко Владислав</t>
  </si>
  <si>
    <t>Купцов Марк</t>
  </si>
  <si>
    <t>Купчихин Артур</t>
  </si>
  <si>
    <t>Курбанов Александр</t>
  </si>
  <si>
    <t>Курбанов Артур</t>
  </si>
  <si>
    <t>Курбатов Игорь</t>
  </si>
  <si>
    <t>Курзанов Никита</t>
  </si>
  <si>
    <t>Куркин Дмитрий</t>
  </si>
  <si>
    <t>Курочкин Егор</t>
  </si>
  <si>
    <t>Курстанбеков Арлян</t>
  </si>
  <si>
    <t>Куртанбеков Арлиян</t>
  </si>
  <si>
    <t>Курчанов Дмитрий</t>
  </si>
  <si>
    <t>Кутафин Владимир</t>
  </si>
  <si>
    <t>Кутергин Леонид</t>
  </si>
  <si>
    <t>Кутилов Александр</t>
  </si>
  <si>
    <t>Куткин Даниил</t>
  </si>
  <si>
    <t>Кутнич Александр</t>
  </si>
  <si>
    <t>Куштейко Алексей</t>
  </si>
  <si>
    <t>Дмитров</t>
  </si>
  <si>
    <t>Лавров Олег</t>
  </si>
  <si>
    <t>Лагутин Владимир</t>
  </si>
  <si>
    <t>Лазарев Василий</t>
  </si>
  <si>
    <t>Лазаренко Андрей</t>
  </si>
  <si>
    <t>Лазаренко Федор</t>
  </si>
  <si>
    <t>Лапин Игорь</t>
  </si>
  <si>
    <t>Лапшинов Александр</t>
  </si>
  <si>
    <t>Ластов Иван</t>
  </si>
  <si>
    <t>Лашин Макарий</t>
  </si>
  <si>
    <t>Лебедев Александр</t>
  </si>
  <si>
    <t>Лебедев Владислав</t>
  </si>
  <si>
    <t>Хороль  Прим.кр.</t>
  </si>
  <si>
    <t>Левашов Георгий</t>
  </si>
  <si>
    <t>Левин Данил</t>
  </si>
  <si>
    <t>Лекомцев Алексей</t>
  </si>
  <si>
    <t>Долинск</t>
  </si>
  <si>
    <t>Леонтьев Илья</t>
  </si>
  <si>
    <t>Леханов Максим</t>
  </si>
  <si>
    <t>Лещенко Дмитрий</t>
  </si>
  <si>
    <t>Ли Константин</t>
  </si>
  <si>
    <t>Ли Максим</t>
  </si>
  <si>
    <t>Лимаренко Даниил</t>
  </si>
  <si>
    <t>Новосысоевка  Прим.кр.</t>
  </si>
  <si>
    <t>ЛИМОНОВ Антон</t>
  </si>
  <si>
    <t>Винница  Укр</t>
  </si>
  <si>
    <t>Линев Павел</t>
  </si>
  <si>
    <t>Лисицкий Андрей</t>
  </si>
  <si>
    <t>Лисицын Андрей</t>
  </si>
  <si>
    <t>Листратов Кирилл</t>
  </si>
  <si>
    <t>Лихторович Кирилл</t>
  </si>
  <si>
    <t>Личманов Дмитрий</t>
  </si>
  <si>
    <t>Лобан Никита</t>
  </si>
  <si>
    <t>Ловкис Никита</t>
  </si>
  <si>
    <t>Логачев Андрей</t>
  </si>
  <si>
    <t>Логинов Аркадий</t>
  </si>
  <si>
    <t>Ломасов Илья</t>
  </si>
  <si>
    <t>ЛОТТО Максим</t>
  </si>
  <si>
    <t>Хельсинки</t>
  </si>
  <si>
    <t>Лузин Александр</t>
  </si>
  <si>
    <t>Луференко Константин</t>
  </si>
  <si>
    <t>Лысак Сергей</t>
  </si>
  <si>
    <t>Лысенко Алан</t>
  </si>
  <si>
    <t>Лысунь Александр</t>
  </si>
  <si>
    <t>Льдинин Михаил</t>
  </si>
  <si>
    <t>Савинский  Арх.о.</t>
  </si>
  <si>
    <t>Магакян Игорь</t>
  </si>
  <si>
    <t>Магиленко Егор</t>
  </si>
  <si>
    <t>Майоров Кирилл</t>
  </si>
  <si>
    <t>Макаренков Владимир</t>
  </si>
  <si>
    <t>Макаров Антон</t>
  </si>
  <si>
    <t>Макаров Владислав</t>
  </si>
  <si>
    <t>Макаров Данил</t>
  </si>
  <si>
    <t>Верхняя Салда  Св.о.</t>
  </si>
  <si>
    <t>Макаров Михаил</t>
  </si>
  <si>
    <t>Макаров Никита</t>
  </si>
  <si>
    <t>Максименко Дмитрий</t>
  </si>
  <si>
    <t>Максимов Даниил</t>
  </si>
  <si>
    <t>Максимов Илья</t>
  </si>
  <si>
    <t>Малахов Андрей</t>
  </si>
  <si>
    <t>МАЛАХОВ Богдан</t>
  </si>
  <si>
    <t>Малахов Павел</t>
  </si>
  <si>
    <t>Рязань</t>
  </si>
  <si>
    <t>Малиев Даниил</t>
  </si>
  <si>
    <t>Малина Алексей</t>
  </si>
  <si>
    <t>Малов Илья</t>
  </si>
  <si>
    <t>Малов Сергей</t>
  </si>
  <si>
    <t>Малыгин Владимир</t>
  </si>
  <si>
    <t>Малый Виктор</t>
  </si>
  <si>
    <t>Малыш Артем</t>
  </si>
  <si>
    <t>Малышкин Семен</t>
  </si>
  <si>
    <t>Мальков Даниил</t>
  </si>
  <si>
    <t>Мальцев Данила</t>
  </si>
  <si>
    <t>Мальцев Дмитрий</t>
  </si>
  <si>
    <t>Мамбетов Беслан</t>
  </si>
  <si>
    <t>Мамчур Назар</t>
  </si>
  <si>
    <t>Маракулин Михаил</t>
  </si>
  <si>
    <t>Марвах Марк</t>
  </si>
  <si>
    <t>Марзоев Азамат</t>
  </si>
  <si>
    <t>Мариев Артем</t>
  </si>
  <si>
    <t>Маркин Марк</t>
  </si>
  <si>
    <t>Мартыненко Кирилл</t>
  </si>
  <si>
    <t>Мартынов Александр</t>
  </si>
  <si>
    <t>Мартынов Владислав</t>
  </si>
  <si>
    <t>Матушкин Денис</t>
  </si>
  <si>
    <t>Прикумское  Ставр. кр.</t>
  </si>
  <si>
    <t>Матюхин Дмитрий</t>
  </si>
  <si>
    <t>Махин Артемий</t>
  </si>
  <si>
    <t>Мащенко Богдан</t>
  </si>
  <si>
    <t>Медведев Илья</t>
  </si>
  <si>
    <t>Медведицков Георгий</t>
  </si>
  <si>
    <t>МЕДОНИС Аугустос</t>
  </si>
  <si>
    <t>Медяков Дмитрий</t>
  </si>
  <si>
    <t>Мезенин Олег</t>
  </si>
  <si>
    <t>Мелентьев Александр</t>
  </si>
  <si>
    <t>Ильинский</t>
  </si>
  <si>
    <t>Мельник Николай</t>
  </si>
  <si>
    <t>Мерлейн Валентин</t>
  </si>
  <si>
    <t>Мещеряков Данил</t>
  </si>
  <si>
    <t>Мильков Андрей</t>
  </si>
  <si>
    <t>Минашкин Андрей</t>
  </si>
  <si>
    <t>Миненков Михаил</t>
  </si>
  <si>
    <t>Миняев Сергей</t>
  </si>
  <si>
    <t>Миронов Даниил</t>
  </si>
  <si>
    <t>Миронов Егор</t>
  </si>
  <si>
    <t>Мирошниченко Артем</t>
  </si>
  <si>
    <t>Митрик Евгений</t>
  </si>
  <si>
    <t>Михайличенко Даниил</t>
  </si>
  <si>
    <t>Майский  РКБ</t>
  </si>
  <si>
    <t>Михайлов Михаил</t>
  </si>
  <si>
    <t>Михайлов Юрий</t>
  </si>
  <si>
    <t>Михальский Александр</t>
  </si>
  <si>
    <t>Михальченко Егор</t>
  </si>
  <si>
    <t>Михеев Максим</t>
  </si>
  <si>
    <t>Мишаков Максим</t>
  </si>
  <si>
    <t>Мишин Максим</t>
  </si>
  <si>
    <t>Невьянск  Св. обл.</t>
  </si>
  <si>
    <t>Череповец</t>
  </si>
  <si>
    <t>Молчанов Максим</t>
  </si>
  <si>
    <t>Молчанов Никита</t>
  </si>
  <si>
    <t>Морозов Даниил</t>
  </si>
  <si>
    <t>Морозов Кирилл</t>
  </si>
  <si>
    <t>Морозов Тарас</t>
  </si>
  <si>
    <t>Москалев Андрей</t>
  </si>
  <si>
    <t>Сиверский</t>
  </si>
  <si>
    <t>Москвин Никита</t>
  </si>
  <si>
    <t>Москвитин Никита</t>
  </si>
  <si>
    <t>Мотовилин Илья</t>
  </si>
  <si>
    <t>Мошкин Геогий</t>
  </si>
  <si>
    <t>Мошков Михаил</t>
  </si>
  <si>
    <t>Мошков Никита</t>
  </si>
  <si>
    <t>Муков Азамат</t>
  </si>
  <si>
    <t>Мумджян Артем</t>
  </si>
  <si>
    <t>Мурин Дмитрий</t>
  </si>
  <si>
    <t>Муртазин Рузаль</t>
  </si>
  <si>
    <t>Мухаметшин Ильнур</t>
  </si>
  <si>
    <t>Мухин Кирилл</t>
  </si>
  <si>
    <t>Мязин Сергей</t>
  </si>
  <si>
    <t>Набатчиков Виталий</t>
  </si>
  <si>
    <t>Набиев Рамис</t>
  </si>
  <si>
    <t>Набиулин Евгений</t>
  </si>
  <si>
    <t>Нажмудинов Ислам</t>
  </si>
  <si>
    <t>Назаренко Владимир</t>
  </si>
  <si>
    <t>Назаров Иван</t>
  </si>
  <si>
    <t>Назаров Константин</t>
  </si>
  <si>
    <t>Назаров Тимофей</t>
  </si>
  <si>
    <t>Найда Артур</t>
  </si>
  <si>
    <t>Найдич Артем</t>
  </si>
  <si>
    <t>Найдич Игорь</t>
  </si>
  <si>
    <t>Наймушин Данил</t>
  </si>
  <si>
    <t>Нарыжный Владислав</t>
  </si>
  <si>
    <t>Наседкин Георгий</t>
  </si>
  <si>
    <t>Наумов Антон</t>
  </si>
  <si>
    <t>Наумов Даниил</t>
  </si>
  <si>
    <t>Нахимовский Роман</t>
  </si>
  <si>
    <t>Некрасов Савелий</t>
  </si>
  <si>
    <t>Немеш Даниил</t>
  </si>
  <si>
    <t>Немудрый Максим</t>
  </si>
  <si>
    <t>Неприн Евгений</t>
  </si>
  <si>
    <t>Нетфулов Ильяс</t>
  </si>
  <si>
    <t>Нефедов Артем</t>
  </si>
  <si>
    <t>Нечай Виктор</t>
  </si>
  <si>
    <t>Никитин Данил</t>
  </si>
  <si>
    <t>Никитин Илья</t>
  </si>
  <si>
    <t>Никифоров Даниил</t>
  </si>
  <si>
    <t>Никишаев Матвей</t>
  </si>
  <si>
    <t>Новиков Михаил</t>
  </si>
  <si>
    <t>Новоселов Дмитрий</t>
  </si>
  <si>
    <t>Норманских Андрей</t>
  </si>
  <si>
    <t>Носов Роман</t>
  </si>
  <si>
    <t>Овсяников Александр</t>
  </si>
  <si>
    <t>Овчинников Игнатий</t>
  </si>
  <si>
    <t>Овчинников Матвей</t>
  </si>
  <si>
    <t>Огородников Павел</t>
  </si>
  <si>
    <t>Озимок Никита</t>
  </si>
  <si>
    <t>Озроков Аслан</t>
  </si>
  <si>
    <t>Омельченко Иван</t>
  </si>
  <si>
    <t>Маркс  Сар.о.</t>
  </si>
  <si>
    <t>Омельченко Никита</t>
  </si>
  <si>
    <t>Опанасенко Артем</t>
  </si>
  <si>
    <t>Осокин Владислав</t>
  </si>
  <si>
    <t>Павлов Андрей</t>
  </si>
  <si>
    <t>Павлов Никита</t>
  </si>
  <si>
    <t>Павлов Семен</t>
  </si>
  <si>
    <t>Павлоцкий Борис</t>
  </si>
  <si>
    <t>Павлычев Александр</t>
  </si>
  <si>
    <t>Павлышин Олег</t>
  </si>
  <si>
    <t>Падорин Даниил</t>
  </si>
  <si>
    <t>Падорин Иван</t>
  </si>
  <si>
    <t>Паков Тамерлан</t>
  </si>
  <si>
    <t>Палицын Артем</t>
  </si>
  <si>
    <t>Панасенко Владислав</t>
  </si>
  <si>
    <t>Панфилов Федор</t>
  </si>
  <si>
    <t>Панченко Иван</t>
  </si>
  <si>
    <t>Панько Семен</t>
  </si>
  <si>
    <t>Паньшин Виктор</t>
  </si>
  <si>
    <t>Паствайкин Данил</t>
  </si>
  <si>
    <t>Пашаев Магомед</t>
  </si>
  <si>
    <t>Пелин Марк</t>
  </si>
  <si>
    <t>Первов Тимур</t>
  </si>
  <si>
    <t>Перевалов Ярослав</t>
  </si>
  <si>
    <t>Перевертов Андрей</t>
  </si>
  <si>
    <t>Перегончий Михаил</t>
  </si>
  <si>
    <t>Перепелюков Эдуард</t>
  </si>
  <si>
    <t>Перешипкин Даниил</t>
  </si>
  <si>
    <t>Першин Никита</t>
  </si>
  <si>
    <t>Петров Михаил</t>
  </si>
  <si>
    <t>Петрук Дмитрий</t>
  </si>
  <si>
    <t>Петрусевич Никита</t>
  </si>
  <si>
    <t>Петряев Павел</t>
  </si>
  <si>
    <t>Шатура</t>
  </si>
  <si>
    <t>Петухов Илья</t>
  </si>
  <si>
    <t>Печенко Николай</t>
  </si>
  <si>
    <t>Пештерян Владимир</t>
  </si>
  <si>
    <t>Пименов Алексей</t>
  </si>
  <si>
    <t>Питиримов Егор</t>
  </si>
  <si>
    <t>Пичугин Геннадий</t>
  </si>
  <si>
    <t>Платонов Владислав</t>
  </si>
  <si>
    <t>Платонов Егор</t>
  </si>
  <si>
    <t>Плис Александр</t>
  </si>
  <si>
    <t>Плохотник Александр</t>
  </si>
  <si>
    <t>Погорелый Илья</t>
  </si>
  <si>
    <t>Подгора Артем</t>
  </si>
  <si>
    <t>Поддубный Антон</t>
  </si>
  <si>
    <t>Подединов Артем</t>
  </si>
  <si>
    <t>Подлазов Владислав</t>
  </si>
  <si>
    <t>Подопрыгин Сергей</t>
  </si>
  <si>
    <t>Подречнев Дмитрий</t>
  </si>
  <si>
    <t>Пожидаев Марк</t>
  </si>
  <si>
    <t>Поздин Андрей</t>
  </si>
  <si>
    <t>Покальчук Владислав</t>
  </si>
  <si>
    <t>Покатило Петр</t>
  </si>
  <si>
    <t>Покатов Степан</t>
  </si>
  <si>
    <t>Покровский Иван</t>
  </si>
  <si>
    <t>Полевков Артем</t>
  </si>
  <si>
    <t>Поликанов Данил</t>
  </si>
  <si>
    <t>Полуянов Елисей</t>
  </si>
  <si>
    <t>Полянский Артем</t>
  </si>
  <si>
    <t>Помаскин Никита</t>
  </si>
  <si>
    <t>Помыканов Дмитрий</t>
  </si>
  <si>
    <t>Пономаренко Александр</t>
  </si>
  <si>
    <t>Матвеев Курган  Рост.о.</t>
  </si>
  <si>
    <t>Попов Алексей</t>
  </si>
  <si>
    <t>Попов Антон</t>
  </si>
  <si>
    <t>Попов Даниил</t>
  </si>
  <si>
    <t>Попов Иван</t>
  </si>
  <si>
    <t>Попов Сергей</t>
  </si>
  <si>
    <t>Поповиченко Даниэль</t>
  </si>
  <si>
    <t>Поповский Александр</t>
  </si>
  <si>
    <t>Поповский Денис</t>
  </si>
  <si>
    <t>Портнягин Макар</t>
  </si>
  <si>
    <t>Пости Егор</t>
  </si>
  <si>
    <t>Потапкин Андрей</t>
  </si>
  <si>
    <t>Потапов Евгений</t>
  </si>
  <si>
    <t>Прасол Евгений</t>
  </si>
  <si>
    <t>Притыка Влад</t>
  </si>
  <si>
    <t>Приходкин Кирилл</t>
  </si>
  <si>
    <t>Продан Алексей</t>
  </si>
  <si>
    <t>Прощалыкин Антон</t>
  </si>
  <si>
    <t>Пугачев Андрей</t>
  </si>
  <si>
    <t>Пунин Михаил</t>
  </si>
  <si>
    <t>Пунтусов Дмитрий</t>
  </si>
  <si>
    <t>ПУХТА Дмитрий</t>
  </si>
  <si>
    <t>Пушкарь Вячеслав</t>
  </si>
  <si>
    <t>Пшеноков Инал</t>
  </si>
  <si>
    <t>Пышков Данил</t>
  </si>
  <si>
    <t>Радченко Денис</t>
  </si>
  <si>
    <t>Черниговка  Прим.</t>
  </si>
  <si>
    <t>Радченко Тимофей</t>
  </si>
  <si>
    <t>Раевский Матвей</t>
  </si>
  <si>
    <t>Рассохин Алексей</t>
  </si>
  <si>
    <t>Редозубов Артем</t>
  </si>
  <si>
    <t>Реженок Сергей</t>
  </si>
  <si>
    <t>Резник Степан</t>
  </si>
  <si>
    <t>Мостовской  Кр.кр.</t>
  </si>
  <si>
    <t>РЕЗНИЧЕНКО Остап</t>
  </si>
  <si>
    <t>Ремиханов Амам</t>
  </si>
  <si>
    <t>Репин Артем</t>
  </si>
  <si>
    <t>Рибенков Павел</t>
  </si>
  <si>
    <t>Робак Валерий</t>
  </si>
  <si>
    <t>Рогожин Дмитрий</t>
  </si>
  <si>
    <t>Рогозников Александр</t>
  </si>
  <si>
    <t>Родан Алексей</t>
  </si>
  <si>
    <t>Родионов Егор</t>
  </si>
  <si>
    <t>Родионов Руслан</t>
  </si>
  <si>
    <t>Родькин Эдуард</t>
  </si>
  <si>
    <t>Рождественский Никита</t>
  </si>
  <si>
    <t>Рожков Данила</t>
  </si>
  <si>
    <t>Рожков Михаил</t>
  </si>
  <si>
    <t>Романов Алексей</t>
  </si>
  <si>
    <t>Романов Антон</t>
  </si>
  <si>
    <t>Романов Николай</t>
  </si>
  <si>
    <t>Романский Владимир</t>
  </si>
  <si>
    <t>Роот Матвей</t>
  </si>
  <si>
    <t>РУКЛЕЦОВ Владислав</t>
  </si>
  <si>
    <t>Рунушкин Симон</t>
  </si>
  <si>
    <t>Русаков Дмитрий</t>
  </si>
  <si>
    <t>Ручка Алексей</t>
  </si>
  <si>
    <t>РЫБАКОВ Артем</t>
  </si>
  <si>
    <t>Таллин  Эстония</t>
  </si>
  <si>
    <t>Рыжов Андрей</t>
  </si>
  <si>
    <t>Рычков Михаил</t>
  </si>
  <si>
    <t>Рябинин Иван</t>
  </si>
  <si>
    <t>Ряжинов Роман</t>
  </si>
  <si>
    <t>Сабиров Алмаз</t>
  </si>
  <si>
    <t>Савельев Алексей</t>
  </si>
  <si>
    <t>Савельев Илья</t>
  </si>
  <si>
    <t>Савельев Никита</t>
  </si>
  <si>
    <t>Савин Денис</t>
  </si>
  <si>
    <t>Савин Леонид</t>
  </si>
  <si>
    <t>Савинцев Иван</t>
  </si>
  <si>
    <t>Савичев Дмитрий</t>
  </si>
  <si>
    <t>Саидов Денис</t>
  </si>
  <si>
    <t>Сайдашев Тимур</t>
  </si>
  <si>
    <t>Сайфутдинов Адель</t>
  </si>
  <si>
    <t>Сакристан Владислав</t>
  </si>
  <si>
    <t>Самойлов Илья</t>
  </si>
  <si>
    <t>Самолюк Янис</t>
  </si>
  <si>
    <t>Самохин Даниил</t>
  </si>
  <si>
    <t>Самошкин Владислав</t>
  </si>
  <si>
    <t>Самсонов Станислав</t>
  </si>
  <si>
    <t>Сангаджиев Владимир</t>
  </si>
  <si>
    <t>Санин Илья</t>
  </si>
  <si>
    <t>Санталов Дмитрий</t>
  </si>
  <si>
    <t>Сараев Владислав</t>
  </si>
  <si>
    <t>Сардачук Максим</t>
  </si>
  <si>
    <t>Сахабиев Владислав</t>
  </si>
  <si>
    <t>Сахаров Максим</t>
  </si>
  <si>
    <t>Свиридов Андрей</t>
  </si>
  <si>
    <t>Свяжин Илья</t>
  </si>
  <si>
    <t>Севастьянов Александр</t>
  </si>
  <si>
    <t>Севериков Дмитрий</t>
  </si>
  <si>
    <t>Седин Никита</t>
  </si>
  <si>
    <t>Седлов Семен</t>
  </si>
  <si>
    <t>Селезнев Вячеслав</t>
  </si>
  <si>
    <t>Селиванов Андрей</t>
  </si>
  <si>
    <t>Семенов Дмитрий</t>
  </si>
  <si>
    <t>Семенов Егор</t>
  </si>
  <si>
    <t>СЕМЕНЮК Михаил</t>
  </si>
  <si>
    <t>Сергеев Владислав</t>
  </si>
  <si>
    <t>Серебрянников Дмитрий</t>
  </si>
  <si>
    <t>Сержанов Михаил</t>
  </si>
  <si>
    <t>Сидоренко Владимир</t>
  </si>
  <si>
    <t>Сидоров Георгий</t>
  </si>
  <si>
    <t>Сидоров Саава</t>
  </si>
  <si>
    <t>Сижажев Аслан</t>
  </si>
  <si>
    <t>Сизиков Сергей</t>
  </si>
  <si>
    <t>Силин Павел</t>
  </si>
  <si>
    <t>Симакин Максим</t>
  </si>
  <si>
    <t>Симоненко Марк</t>
  </si>
  <si>
    <t>Симонов Денис</t>
  </si>
  <si>
    <t>Синицын Максим</t>
  </si>
  <si>
    <t>Синявский Максим</t>
  </si>
  <si>
    <t>Сирман Вячеслав</t>
  </si>
  <si>
    <t>Сичненко Алексей</t>
  </si>
  <si>
    <t>Скворцов Алексей</t>
  </si>
  <si>
    <t>Скворцов Семен</t>
  </si>
  <si>
    <t>Скирта Данил</t>
  </si>
  <si>
    <t>Скрипкин Василий</t>
  </si>
  <si>
    <t>Сластихин Николай</t>
  </si>
  <si>
    <t>Сметанкин Александр</t>
  </si>
  <si>
    <t>Смирнов Александр</t>
  </si>
  <si>
    <t>Смирнов Анатолий</t>
  </si>
  <si>
    <t>Смирнов Владимир</t>
  </si>
  <si>
    <t>Смирнов Никита</t>
  </si>
  <si>
    <t>Смоленцев Денис</t>
  </si>
  <si>
    <t>Смольняков Никита</t>
  </si>
  <si>
    <t>Соболев Ростислав</t>
  </si>
  <si>
    <t>Соколов Александр</t>
  </si>
  <si>
    <t>Соколов Антон</t>
  </si>
  <si>
    <t>Соколов Василий</t>
  </si>
  <si>
    <t>Соколов Даниил</t>
  </si>
  <si>
    <t>Соколов Михаил</t>
  </si>
  <si>
    <t>Соколов Тимофей</t>
  </si>
  <si>
    <t>Солдатенко Игорь</t>
  </si>
  <si>
    <t>Соловей Илья</t>
  </si>
  <si>
    <t>Соловов Григорий</t>
  </si>
  <si>
    <t>Соловьев Егор</t>
  </si>
  <si>
    <t>Соловьев Максим</t>
  </si>
  <si>
    <t>Солянкин Александр</t>
  </si>
  <si>
    <t>Сонин Даниил</t>
  </si>
  <si>
    <t>Сорокин Станислав</t>
  </si>
  <si>
    <t>Соустин Тимофей</t>
  </si>
  <si>
    <t>Сохроков Анзор</t>
  </si>
  <si>
    <t>Спивак Егор</t>
  </si>
  <si>
    <t>Спирин Артем</t>
  </si>
  <si>
    <t>Спис Дмитрий</t>
  </si>
  <si>
    <t>Стальмахович Виктор</t>
  </si>
  <si>
    <t>СТАНКЯВИЧУС Медардас</t>
  </si>
  <si>
    <t>Каунас  Литва</t>
  </si>
  <si>
    <t>Стариков Егор</t>
  </si>
  <si>
    <t>Стариков Максим</t>
  </si>
  <si>
    <t>Стародумов Владислав</t>
  </si>
  <si>
    <t>Серов  Свердл.обл.</t>
  </si>
  <si>
    <t>Старостин Максим</t>
  </si>
  <si>
    <t>Стафеев Юрий</t>
  </si>
  <si>
    <t>Степаненков Григорий</t>
  </si>
  <si>
    <t>Степанов Никита</t>
  </si>
  <si>
    <t>Стринкевич Никита</t>
  </si>
  <si>
    <t>Строкин Дмитрий</t>
  </si>
  <si>
    <t>Струлев Владимир</t>
  </si>
  <si>
    <t>Стряпков Кирилл</t>
  </si>
  <si>
    <t>Суворов Артем</t>
  </si>
  <si>
    <t>Судаков Владимир</t>
  </si>
  <si>
    <t>Судаков Владислав</t>
  </si>
  <si>
    <t>Судаков Тимофей</t>
  </si>
  <si>
    <t>Судариков Артем</t>
  </si>
  <si>
    <t>Сулейманов Максим</t>
  </si>
  <si>
    <t>Сулимов Борис</t>
  </si>
  <si>
    <t>Султанов Айрат</t>
  </si>
  <si>
    <t>Султанов Артур</t>
  </si>
  <si>
    <t>СУЛТОНОВ Ислом</t>
  </si>
  <si>
    <t>Узбекистан</t>
  </si>
  <si>
    <t>Сумароков Тимофей</t>
  </si>
  <si>
    <t>Заречный  Св.обл.</t>
  </si>
  <si>
    <t>Суркин Максим</t>
  </si>
  <si>
    <t>Сухов Николай</t>
  </si>
  <si>
    <t>Сырбу Владислав</t>
  </si>
  <si>
    <t>Сысоев Артем</t>
  </si>
  <si>
    <t>Оленегорск</t>
  </si>
  <si>
    <t>Тамахин Тимофей</t>
  </si>
  <si>
    <t>Танцура Николай</t>
  </si>
  <si>
    <t>Тарасов Валерий</t>
  </si>
  <si>
    <t>Тарасов Данил</t>
  </si>
  <si>
    <t>Тарасов Денис</t>
  </si>
  <si>
    <t>Тарасов Евгений</t>
  </si>
  <si>
    <t>Тарасовский Артемий</t>
  </si>
  <si>
    <t>Таратынов Олег</t>
  </si>
  <si>
    <t>Тарутин Павел</t>
  </si>
  <si>
    <t>Твердохлебов Дмитрий</t>
  </si>
  <si>
    <t>Теляков Марат</t>
  </si>
  <si>
    <t>Теплов Артем</t>
  </si>
  <si>
    <t>Терехов Александр</t>
  </si>
  <si>
    <t>Терехов Даниил</t>
  </si>
  <si>
    <t>Терещенко Георгий</t>
  </si>
  <si>
    <t>Терещенко Данила</t>
  </si>
  <si>
    <t>Терлецкий Матвей</t>
  </si>
  <si>
    <t>Терников Артем</t>
  </si>
  <si>
    <t>Терновский Александр</t>
  </si>
  <si>
    <t>Терновский Григорий</t>
  </si>
  <si>
    <t>Тимергалеев Рафаэль</t>
  </si>
  <si>
    <t>Тимошук Игорь</t>
  </si>
  <si>
    <t>Тимчишин Дмитрий</t>
  </si>
  <si>
    <t>Тиньков Александр</t>
  </si>
  <si>
    <t>Титков Егор</t>
  </si>
  <si>
    <t>Тиханов Максим</t>
  </si>
  <si>
    <t>Тихненко Дмитрий</t>
  </si>
  <si>
    <t>Армавир</t>
  </si>
  <si>
    <t>Тихненко Павел</t>
  </si>
  <si>
    <t>Ткачев Илья</t>
  </si>
  <si>
    <t>Тлапшоков Артур</t>
  </si>
  <si>
    <t>Токарев Илья</t>
  </si>
  <si>
    <t>Токарев Максим</t>
  </si>
  <si>
    <t>Токарь Дмитрий</t>
  </si>
  <si>
    <t>Толкачев Даниил</t>
  </si>
  <si>
    <t>Толстяков Роман</t>
  </si>
  <si>
    <t>Тощев Глеб</t>
  </si>
  <si>
    <t>Травкин Максим</t>
  </si>
  <si>
    <t>Трионас Игорь</t>
  </si>
  <si>
    <t>Трифонов Александр</t>
  </si>
  <si>
    <t>Трифонов Константин</t>
  </si>
  <si>
    <t>Трошин Владислав</t>
  </si>
  <si>
    <t>Трошков Дмитрий</t>
  </si>
  <si>
    <t>Трушкин Сергей</t>
  </si>
  <si>
    <t>Тулаев Владимир</t>
  </si>
  <si>
    <t>Тульчанский Данил</t>
  </si>
  <si>
    <t>Туркин Артем</t>
  </si>
  <si>
    <t>Туровцев Никита</t>
  </si>
  <si>
    <t>Тырцев Арсений</t>
  </si>
  <si>
    <t>Тюкин Дмитрий</t>
  </si>
  <si>
    <t>Тюрин Вадим</t>
  </si>
  <si>
    <t>Тятяев Владислав</t>
  </si>
  <si>
    <t>Улбутов Сергей</t>
  </si>
  <si>
    <t>Улезько Александр</t>
  </si>
  <si>
    <t>Ульяненков Александр</t>
  </si>
  <si>
    <t>Уметов Ислам</t>
  </si>
  <si>
    <t>Урбазаев Сергей</t>
  </si>
  <si>
    <t>Усов Андрей</t>
  </si>
  <si>
    <t>Ухин Игорь</t>
  </si>
  <si>
    <t>Ухлин Михаил</t>
  </si>
  <si>
    <t>Ушаков Данил</t>
  </si>
  <si>
    <t>Ушаков Михаил</t>
  </si>
  <si>
    <t>Фанасков Никита</t>
  </si>
  <si>
    <t>Федоров Всеволод</t>
  </si>
  <si>
    <t>Федоров Дмитрий</t>
  </si>
  <si>
    <t>Федоров Егор</t>
  </si>
  <si>
    <t>Феоктистов Суран</t>
  </si>
  <si>
    <t>Ферахян Никита</t>
  </si>
  <si>
    <t>Филатов Михаил</t>
  </si>
  <si>
    <t>Филиппов Андрей</t>
  </si>
  <si>
    <t>Фисун Тимофей</t>
  </si>
  <si>
    <t>Фокин Владимир</t>
  </si>
  <si>
    <t>Фоменко Даниил</t>
  </si>
  <si>
    <t>Фоменко Доброслав</t>
  </si>
  <si>
    <t>Фоменко Иван</t>
  </si>
  <si>
    <t>Фомин Алексей</t>
  </si>
  <si>
    <t>Фрамуза Данил</t>
  </si>
  <si>
    <t>Фролов Илья</t>
  </si>
  <si>
    <t>Хажнагоев Ислам</t>
  </si>
  <si>
    <t>ХАЙКИН Давид</t>
  </si>
  <si>
    <t>Халиуллин Никита</t>
  </si>
  <si>
    <t>Гусиноозерск  респ.Бурятия</t>
  </si>
  <si>
    <t>Харзинов Кантемир</t>
  </si>
  <si>
    <t>Харионовский Глеб</t>
  </si>
  <si>
    <t>Хасаншин Булат</t>
  </si>
  <si>
    <t>Хатыпов Максим</t>
  </si>
  <si>
    <t>Хачатрян Давид</t>
  </si>
  <si>
    <t>Хлебников Константин</t>
  </si>
  <si>
    <t>Хоровец Алексей</t>
  </si>
  <si>
    <t>Худобин Александр</t>
  </si>
  <si>
    <t>Хурамшин Амир</t>
  </si>
  <si>
    <t>Цариценцев Иван</t>
  </si>
  <si>
    <t>Кувандык  Оренб.обл.</t>
  </si>
  <si>
    <t>Цветков Вячеслав</t>
  </si>
  <si>
    <t>Цветков Николай</t>
  </si>
  <si>
    <t>Цебоев Давид</t>
  </si>
  <si>
    <t>Ципоркин Марк</t>
  </si>
  <si>
    <t>Циравин Владимир</t>
  </si>
  <si>
    <t>Цыплаков Максим</t>
  </si>
  <si>
    <t>Цыплятников Николай</t>
  </si>
  <si>
    <t>Цыравин Владимир</t>
  </si>
  <si>
    <t>Цэнгэл Баир</t>
  </si>
  <si>
    <t>Цэнгэл Батор</t>
  </si>
  <si>
    <t>Чалов Виктор</t>
  </si>
  <si>
    <t>Чаптыков Егор</t>
  </si>
  <si>
    <t>Чаткин Кирилл</t>
  </si>
  <si>
    <t>Чебоха Владимир</t>
  </si>
  <si>
    <t>Чебыкин Андрей</t>
  </si>
  <si>
    <t>Чегемов Аслан</t>
  </si>
  <si>
    <t>Челпанов Богдан</t>
  </si>
  <si>
    <t>Чепкасов Кирилл</t>
  </si>
  <si>
    <t>Черепанов Георгий</t>
  </si>
  <si>
    <t>Черников Даниил</t>
  </si>
  <si>
    <t>Чернов Александр</t>
  </si>
  <si>
    <t>Чернов Алексей</t>
  </si>
  <si>
    <t>Барабинск  Новос.обл.</t>
  </si>
  <si>
    <t>Чернов Руслан</t>
  </si>
  <si>
    <t>Черногорец Владислав</t>
  </si>
  <si>
    <t>Черногорец Максим</t>
  </si>
  <si>
    <t>Чернопятов Виктор</t>
  </si>
  <si>
    <t>Черноусов Евгений</t>
  </si>
  <si>
    <t>Черных Дмитрий</t>
  </si>
  <si>
    <t>Чеченов Андимир</t>
  </si>
  <si>
    <t>Чигаев Кирилл</t>
  </si>
  <si>
    <t>Чижов Александр</t>
  </si>
  <si>
    <t>Чилик Роман</t>
  </si>
  <si>
    <t>Чирков Дмитрий</t>
  </si>
  <si>
    <t>Чувызгалов Дмитрий</t>
  </si>
  <si>
    <t>Чудогашев Георгий</t>
  </si>
  <si>
    <t>Чужов Кирилл</t>
  </si>
  <si>
    <t>Чуканов Илья</t>
  </si>
  <si>
    <t>Чулков Даниил</t>
  </si>
  <si>
    <t>Чупахин Илья</t>
  </si>
  <si>
    <t>Чупаченко Борис</t>
  </si>
  <si>
    <t>Чупров Илья</t>
  </si>
  <si>
    <t>Шабанов Иван</t>
  </si>
  <si>
    <t>Шабанов Михаил</t>
  </si>
  <si>
    <t>Шаболин Лев</t>
  </si>
  <si>
    <t>Шагалин Олег</t>
  </si>
  <si>
    <t>Шагин Егор</t>
  </si>
  <si>
    <t>Шакарян Ярослав</t>
  </si>
  <si>
    <t>Шакуро Алексей</t>
  </si>
  <si>
    <t>Шамаев Андрей</t>
  </si>
  <si>
    <t>Шаманов Юрий</t>
  </si>
  <si>
    <t>Шамбазов Наиль</t>
  </si>
  <si>
    <t>Шаравин Артем</t>
  </si>
  <si>
    <t>Шарафутдинов Никита</t>
  </si>
  <si>
    <t>Шарипов Давид</t>
  </si>
  <si>
    <t>Шаршиков Артем</t>
  </si>
  <si>
    <t>Шастин Иван</t>
  </si>
  <si>
    <t>Шатилов Александр</t>
  </si>
  <si>
    <t>Шахбазян Алексей</t>
  </si>
  <si>
    <t>Шашко Максим</t>
  </si>
  <si>
    <t>Шевелев Вадим</t>
  </si>
  <si>
    <t>Шевченко Дмитрий</t>
  </si>
  <si>
    <t>Шевченко Евгений</t>
  </si>
  <si>
    <t>Шестаков Данил</t>
  </si>
  <si>
    <t>Шиляев Валерий</t>
  </si>
  <si>
    <t>Широкий Глеб</t>
  </si>
  <si>
    <t>Широков Алексей</t>
  </si>
  <si>
    <t>Широков Арсений</t>
  </si>
  <si>
    <t>Широнин Денис</t>
  </si>
  <si>
    <t>Ширшов Константин</t>
  </si>
  <si>
    <t>Ширяев Григорий</t>
  </si>
  <si>
    <t>Шитин Семен</t>
  </si>
  <si>
    <t>Шитов Кирилл</t>
  </si>
  <si>
    <t>Шихаев Шихай</t>
  </si>
  <si>
    <t>Шишов Павел</t>
  </si>
  <si>
    <t>Шкахов Тамерлан</t>
  </si>
  <si>
    <t>Шкуренков Евгений</t>
  </si>
  <si>
    <t>Шлыков Григорий</t>
  </si>
  <si>
    <t>Шмарук Сергей</t>
  </si>
  <si>
    <t>Шпаков Константин</t>
  </si>
  <si>
    <t>Штыков Никита</t>
  </si>
  <si>
    <t>ШУБЕНОК Егор</t>
  </si>
  <si>
    <t>Шукюров Антон</t>
  </si>
  <si>
    <t>Шулаев Александр</t>
  </si>
  <si>
    <t>Шумилин Ярослав</t>
  </si>
  <si>
    <t>Шунин Михаил</t>
  </si>
  <si>
    <t>Шустов Кирилл</t>
  </si>
  <si>
    <t>Шутов Максим</t>
  </si>
  <si>
    <t>Шушарин Олег</t>
  </si>
  <si>
    <t>Щеголев Илья</t>
  </si>
  <si>
    <t>Щекалев Ефим</t>
  </si>
  <si>
    <t>Эдикаев Марат</t>
  </si>
  <si>
    <t>Эзбербегов Али</t>
  </si>
  <si>
    <t>Эзбербегов Анзор</t>
  </si>
  <si>
    <t>Эктов Григорий</t>
  </si>
  <si>
    <t>Эрдни-Горяев Мазан</t>
  </si>
  <si>
    <t>Эрдыниев Владимир</t>
  </si>
  <si>
    <t>Беркакит  Саха</t>
  </si>
  <si>
    <t>Эртман Александр</t>
  </si>
  <si>
    <t>Эсмедляев Егор</t>
  </si>
  <si>
    <t>Юденков Андрей</t>
  </si>
  <si>
    <t>Юрков Владимир</t>
  </si>
  <si>
    <t>Юрков Кирилл</t>
  </si>
  <si>
    <t>Юрковский Александр</t>
  </si>
  <si>
    <t>Юрченко Максим</t>
  </si>
  <si>
    <t>Юшенков Андрей</t>
  </si>
  <si>
    <t>Ющенко Владимир</t>
  </si>
  <si>
    <t>Архангельская  Красн.кр.</t>
  </si>
  <si>
    <t>Яковин Александр</t>
  </si>
  <si>
    <t>Яковкин Дмитрий</t>
  </si>
  <si>
    <t>Якубов Алексей</t>
  </si>
  <si>
    <t>Якушев Александр</t>
  </si>
  <si>
    <t>Якушов Константин</t>
  </si>
  <si>
    <t>Янкин Геннадий</t>
  </si>
  <si>
    <t>Янов Залим</t>
  </si>
  <si>
    <t>Янушевский Денис</t>
  </si>
  <si>
    <t>Янченко Алексей</t>
  </si>
  <si>
    <t>Яруллин Нафкат</t>
  </si>
  <si>
    <t>Ясинский Даниил</t>
  </si>
  <si>
    <t>Яшин Максим</t>
  </si>
  <si>
    <t>Суперфинал</t>
  </si>
  <si>
    <t>1 Место</t>
  </si>
  <si>
    <t>2 Место</t>
  </si>
  <si>
    <t>3 Место</t>
  </si>
  <si>
    <t>4 Место</t>
  </si>
  <si>
    <t>(1-8)</t>
  </si>
  <si>
    <t>финал</t>
  </si>
  <si>
    <t>полуфинал</t>
  </si>
  <si>
    <t>(1-4)</t>
  </si>
  <si>
    <t>за 35 место</t>
  </si>
  <si>
    <t>за 37 место</t>
  </si>
  <si>
    <t>за 39 место</t>
  </si>
  <si>
    <t>за 41 место</t>
  </si>
  <si>
    <t>за 43 место</t>
  </si>
  <si>
    <t>за 45 место</t>
  </si>
  <si>
    <t>за 47 место</t>
  </si>
  <si>
    <t>за 49 место</t>
  </si>
  <si>
    <t>за 51 место</t>
  </si>
  <si>
    <t>за 53 место</t>
  </si>
  <si>
    <t>за 55 место</t>
  </si>
  <si>
    <t>за 57 место</t>
  </si>
  <si>
    <t>за 59 место</t>
  </si>
  <si>
    <t>за 61 место</t>
  </si>
  <si>
    <t>за 63 место</t>
  </si>
  <si>
    <t>Счет на сетке</t>
  </si>
  <si>
    <t>Стадия</t>
  </si>
  <si>
    <t>За 3 место</t>
  </si>
  <si>
    <t>За 5 место</t>
  </si>
  <si>
    <t>За 7 место</t>
  </si>
  <si>
    <t>За 9 место</t>
  </si>
  <si>
    <t>За 13 место</t>
  </si>
  <si>
    <t>За 11 место</t>
  </si>
  <si>
    <t>За 15 место</t>
  </si>
  <si>
    <t>За 17 место</t>
  </si>
  <si>
    <t>За 19 место</t>
  </si>
  <si>
    <t>За 21 место</t>
  </si>
  <si>
    <t>За 23 место</t>
  </si>
  <si>
    <t>За 25 место</t>
  </si>
  <si>
    <t>За 27 место</t>
  </si>
  <si>
    <t>За 31 место</t>
  </si>
  <si>
    <t>За 29 место</t>
  </si>
  <si>
    <t>Абазов Азрет</t>
  </si>
  <si>
    <t>Абазов Мухамед</t>
  </si>
  <si>
    <t>Ахаминов Азнаур</t>
  </si>
  <si>
    <t>Березуцкий Никита</t>
  </si>
  <si>
    <t>Биджиев Алихан</t>
  </si>
  <si>
    <t>Борисов Максим</t>
  </si>
  <si>
    <t>Булгаков Александр</t>
  </si>
  <si>
    <t>Бульбас Марк</t>
  </si>
  <si>
    <t>Гельбарт Никита</t>
  </si>
  <si>
    <t>Герасименко Илья</t>
  </si>
  <si>
    <t>Гериев Эльмурзан</t>
  </si>
  <si>
    <t>Глебович Тамерлан</t>
  </si>
  <si>
    <t>Гольцев Кирилл</t>
  </si>
  <si>
    <t>Дегтярев Павел</t>
  </si>
  <si>
    <t>Доцеркоев Астемир</t>
  </si>
  <si>
    <t>Дружинин Данил</t>
  </si>
  <si>
    <t>Дуплинский Сергей</t>
  </si>
  <si>
    <t>Иванов Тимофей</t>
  </si>
  <si>
    <t>Калганов Артем</t>
  </si>
  <si>
    <t>Канкулов Султан</t>
  </si>
  <si>
    <t>Карчаев Рустам</t>
  </si>
  <si>
    <t>Котов Андрей</t>
  </si>
  <si>
    <t>Кошапов Наиль</t>
  </si>
  <si>
    <t>Кошелев Александр</t>
  </si>
  <si>
    <t>Кравец Анатолий</t>
  </si>
  <si>
    <t>Крохин Денис</t>
  </si>
  <si>
    <t>Кукарин Никита</t>
  </si>
  <si>
    <t>Куприянов Евгений</t>
  </si>
  <si>
    <t>Курашев Наужби</t>
  </si>
  <si>
    <t>Курдадзе Гия</t>
  </si>
  <si>
    <t>Кушхов Астемир</t>
  </si>
  <si>
    <t>Лысенко Аслан</t>
  </si>
  <si>
    <t>Лысков Артем</t>
  </si>
  <si>
    <t>Малахов Шон</t>
  </si>
  <si>
    <t>Пятигорск</t>
  </si>
  <si>
    <t>Маралов Дмитрий</t>
  </si>
  <si>
    <t>Матушкин Дмитрий</t>
  </si>
  <si>
    <t>Минджиров Лиджи</t>
  </si>
  <si>
    <t>Михайлов Денис</t>
  </si>
  <si>
    <t>Морозов Илья</t>
  </si>
  <si>
    <t>Муков Руслан</t>
  </si>
  <si>
    <t>Нажмутдинов Ислам</t>
  </si>
  <si>
    <t>Попов Данила</t>
  </si>
  <si>
    <t>Прудкий Евгений</t>
  </si>
  <si>
    <t>Родионов Всеволод</t>
  </si>
  <si>
    <t>Становский Дмитрий</t>
  </si>
  <si>
    <t>Терехов Никита</t>
  </si>
  <si>
    <t>Ткаченко Владислав</t>
  </si>
  <si>
    <t>Ферахьян Никита</t>
  </si>
  <si>
    <t>Червяков Никита</t>
  </si>
  <si>
    <t>Шебзухов Мухамед</t>
  </si>
  <si>
    <t>Шинахов Кантемир</t>
  </si>
  <si>
    <t>Шуляк Максим</t>
  </si>
  <si>
    <t>Шумаков Виталий</t>
  </si>
  <si>
    <t>Шхануков Руслан</t>
  </si>
  <si>
    <t>Аверин Владимир</t>
  </si>
  <si>
    <t>Ананьев Владимир</t>
  </si>
  <si>
    <t>Бабич Даниил</t>
  </si>
  <si>
    <t>Баранов Алексей</t>
  </si>
  <si>
    <t>Бесхмельницкий Виталий</t>
  </si>
  <si>
    <t>Бурдуков Вадим</t>
  </si>
  <si>
    <t>Бухтияров Всеволод</t>
  </si>
  <si>
    <t>Вагин Андрей</t>
  </si>
  <si>
    <t>Вагин Захар</t>
  </si>
  <si>
    <t>Васильев Андрей</t>
  </si>
  <si>
    <t>Виноградов Илья</t>
  </si>
  <si>
    <t>ВОРОБЬЕВ Виталий</t>
  </si>
  <si>
    <t>Гайст Дмитрий</t>
  </si>
  <si>
    <t>Гениатуллин Ильдар</t>
  </si>
  <si>
    <t>Герасимов Александр</t>
  </si>
  <si>
    <t>Гильмутдинов Эмиль</t>
  </si>
  <si>
    <t>Головин Дмитрий</t>
  </si>
  <si>
    <t>Томск</t>
  </si>
  <si>
    <t>Голубченко Максим</t>
  </si>
  <si>
    <t>Горбунов Алексей</t>
  </si>
  <si>
    <t>Гудулин Данила</t>
  </si>
  <si>
    <t>Гущин Дмитрий</t>
  </si>
  <si>
    <t>Давлятшин Роберт</t>
  </si>
  <si>
    <t>Дужников Степан</t>
  </si>
  <si>
    <t>Ежов Алексей</t>
  </si>
  <si>
    <t>Екимов Вячеслав</t>
  </si>
  <si>
    <t>Еклаков Максим</t>
  </si>
  <si>
    <t>Елчуев Элвин</t>
  </si>
  <si>
    <t>Заднепровский Максим</t>
  </si>
  <si>
    <t>Зарубин Максим</t>
  </si>
  <si>
    <t>Захаров Андрей</t>
  </si>
  <si>
    <t>Золотенко Сергей</t>
  </si>
  <si>
    <t>Линево  Новосиб.о.</t>
  </si>
  <si>
    <t>Ибнеев Динар</t>
  </si>
  <si>
    <t>Актаныш  Тат.</t>
  </si>
  <si>
    <t>Калйонджу Нелик</t>
  </si>
  <si>
    <t>КАРЧАВА Наур</t>
  </si>
  <si>
    <t>Катанов Михаил</t>
  </si>
  <si>
    <t>Каширцев Станислав</t>
  </si>
  <si>
    <t>Кишкин Антон</t>
  </si>
  <si>
    <t>Ковалевский Максим</t>
  </si>
  <si>
    <t>Коледенков Николай</t>
  </si>
  <si>
    <t>Комлев Илья</t>
  </si>
  <si>
    <t>Коновалов Александр</t>
  </si>
  <si>
    <t>Кавказская  Кр.кр.</t>
  </si>
  <si>
    <t>Коротченко Артемий</t>
  </si>
  <si>
    <t>Корытов Алексей</t>
  </si>
  <si>
    <t>Косяков Даниил</t>
  </si>
  <si>
    <t>Курстанбеков Арлиян</t>
  </si>
  <si>
    <t>Куцопал Александр</t>
  </si>
  <si>
    <t>Белгород</t>
  </si>
  <si>
    <t>Лаврентьев Михаил</t>
  </si>
  <si>
    <t>Лазарев Александр</t>
  </si>
  <si>
    <t>Лебедев Дмитрий</t>
  </si>
  <si>
    <t>Леонов Кирилл</t>
  </si>
  <si>
    <t>Лисаев Кирилл</t>
  </si>
  <si>
    <t>Лобов Денис</t>
  </si>
  <si>
    <t>Лозицкий Дмитрий</t>
  </si>
  <si>
    <t>Лупанов Артем</t>
  </si>
  <si>
    <t>Макаров Н</t>
  </si>
  <si>
    <t>Мамонтов Владислав</t>
  </si>
  <si>
    <t>Медведев Дмитрий</t>
  </si>
  <si>
    <t>Мелия Илья</t>
  </si>
  <si>
    <t>Михайлов Данил</t>
  </si>
  <si>
    <t>Мовчан Иван</t>
  </si>
  <si>
    <t>Нагибин Захар</t>
  </si>
  <si>
    <t>Назаров Даниил</t>
  </si>
  <si>
    <t>Наумов Артур</t>
  </si>
  <si>
    <t>Нехаенко Павел</t>
  </si>
  <si>
    <t>Низамутдинов Тимур</t>
  </si>
  <si>
    <t>Никифоров Вячеслав</t>
  </si>
  <si>
    <t>Огарков Иван</t>
  </si>
  <si>
    <t>Озеров Сергей</t>
  </si>
  <si>
    <t>Павлов Павел</t>
  </si>
  <si>
    <t>Панафутин Матвей</t>
  </si>
  <si>
    <t>Песков Виктор</t>
  </si>
  <si>
    <t>Пименов Никита</t>
  </si>
  <si>
    <t>Полюнин Виктор</t>
  </si>
  <si>
    <t>Попов Никита</t>
  </si>
  <si>
    <t>Попцов Никита</t>
  </si>
  <si>
    <t>Постолов Сергей</t>
  </si>
  <si>
    <t>Пышков Даниил</t>
  </si>
  <si>
    <t>Радионов Данила</t>
  </si>
  <si>
    <t>Рыжов Сергей</t>
  </si>
  <si>
    <t>Сагалович Семен</t>
  </si>
  <si>
    <t>Саликов Антон</t>
  </si>
  <si>
    <t>Семенов Максим</t>
  </si>
  <si>
    <t>Сидоренко Игорь</t>
  </si>
  <si>
    <t>Синченко Алексей</t>
  </si>
  <si>
    <t>Смирнов Максим</t>
  </si>
  <si>
    <t>Стихеев Дмитрий</t>
  </si>
  <si>
    <t>Столяров Артем</t>
  </si>
  <si>
    <t>Строганов Александр</t>
  </si>
  <si>
    <t>Строкин Кирилл</t>
  </si>
  <si>
    <t>Султанов Марат</t>
  </si>
  <si>
    <t>Томилов Арсений</t>
  </si>
  <si>
    <t>Трофимов Даниил</t>
  </si>
  <si>
    <t>УЗЕР Сержан</t>
  </si>
  <si>
    <t>Молдова</t>
  </si>
  <si>
    <t>УРСУ Владислав</t>
  </si>
  <si>
    <t>Фазлиев Рамис</t>
  </si>
  <si>
    <t>Фролов Алексей</t>
  </si>
  <si>
    <t>Бугульма  Тат.</t>
  </si>
  <si>
    <t>Хамов Роман</t>
  </si>
  <si>
    <t>Холкин Илья</t>
  </si>
  <si>
    <t>Хрипач Дмитрий</t>
  </si>
  <si>
    <t>Царелунга Влад</t>
  </si>
  <si>
    <t>Черничкин Артем</t>
  </si>
  <si>
    <t>Чернокнижников Александр</t>
  </si>
  <si>
    <t>Чистяков Дмитрий</t>
  </si>
  <si>
    <t>Шамсунов Гадель</t>
  </si>
  <si>
    <t>Шестаков Антон</t>
  </si>
  <si>
    <t>Шибаев Артем</t>
  </si>
  <si>
    <t>Шмагин Михаил</t>
  </si>
  <si>
    <t>Шошин Кирилл</t>
  </si>
  <si>
    <t>Гатауллин Н.Ф.</t>
  </si>
  <si>
    <t>Родиков Е.В.</t>
  </si>
  <si>
    <t>Братченко С.С.</t>
  </si>
  <si>
    <t>Егоров Е.П., Трушкин Е.В.</t>
  </si>
  <si>
    <t>Ершова Е.А.</t>
  </si>
  <si>
    <t>Кочура С.М.</t>
  </si>
  <si>
    <t>Семеркин С.В.</t>
  </si>
  <si>
    <t>Винокуров А.К</t>
  </si>
  <si>
    <t>Уточкин А.Г., Уточкина Т.В.</t>
  </si>
  <si>
    <t>Перевезенцев М.В., Ендолов В.Н.</t>
  </si>
  <si>
    <t>Брусин С.Б., Кашулина А.И.</t>
  </si>
  <si>
    <t>Брусин С.Б., Подгузов В.В.</t>
  </si>
  <si>
    <t>Баранов В.В., Ястребцев Д.А.</t>
  </si>
  <si>
    <t>Вязова Е.Л., Мохначева Е.Ю.</t>
  </si>
  <si>
    <t>Власов С.Ф.</t>
  </si>
  <si>
    <t>Березкина Н.Е.</t>
  </si>
  <si>
    <t>Лекомцев Ф.А.</t>
  </si>
  <si>
    <t>Цыплаков С.В.</t>
  </si>
  <si>
    <t>Фетюхин В.А.</t>
  </si>
  <si>
    <t>Шичков И.Ю.</t>
  </si>
  <si>
    <t>14 группа</t>
  </si>
  <si>
    <t>15 группа</t>
  </si>
  <si>
    <t>16 группа</t>
  </si>
  <si>
    <t>Сипач А.И.</t>
  </si>
  <si>
    <t>5 финал (</t>
  </si>
  <si>
    <t>по 112 место)</t>
  </si>
  <si>
    <t xml:space="preserve"> Х</t>
  </si>
  <si>
    <t>1 финал (</t>
  </si>
  <si>
    <t>по  16 место)</t>
  </si>
  <si>
    <t>Сводный проткол. мальчики. 1-ФИНАЛ</t>
  </si>
  <si>
    <t>14-16</t>
  </si>
  <si>
    <t>1-5</t>
  </si>
  <si>
    <t>13-15</t>
  </si>
  <si>
    <t>12-16</t>
  </si>
  <si>
    <t>1-13</t>
  </si>
  <si>
    <t>12-14</t>
  </si>
  <si>
    <t>11-15</t>
  </si>
  <si>
    <t>10-16</t>
  </si>
  <si>
    <t>11-13</t>
  </si>
  <si>
    <t>10-14</t>
  </si>
  <si>
    <t>9-15</t>
  </si>
  <si>
    <t>8-16</t>
  </si>
  <si>
    <t>1-11</t>
  </si>
  <si>
    <t>10-12</t>
  </si>
  <si>
    <t>9-13</t>
  </si>
  <si>
    <t>8-14</t>
  </si>
  <si>
    <t>7-15</t>
  </si>
  <si>
    <t>6-16</t>
  </si>
  <si>
    <t>9-11</t>
  </si>
  <si>
    <t>8-12</t>
  </si>
  <si>
    <t>7-13</t>
  </si>
  <si>
    <t>6-14</t>
  </si>
  <si>
    <t>5-15</t>
  </si>
  <si>
    <t>4-16</t>
  </si>
  <si>
    <t>1-9</t>
  </si>
  <si>
    <t>8-10</t>
  </si>
  <si>
    <t>7-11</t>
  </si>
  <si>
    <t>6-12</t>
  </si>
  <si>
    <t>5-13</t>
  </si>
  <si>
    <t>4-14</t>
  </si>
  <si>
    <t>3-15</t>
  </si>
  <si>
    <t>2-16</t>
  </si>
  <si>
    <t>7-9</t>
  </si>
  <si>
    <t>6-10</t>
  </si>
  <si>
    <t>4-12</t>
  </si>
  <si>
    <t>3-13</t>
  </si>
  <si>
    <t>2-14</t>
  </si>
  <si>
    <t>1-7</t>
  </si>
  <si>
    <t>6-8</t>
  </si>
  <si>
    <t>5-9</t>
  </si>
  <si>
    <t>4-10</t>
  </si>
  <si>
    <t>3-11</t>
  </si>
  <si>
    <t>2-12</t>
  </si>
  <si>
    <t>5-7</t>
  </si>
  <si>
    <t>4-8</t>
  </si>
  <si>
    <t>2-10</t>
  </si>
  <si>
    <t>4-6</t>
  </si>
  <si>
    <t>3-7</t>
  </si>
  <si>
    <t>2-8</t>
  </si>
  <si>
    <t>3-5</t>
  </si>
  <si>
    <t>2-6</t>
  </si>
  <si>
    <t>2-4</t>
  </si>
  <si>
    <t>1-15</t>
  </si>
  <si>
    <t>5-11</t>
  </si>
  <si>
    <t>3-9</t>
  </si>
  <si>
    <t>1-3</t>
  </si>
  <si>
    <t>Дата</t>
  </si>
  <si>
    <t>тура</t>
  </si>
  <si>
    <t>Сводный проткол. мальчики. 3-ФИНАЛ</t>
  </si>
  <si>
    <t>Сводный проткол. мальчики. 4-ФИНАЛ</t>
  </si>
  <si>
    <t>Сводный проткол. мальчики. 2-ФИНАЛ</t>
  </si>
  <si>
    <t>Порядок встреч игр 3 финала</t>
  </si>
  <si>
    <t>Порядок встреч игр 4 финала</t>
  </si>
  <si>
    <t>Места с(</t>
  </si>
  <si>
    <t>по 33 место)</t>
  </si>
  <si>
    <t>Предворительная часть</t>
  </si>
  <si>
    <t>Этапы</t>
  </si>
  <si>
    <t>Кол-во групп</t>
  </si>
  <si>
    <t>Кол-во человек в группе</t>
  </si>
  <si>
    <t>Всего участников</t>
  </si>
  <si>
    <t>Игр</t>
  </si>
  <si>
    <t>Кол-во столов</t>
  </si>
  <si>
    <t>Время на игру (мин)</t>
  </si>
  <si>
    <t>Необходимое время (час)</t>
  </si>
  <si>
    <t>Общее время</t>
  </si>
  <si>
    <t>Группы</t>
  </si>
  <si>
    <t>Итого:</t>
  </si>
  <si>
    <t>Финальная часть</t>
  </si>
  <si>
    <t>1 финал</t>
  </si>
  <si>
    <t>Круг</t>
  </si>
  <si>
    <t>Игры по олимпийской системы</t>
  </si>
  <si>
    <t>Кол-во столов        1 финала</t>
  </si>
  <si>
    <t>32 (-2)</t>
  </si>
  <si>
    <t>16 (-2)</t>
  </si>
  <si>
    <t>Кол-во уч-ков</t>
  </si>
  <si>
    <t>Кол-во игр</t>
  </si>
  <si>
    <t>2 финал</t>
  </si>
  <si>
    <t>3 финал</t>
  </si>
  <si>
    <t>4 финал</t>
  </si>
  <si>
    <t>Время на финальную часть</t>
  </si>
  <si>
    <t>Общее время на  соревнование</t>
  </si>
  <si>
    <t>ШИРЯЕВ Петр</t>
  </si>
  <si>
    <t>НИИИС</t>
  </si>
  <si>
    <t>ГОГОЛЬ Александр</t>
  </si>
  <si>
    <t>ГАЛАНОВ Максим</t>
  </si>
  <si>
    <t>ГРИШИН Иван</t>
  </si>
  <si>
    <t>К</t>
  </si>
  <si>
    <t>СПИСОК КОМАНД</t>
  </si>
  <si>
    <t>КОПНОВ Павел</t>
  </si>
  <si>
    <t>по 16 место)</t>
  </si>
  <si>
    <t>2-0</t>
  </si>
  <si>
    <t>2-1</t>
  </si>
  <si>
    <t>2 финал (</t>
  </si>
  <si>
    <t>по 27 место)</t>
  </si>
  <si>
    <t>Женщины</t>
  </si>
  <si>
    <t>Командное место</t>
  </si>
  <si>
    <t>ТПП</t>
  </si>
  <si>
    <t>ВАХРОМОВ Андрей</t>
  </si>
  <si>
    <t>ГРАЧЕВ Дмитрий</t>
  </si>
  <si>
    <t>ВОЛКОВ Валерий</t>
  </si>
  <si>
    <t>по 8 место)</t>
  </si>
  <si>
    <t>по 16место)</t>
  </si>
  <si>
    <t>по 24 место)</t>
  </si>
  <si>
    <t>3 финал (</t>
  </si>
  <si>
    <t>4 финал (</t>
  </si>
  <si>
    <t>по 32 место)</t>
  </si>
  <si>
    <t>по 39 место)</t>
  </si>
  <si>
    <t>Команда</t>
  </si>
  <si>
    <t>ОАО АНПП "ТЕМП-АВИА"</t>
  </si>
  <si>
    <t>ЯШУНИН Андрей</t>
  </si>
  <si>
    <t>ЧЕРТОВА Ольга</t>
  </si>
  <si>
    <t>ОАО "НИАЭП"</t>
  </si>
  <si>
    <t>ЕРАСТОВ Андрей</t>
  </si>
  <si>
    <t>АКИМОВА Марина</t>
  </si>
  <si>
    <t>НПАП №1</t>
  </si>
  <si>
    <t>ЕГОРОВ Игорь</t>
  </si>
  <si>
    <t>КАРПОВА Юлия</t>
  </si>
  <si>
    <t>"КРАСНОЕ СОРМОВО"</t>
  </si>
  <si>
    <t>ФИЛЬЧУГОВ Сергей</t>
  </si>
  <si>
    <t>ТЫЛЕЧКИН Валерий</t>
  </si>
  <si>
    <t>ФИЛЬЧУГОВ Геннадий</t>
  </si>
  <si>
    <t>КОТОВА Наталья</t>
  </si>
  <si>
    <t>АО "ОКБМ"</t>
  </si>
  <si>
    <t>"ГЖД"</t>
  </si>
  <si>
    <t>ПАО НАЗ "СОКОЛ"</t>
  </si>
  <si>
    <t>ПЧЕЛИН Сергей</t>
  </si>
  <si>
    <t>МАНЗЕНКОВА Наталья</t>
  </si>
  <si>
    <t>АО ФНПЦ НИИРТ</t>
  </si>
  <si>
    <t xml:space="preserve">                                               г. Н. Новгород</t>
  </si>
  <si>
    <t>Соревнования по настольному теннису</t>
  </si>
  <si>
    <t>В.В. Гусев</t>
  </si>
  <si>
    <t>А.С. Кабанов</t>
  </si>
  <si>
    <t>АСТАПОВ Андрей</t>
  </si>
  <si>
    <t>АСТАПОВ Дмитрий</t>
  </si>
  <si>
    <t>МАРКЕЛОВ Игорь</t>
  </si>
  <si>
    <t>ИСУПОВ Максим</t>
  </si>
  <si>
    <t>СИМУСЕВ Сергей</t>
  </si>
  <si>
    <t>ФИНАГИН Кирилл</t>
  </si>
  <si>
    <t>РОЙТМАН Дмитрий</t>
  </si>
  <si>
    <t>СОКОЛОВ Дмитрий</t>
  </si>
  <si>
    <t>АЛЕКСЕЕВА Елена</t>
  </si>
  <si>
    <t>МАТВЕЕВ Сергей</t>
  </si>
  <si>
    <t>БЕЛОУС Денис</t>
  </si>
  <si>
    <t>КАЗАРИНА Светлана</t>
  </si>
  <si>
    <t>КОРНИЛАЕВ Михаил</t>
  </si>
  <si>
    <t>КРЫЛОВА Ольга</t>
  </si>
  <si>
    <t>ГЛЕБОВ Игорь</t>
  </si>
  <si>
    <t>ПАНИН Сергей</t>
  </si>
  <si>
    <t>ЕСЬКИН Михаил</t>
  </si>
  <si>
    <t>ЦАРЕВА Анна</t>
  </si>
  <si>
    <t>ЗАО "НПП "Салют-27"</t>
  </si>
  <si>
    <t>РОДИНОВ Андрей</t>
  </si>
  <si>
    <t>АО "НПП "Полет"</t>
  </si>
  <si>
    <t>ВОЛКОВ Евгений</t>
  </si>
  <si>
    <t>ПЕТУХОВ Николай</t>
  </si>
  <si>
    <t>РОЖЕНКОВА Наталья</t>
  </si>
  <si>
    <t>МУХАМЕТЖАНОВ Сайяр</t>
  </si>
  <si>
    <t>КОНОВ Сергей</t>
  </si>
  <si>
    <t>ВАХРОМОВА Ирина</t>
  </si>
  <si>
    <t>ТИНЬКОВ Александр</t>
  </si>
  <si>
    <t>ТКАЧЕНКО Светлана</t>
  </si>
  <si>
    <t>22 октября 2016 г.</t>
  </si>
  <si>
    <t xml:space="preserve">X Спартакиада
среди предприятий Нижегородской области ФСК "Профсоюзов",
под девизом "Будь спортивным - будь успешным!"
</t>
  </si>
  <si>
    <t>НИКИФОРОВ Александр</t>
  </si>
  <si>
    <t>9 группа</t>
  </si>
  <si>
    <t>10 группа</t>
  </si>
  <si>
    <t>11 группа</t>
  </si>
  <si>
    <t>12 группа</t>
  </si>
  <si>
    <t>Мес</t>
  </si>
  <si>
    <t>Гл.судья:</t>
  </si>
  <si>
    <t>Гл.секретарь:</t>
  </si>
  <si>
    <t>13 группа</t>
  </si>
  <si>
    <t>№1</t>
  </si>
  <si>
    <t>№2</t>
  </si>
  <si>
    <t>Проигравший</t>
  </si>
  <si>
    <t>счет на сетке</t>
  </si>
  <si>
    <t>W</t>
  </si>
  <si>
    <t>счет в партиях</t>
  </si>
  <si>
    <t>по 48 место)</t>
  </si>
  <si>
    <t/>
  </si>
  <si>
    <t xml:space="preserve">Всероссийские соревнования по настольному теннису "Надежды России"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</si>
</sst>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141" x14ac:knownFonts="1">
    <font>
      <sz val="1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i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8"/>
      <name val="Times New Roman Cyr"/>
      <charset val="204"/>
    </font>
    <font>
      <sz val="8"/>
      <name val="Times New Roman Cyr"/>
      <family val="1"/>
      <charset val="204"/>
    </font>
    <font>
      <b/>
      <i/>
      <sz val="9"/>
      <name val="Times New Roman Cyr"/>
      <family val="1"/>
      <charset val="204"/>
    </font>
    <font>
      <b/>
      <i/>
      <u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  <font>
      <b/>
      <u/>
      <sz val="10"/>
      <name val="Times New Roman"/>
      <family val="1"/>
      <charset val="204"/>
    </font>
    <font>
      <i/>
      <sz val="12"/>
      <name val="Times New Roman CYR"/>
      <charset val="204"/>
    </font>
    <font>
      <b/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Arial Cyr"/>
      <charset val="204"/>
    </font>
    <font>
      <sz val="8"/>
      <name val="Times New Roman Cyr"/>
      <charset val="204"/>
    </font>
    <font>
      <i/>
      <sz val="9"/>
      <name val="Times New Roman Cyr"/>
      <family val="1"/>
      <charset val="204"/>
    </font>
    <font>
      <b/>
      <u/>
      <sz val="10"/>
      <name val="Times New Roman Cyr"/>
      <family val="1"/>
      <charset val="204"/>
    </font>
    <font>
      <i/>
      <sz val="9"/>
      <name val="Times New Roman CYR"/>
      <charset val="204"/>
    </font>
    <font>
      <i/>
      <sz val="8"/>
      <name val="Times New Roman CYR"/>
      <charset val="204"/>
    </font>
    <font>
      <sz val="10"/>
      <name val="Arial Narrow"/>
      <family val="2"/>
      <charset val="204"/>
    </font>
    <font>
      <i/>
      <sz val="8"/>
      <name val="Arial Narrow"/>
      <family val="2"/>
      <charset val="204"/>
    </font>
    <font>
      <b/>
      <sz val="8"/>
      <name val="Arial Narrow"/>
      <family val="2"/>
      <charset val="204"/>
    </font>
    <font>
      <b/>
      <sz val="7"/>
      <name val="Arial Narrow"/>
      <family val="2"/>
      <charset val="204"/>
    </font>
    <font>
      <b/>
      <u/>
      <sz val="8"/>
      <name val="Times New Roman Cyr"/>
      <family val="1"/>
      <charset val="204"/>
    </font>
    <font>
      <b/>
      <sz val="9"/>
      <name val="Times New Roman CYR"/>
      <family val="1"/>
      <charset val="204"/>
    </font>
    <font>
      <sz val="8"/>
      <name val="Arial Narrow"/>
      <family val="2"/>
      <charset val="204"/>
    </font>
    <font>
      <i/>
      <sz val="9"/>
      <name val="Arial Narrow"/>
      <family val="2"/>
      <charset val="204"/>
    </font>
    <font>
      <b/>
      <sz val="10"/>
      <name val="Arial Narrow"/>
      <family val="2"/>
      <charset val="204"/>
    </font>
    <font>
      <b/>
      <u/>
      <sz val="10"/>
      <name val="Arial Cyr"/>
      <charset val="204"/>
    </font>
    <font>
      <b/>
      <sz val="10"/>
      <name val="Arial Cyr"/>
      <charset val="204"/>
    </font>
    <font>
      <b/>
      <sz val="12"/>
      <name val="Times New Roman CYR"/>
      <family val="1"/>
      <charset val="204"/>
    </font>
    <font>
      <i/>
      <sz val="10"/>
      <name val="Arial Cyr"/>
      <charset val="204"/>
    </font>
    <font>
      <i/>
      <sz val="8"/>
      <name val="Arial Cyr"/>
      <charset val="204"/>
    </font>
    <font>
      <b/>
      <sz val="9"/>
      <name val="Times New Roman CYR"/>
      <charset val="204"/>
    </font>
    <font>
      <i/>
      <sz val="1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8"/>
      <name val="Times New Roman CYR"/>
      <charset val="204"/>
    </font>
    <font>
      <b/>
      <sz val="12"/>
      <name val="Arial Narrow"/>
      <family val="2"/>
      <charset val="204"/>
    </font>
    <font>
      <i/>
      <sz val="1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name val="Arial Cyr"/>
      <charset val="204"/>
    </font>
    <font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 Cyr"/>
      <charset val="204"/>
    </font>
    <font>
      <sz val="12"/>
      <name val="Times New Roman CYR"/>
      <charset val="204"/>
    </font>
    <font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i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6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i/>
      <sz val="12"/>
      <name val="Times New Roman CYR"/>
      <charset val="204"/>
    </font>
    <font>
      <b/>
      <sz val="12"/>
      <name val="Times New Roman CYR"/>
      <charset val="204"/>
    </font>
    <font>
      <b/>
      <u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i/>
      <sz val="14"/>
      <color theme="1"/>
      <name val="Baskerville Old Face"/>
      <family val="1"/>
    </font>
    <font>
      <i/>
      <u/>
      <sz val="10"/>
      <name val="Times New Roman CYR"/>
      <charset val="204"/>
    </font>
    <font>
      <u/>
      <sz val="10"/>
      <name val="Times New Roman CYR"/>
      <charset val="204"/>
    </font>
    <font>
      <b/>
      <sz val="14"/>
      <color theme="0"/>
      <name val="Calibri"/>
      <family val="2"/>
      <charset val="204"/>
      <scheme val="minor"/>
    </font>
    <font>
      <i/>
      <sz val="16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18"/>
      <color rgb="FFFF0000"/>
      <name val="Times New Roman"/>
      <family val="1"/>
      <charset val="204"/>
    </font>
    <font>
      <b/>
      <i/>
      <sz val="16"/>
      <color theme="0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b/>
      <i/>
      <sz val="18"/>
      <color rgb="FF002060"/>
      <name val="Times New Roman"/>
      <family val="1"/>
      <charset val="204"/>
    </font>
    <font>
      <b/>
      <i/>
      <sz val="24"/>
      <name val="Times New Roman"/>
      <family val="1"/>
      <charset val="204"/>
    </font>
    <font>
      <sz val="14"/>
      <name val="Times New Roman CYR"/>
      <charset val="204"/>
    </font>
    <font>
      <b/>
      <i/>
      <u/>
      <sz val="10"/>
      <name val="Times New Roman CYR"/>
      <charset val="204"/>
    </font>
    <font>
      <b/>
      <u/>
      <sz val="10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ashDotDot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ashDotDot">
        <color indexed="64"/>
      </right>
      <top/>
      <bottom/>
      <diagonal/>
    </border>
    <border>
      <left/>
      <right/>
      <top/>
      <bottom style="dashDotDot">
        <color indexed="64"/>
      </bottom>
      <diagonal/>
    </border>
    <border>
      <left/>
      <right style="dashDotDot">
        <color indexed="64"/>
      </right>
      <top/>
      <bottom style="dashDotDot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ashDotDot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ashDotDot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ashDotDot">
        <color indexed="64"/>
      </right>
      <top style="double">
        <color indexed="64"/>
      </top>
      <bottom/>
      <diagonal/>
    </border>
    <border>
      <left/>
      <right style="dashDotDot">
        <color indexed="64"/>
      </right>
      <top/>
      <bottom style="thin">
        <color indexed="64"/>
      </bottom>
      <diagonal/>
    </border>
    <border>
      <left/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ashDotDot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ashDotDot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2">
    <xf numFmtId="0" fontId="0" fillId="0" borderId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1" fillId="0" borderId="0"/>
    <xf numFmtId="0" fontId="9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1" fillId="0" borderId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11" fillId="23" borderId="8" applyNumberFormat="0" applyFont="0" applyAlignment="0" applyProtection="0"/>
    <xf numFmtId="0" fontId="48" fillId="0" borderId="9" applyNumberFormat="0" applyFill="0" applyAlignment="0" applyProtection="0"/>
    <xf numFmtId="0" fontId="11" fillId="0" borderId="10"/>
    <xf numFmtId="0" fontId="49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2" fillId="0" borderId="0"/>
    <xf numFmtId="0" fontId="1" fillId="0" borderId="0"/>
  </cellStyleXfs>
  <cellXfs count="1485">
    <xf numFmtId="0" fontId="0" fillId="0" borderId="0" xfId="0"/>
    <xf numFmtId="0" fontId="51" fillId="0" borderId="0" xfId="40" applyFont="1" applyAlignment="1">
      <alignment vertical="center"/>
    </xf>
    <xf numFmtId="0" fontId="30" fillId="0" borderId="0" xfId="40" applyAlignment="1">
      <alignment vertical="center"/>
    </xf>
    <xf numFmtId="49" fontId="52" fillId="0" borderId="0" xfId="40" applyNumberFormat="1" applyFont="1" applyAlignment="1">
      <alignment horizontal="right" vertical="center"/>
    </xf>
    <xf numFmtId="14" fontId="31" fillId="0" borderId="0" xfId="40" applyNumberFormat="1" applyFont="1" applyAlignment="1">
      <alignment horizontal="center" vertical="center"/>
    </xf>
    <xf numFmtId="0" fontId="33" fillId="0" borderId="0" xfId="40" applyFont="1" applyAlignment="1">
      <alignment vertical="center"/>
    </xf>
    <xf numFmtId="49" fontId="24" fillId="0" borderId="0" xfId="40" applyNumberFormat="1" applyFont="1" applyAlignment="1">
      <alignment horizontal="left" vertical="center"/>
    </xf>
    <xf numFmtId="0" fontId="24" fillId="24" borderId="0" xfId="40" applyNumberFormat="1" applyFont="1" applyFill="1" applyAlignment="1">
      <alignment horizontal="left" vertical="center"/>
    </xf>
    <xf numFmtId="49" fontId="53" fillId="0" borderId="0" xfId="40" applyNumberFormat="1" applyFont="1" applyAlignment="1">
      <alignment vertical="center"/>
    </xf>
    <xf numFmtId="49" fontId="24" fillId="0" borderId="0" xfId="40" applyNumberFormat="1" applyFont="1" applyAlignment="1">
      <alignment horizontal="center" vertical="center"/>
    </xf>
    <xf numFmtId="49" fontId="24" fillId="0" borderId="0" xfId="40" applyNumberFormat="1" applyFont="1" applyAlignment="1">
      <alignment vertical="center"/>
    </xf>
    <xf numFmtId="49" fontId="24" fillId="0" borderId="0" xfId="40" applyNumberFormat="1" applyFont="1" applyFill="1" applyAlignment="1">
      <alignment vertical="center"/>
    </xf>
    <xf numFmtId="49" fontId="54" fillId="0" borderId="0" xfId="40" applyNumberFormat="1" applyFont="1" applyAlignment="1">
      <alignment vertical="center"/>
    </xf>
    <xf numFmtId="49" fontId="54" fillId="0" borderId="0" xfId="40" applyNumberFormat="1" applyFont="1" applyFill="1" applyAlignment="1">
      <alignment vertical="center"/>
    </xf>
    <xf numFmtId="49" fontId="24" fillId="0" borderId="0" xfId="40" applyNumberFormat="1" applyFont="1" applyAlignment="1">
      <alignment horizontal="right" vertical="center"/>
    </xf>
    <xf numFmtId="49" fontId="25" fillId="0" borderId="0" xfId="40" applyNumberFormat="1" applyFont="1" applyFill="1" applyAlignment="1">
      <alignment horizontal="left" vertical="center"/>
    </xf>
    <xf numFmtId="49" fontId="25" fillId="0" borderId="0" xfId="40" applyNumberFormat="1" applyFont="1" applyAlignment="1">
      <alignment horizontal="left" vertical="center"/>
    </xf>
    <xf numFmtId="49" fontId="24" fillId="0" borderId="11" xfId="40" applyNumberFormat="1" applyFont="1" applyBorder="1" applyAlignment="1">
      <alignment horizontal="left" vertical="center"/>
    </xf>
    <xf numFmtId="0" fontId="24" fillId="25" borderId="0" xfId="40" applyNumberFormat="1" applyFont="1" applyFill="1" applyAlignment="1">
      <alignment vertical="center"/>
    </xf>
    <xf numFmtId="49" fontId="53" fillId="0" borderId="0" xfId="40" applyNumberFormat="1" applyFont="1" applyAlignment="1">
      <alignment horizontal="left" vertical="center"/>
    </xf>
    <xf numFmtId="49" fontId="27" fillId="0" borderId="0" xfId="40" applyNumberFormat="1" applyFont="1" applyAlignment="1">
      <alignment vertical="center"/>
    </xf>
    <xf numFmtId="49" fontId="24" fillId="0" borderId="11" xfId="40" applyNumberFormat="1" applyFont="1" applyBorder="1" applyAlignment="1">
      <alignment vertical="center"/>
    </xf>
    <xf numFmtId="49" fontId="24" fillId="0" borderId="12" xfId="40" applyNumberFormat="1" applyFont="1" applyBorder="1" applyAlignment="1">
      <alignment vertical="center"/>
    </xf>
    <xf numFmtId="49" fontId="25" fillId="0" borderId="12" xfId="40" applyNumberFormat="1" applyFont="1" applyFill="1" applyBorder="1" applyAlignment="1">
      <alignment horizontal="left" vertical="center"/>
    </xf>
    <xf numFmtId="49" fontId="24" fillId="0" borderId="13" xfId="40" applyNumberFormat="1" applyFont="1" applyBorder="1" applyAlignment="1">
      <alignment horizontal="left" vertical="center"/>
    </xf>
    <xf numFmtId="0" fontId="24" fillId="24" borderId="13" xfId="40" applyNumberFormat="1" applyFont="1" applyFill="1" applyBorder="1" applyAlignment="1">
      <alignment horizontal="left" vertical="center"/>
    </xf>
    <xf numFmtId="49" fontId="24" fillId="0" borderId="14" xfId="40" applyNumberFormat="1" applyFont="1" applyBorder="1" applyAlignment="1">
      <alignment horizontal="center" vertical="center"/>
    </xf>
    <xf numFmtId="49" fontId="24" fillId="0" borderId="12" xfId="40" applyNumberFormat="1" applyFont="1" applyFill="1" applyBorder="1" applyAlignment="1">
      <alignment vertical="center"/>
    </xf>
    <xf numFmtId="0" fontId="24" fillId="25" borderId="0" xfId="40" applyNumberFormat="1" applyFont="1" applyFill="1" applyBorder="1" applyAlignment="1">
      <alignment horizontal="right" vertical="center"/>
    </xf>
    <xf numFmtId="49" fontId="24" fillId="0" borderId="0" xfId="40" applyNumberFormat="1" applyFont="1" applyBorder="1" applyAlignment="1">
      <alignment horizontal="left" vertical="center"/>
    </xf>
    <xf numFmtId="49" fontId="24" fillId="0" borderId="0" xfId="40" applyNumberFormat="1" applyFont="1" applyBorder="1" applyAlignment="1">
      <alignment vertical="center"/>
    </xf>
    <xf numFmtId="49" fontId="25" fillId="0" borderId="15" xfId="40" applyNumberFormat="1" applyFont="1" applyFill="1" applyBorder="1" applyAlignment="1">
      <alignment horizontal="left" vertical="center"/>
    </xf>
    <xf numFmtId="49" fontId="24" fillId="0" borderId="0" xfId="40" applyNumberFormat="1" applyFont="1" applyBorder="1" applyAlignment="1">
      <alignment horizontal="center" vertical="center"/>
    </xf>
    <xf numFmtId="49" fontId="53" fillId="0" borderId="0" xfId="40" applyNumberFormat="1" applyFont="1" applyFill="1" applyAlignment="1">
      <alignment horizontal="center" vertical="center"/>
    </xf>
    <xf numFmtId="49" fontId="53" fillId="0" borderId="0" xfId="40" applyNumberFormat="1" applyFont="1" applyAlignment="1">
      <alignment horizontal="center" vertical="center"/>
    </xf>
    <xf numFmtId="0" fontId="24" fillId="25" borderId="13" xfId="40" applyNumberFormat="1" applyFont="1" applyFill="1" applyBorder="1" applyAlignment="1">
      <alignment horizontal="left" vertical="center"/>
    </xf>
    <xf numFmtId="49" fontId="24" fillId="0" borderId="14" xfId="40" applyNumberFormat="1" applyFont="1" applyFill="1" applyBorder="1" applyAlignment="1">
      <alignment horizontal="center" vertical="center"/>
    </xf>
    <xf numFmtId="49" fontId="24" fillId="0" borderId="16" xfId="40" applyNumberFormat="1" applyFont="1" applyBorder="1" applyAlignment="1">
      <alignment horizontal="center" vertical="center"/>
    </xf>
    <xf numFmtId="49" fontId="24" fillId="0" borderId="12" xfId="40" applyNumberFormat="1" applyFont="1" applyBorder="1" applyAlignment="1">
      <alignment horizontal="left" vertical="center"/>
    </xf>
    <xf numFmtId="49" fontId="24" fillId="0" borderId="11" xfId="40" applyNumberFormat="1" applyFont="1" applyBorder="1" applyAlignment="1">
      <alignment horizontal="right" vertical="center"/>
    </xf>
    <xf numFmtId="0" fontId="25" fillId="25" borderId="0" xfId="40" applyNumberFormat="1" applyFont="1" applyFill="1" applyAlignment="1">
      <alignment horizontal="left" vertical="center"/>
    </xf>
    <xf numFmtId="49" fontId="24" fillId="0" borderId="14" xfId="40" applyNumberFormat="1" applyFont="1" applyBorder="1" applyAlignment="1">
      <alignment horizontal="left" vertical="center"/>
    </xf>
    <xf numFmtId="49" fontId="24" fillId="0" borderId="14" xfId="40" applyNumberFormat="1" applyFont="1" applyBorder="1" applyAlignment="1">
      <alignment horizontal="right" vertical="center"/>
    </xf>
    <xf numFmtId="49" fontId="24" fillId="0" borderId="0" xfId="40" applyNumberFormat="1" applyFont="1" applyBorder="1" applyAlignment="1">
      <alignment horizontal="right" vertical="center"/>
    </xf>
    <xf numFmtId="49" fontId="24" fillId="0" borderId="15" xfId="40" applyNumberFormat="1" applyFont="1" applyBorder="1" applyAlignment="1">
      <alignment horizontal="left" vertical="center"/>
    </xf>
    <xf numFmtId="0" fontId="24" fillId="25" borderId="13" xfId="40" applyNumberFormat="1" applyFont="1" applyFill="1" applyBorder="1" applyAlignment="1">
      <alignment vertical="center"/>
    </xf>
    <xf numFmtId="49" fontId="24" fillId="0" borderId="14" xfId="40" applyNumberFormat="1" applyFont="1" applyFill="1" applyBorder="1" applyAlignment="1">
      <alignment vertical="center"/>
    </xf>
    <xf numFmtId="49" fontId="24" fillId="0" borderId="15" xfId="40" applyNumberFormat="1" applyFont="1" applyFill="1" applyBorder="1" applyAlignment="1">
      <alignment vertical="center"/>
    </xf>
    <xf numFmtId="49" fontId="24" fillId="0" borderId="15" xfId="40" applyNumberFormat="1" applyFont="1" applyBorder="1" applyAlignment="1">
      <alignment horizontal="right" vertical="center"/>
    </xf>
    <xf numFmtId="49" fontId="24" fillId="0" borderId="0" xfId="40" applyNumberFormat="1" applyFont="1" applyFill="1" applyBorder="1" applyAlignment="1">
      <alignment vertical="center"/>
    </xf>
    <xf numFmtId="49" fontId="52" fillId="0" borderId="0" xfId="40" applyNumberFormat="1" applyFont="1" applyAlignment="1">
      <alignment horizontal="center" vertical="center"/>
    </xf>
    <xf numFmtId="0" fontId="24" fillId="25" borderId="16" xfId="40" applyNumberFormat="1" applyFont="1" applyFill="1" applyBorder="1" applyAlignment="1">
      <alignment horizontal="right" vertical="center"/>
    </xf>
    <xf numFmtId="49" fontId="25" fillId="0" borderId="14" xfId="40" applyNumberFormat="1" applyFont="1" applyFill="1" applyBorder="1" applyAlignment="1">
      <alignment horizontal="left" vertical="center"/>
    </xf>
    <xf numFmtId="0" fontId="24" fillId="25" borderId="0" xfId="40" applyNumberFormat="1" applyFont="1" applyFill="1" applyBorder="1" applyAlignment="1">
      <alignment vertical="center"/>
    </xf>
    <xf numFmtId="49" fontId="24" fillId="0" borderId="16" xfId="40" applyNumberFormat="1" applyFont="1" applyBorder="1" applyAlignment="1">
      <alignment horizontal="right" vertical="center"/>
    </xf>
    <xf numFmtId="0" fontId="24" fillId="25" borderId="13" xfId="40" applyNumberFormat="1" applyFont="1" applyFill="1" applyBorder="1" applyAlignment="1">
      <alignment horizontal="right" vertical="center"/>
    </xf>
    <xf numFmtId="49" fontId="52" fillId="0" borderId="15" xfId="40" applyNumberFormat="1" applyFont="1" applyBorder="1" applyAlignment="1">
      <alignment horizontal="center" vertical="center"/>
    </xf>
    <xf numFmtId="49" fontId="53" fillId="0" borderId="14" xfId="40" applyNumberFormat="1" applyFont="1" applyFill="1" applyBorder="1" applyAlignment="1">
      <alignment horizontal="center" vertical="center"/>
    </xf>
    <xf numFmtId="49" fontId="53" fillId="0" borderId="0" xfId="40" applyNumberFormat="1" applyFont="1" applyBorder="1" applyAlignment="1">
      <alignment horizontal="center" vertical="center"/>
    </xf>
    <xf numFmtId="0" fontId="25" fillId="0" borderId="0" xfId="40" applyNumberFormat="1" applyFont="1" applyFill="1" applyAlignment="1">
      <alignment horizontal="left" vertical="center"/>
    </xf>
    <xf numFmtId="49" fontId="62" fillId="0" borderId="0" xfId="40" applyNumberFormat="1" applyFont="1" applyAlignment="1">
      <alignment horizontal="right" vertical="center"/>
    </xf>
    <xf numFmtId="0" fontId="24" fillId="0" borderId="0" xfId="40" applyNumberFormat="1" applyFont="1" applyFill="1" applyAlignment="1">
      <alignment vertical="center"/>
    </xf>
    <xf numFmtId="0" fontId="24" fillId="24" borderId="0" xfId="40" applyNumberFormat="1" applyFont="1" applyFill="1" applyAlignment="1">
      <alignment vertical="center"/>
    </xf>
    <xf numFmtId="49" fontId="24" fillId="0" borderId="11" xfId="40" applyNumberFormat="1" applyFont="1" applyBorder="1" applyAlignment="1">
      <alignment horizontal="center" vertical="center"/>
    </xf>
    <xf numFmtId="49" fontId="53" fillId="0" borderId="0" xfId="40" applyNumberFormat="1" applyFont="1" applyFill="1" applyAlignment="1">
      <alignment horizontal="left" vertical="center"/>
    </xf>
    <xf numFmtId="49" fontId="53" fillId="0" borderId="14" xfId="40" applyNumberFormat="1" applyFont="1" applyFill="1" applyBorder="1" applyAlignment="1">
      <alignment horizontal="left" vertical="center"/>
    </xf>
    <xf numFmtId="49" fontId="53" fillId="0" borderId="16" xfId="40" applyNumberFormat="1" applyFont="1" applyBorder="1" applyAlignment="1">
      <alignment horizontal="left" vertical="center"/>
    </xf>
    <xf numFmtId="0" fontId="24" fillId="25" borderId="0" xfId="40" applyNumberFormat="1" applyFont="1" applyFill="1" applyAlignment="1">
      <alignment horizontal="right" vertical="center"/>
    </xf>
    <xf numFmtId="49" fontId="53" fillId="0" borderId="15" xfId="40" applyNumberFormat="1" applyFont="1" applyBorder="1" applyAlignment="1">
      <alignment horizontal="center" vertical="center"/>
    </xf>
    <xf numFmtId="49" fontId="24" fillId="0" borderId="13" xfId="40" applyNumberFormat="1" applyFont="1" applyBorder="1" applyAlignment="1">
      <alignment horizontal="center" vertical="center"/>
    </xf>
    <xf numFmtId="49" fontId="24" fillId="0" borderId="12" xfId="40" applyNumberFormat="1" applyFont="1" applyFill="1" applyBorder="1" applyAlignment="1">
      <alignment horizontal="center" vertical="center"/>
    </xf>
    <xf numFmtId="49" fontId="24" fillId="0" borderId="0" xfId="40" applyNumberFormat="1" applyFont="1" applyFill="1" applyAlignment="1">
      <alignment horizontal="center" vertical="center"/>
    </xf>
    <xf numFmtId="0" fontId="25" fillId="24" borderId="0" xfId="40" applyNumberFormat="1" applyFont="1" applyFill="1" applyAlignment="1">
      <alignment horizontal="left" vertical="center"/>
    </xf>
    <xf numFmtId="49" fontId="53" fillId="0" borderId="0" xfId="40" applyNumberFormat="1" applyFont="1" applyFill="1" applyAlignment="1">
      <alignment vertical="center"/>
    </xf>
    <xf numFmtId="49" fontId="53" fillId="0" borderId="16" xfId="40" applyNumberFormat="1" applyFont="1" applyBorder="1" applyAlignment="1">
      <alignment vertical="center"/>
    </xf>
    <xf numFmtId="49" fontId="26" fillId="0" borderId="0" xfId="40" applyNumberFormat="1" applyFont="1" applyAlignment="1">
      <alignment vertical="center"/>
    </xf>
    <xf numFmtId="49" fontId="20" fillId="0" borderId="0" xfId="40" applyNumberFormat="1" applyFont="1" applyAlignment="1">
      <alignment vertical="center"/>
    </xf>
    <xf numFmtId="49" fontId="25" fillId="0" borderId="0" xfId="40" applyNumberFormat="1" applyFont="1" applyAlignment="1">
      <alignment horizontal="center" vertical="center"/>
    </xf>
    <xf numFmtId="49" fontId="24" fillId="0" borderId="14" xfId="40" applyNumberFormat="1" applyFont="1" applyBorder="1" applyAlignment="1">
      <alignment vertical="center"/>
    </xf>
    <xf numFmtId="0" fontId="24" fillId="0" borderId="11" xfId="40" applyNumberFormat="1" applyFont="1" applyFill="1" applyBorder="1" applyAlignment="1">
      <alignment horizontal="left" vertical="center"/>
    </xf>
    <xf numFmtId="49" fontId="24" fillId="0" borderId="13" xfId="40" applyNumberFormat="1" applyFont="1" applyBorder="1" applyAlignment="1">
      <alignment vertical="center"/>
    </xf>
    <xf numFmtId="0" fontId="24" fillId="24" borderId="13" xfId="40" applyNumberFormat="1" applyFont="1" applyFill="1" applyBorder="1" applyAlignment="1">
      <alignment vertical="center"/>
    </xf>
    <xf numFmtId="49" fontId="20" fillId="0" borderId="0" xfId="40" applyNumberFormat="1" applyFont="1" applyAlignment="1">
      <alignment horizontal="center" vertical="center"/>
    </xf>
    <xf numFmtId="49" fontId="53" fillId="0" borderId="0" xfId="40" applyNumberFormat="1" applyFont="1" applyFill="1" applyBorder="1" applyAlignment="1">
      <alignment horizontal="left" vertical="center"/>
    </xf>
    <xf numFmtId="49" fontId="53" fillId="0" borderId="0" xfId="40" applyNumberFormat="1" applyFont="1" applyBorder="1" applyAlignment="1">
      <alignment vertical="center"/>
    </xf>
    <xf numFmtId="0" fontId="24" fillId="0" borderId="0" xfId="40" applyFont="1" applyAlignment="1">
      <alignment vertical="center"/>
    </xf>
    <xf numFmtId="0" fontId="24" fillId="0" borderId="0" xfId="40" applyFont="1" applyFill="1" applyAlignment="1">
      <alignment vertical="center"/>
    </xf>
    <xf numFmtId="0" fontId="24" fillId="0" borderId="13" xfId="40" applyFont="1" applyBorder="1" applyAlignment="1">
      <alignment vertical="center"/>
    </xf>
    <xf numFmtId="0" fontId="30" fillId="0" borderId="0" xfId="40" applyAlignment="1">
      <alignment horizontal="center" vertical="center"/>
    </xf>
    <xf numFmtId="0" fontId="30" fillId="0" borderId="0" xfId="40" applyFill="1" applyAlignment="1">
      <alignment vertical="center"/>
    </xf>
    <xf numFmtId="0" fontId="33" fillId="0" borderId="0" xfId="40" applyFont="1" applyFill="1" applyAlignment="1">
      <alignment vertical="center"/>
    </xf>
    <xf numFmtId="0" fontId="11" fillId="0" borderId="0" xfId="36"/>
    <xf numFmtId="0" fontId="12" fillId="0" borderId="0" xfId="36" applyFont="1" applyAlignment="1">
      <alignment horizontal="center"/>
    </xf>
    <xf numFmtId="14" fontId="11" fillId="0" borderId="0" xfId="36" applyNumberFormat="1"/>
    <xf numFmtId="0" fontId="11" fillId="0" borderId="0" xfId="36" applyAlignment="1">
      <alignment horizontal="center"/>
    </xf>
    <xf numFmtId="49" fontId="32" fillId="26" borderId="17" xfId="36" applyNumberFormat="1" applyFont="1" applyFill="1" applyBorder="1" applyAlignment="1">
      <alignment horizontal="center" vertical="center" wrapText="1"/>
    </xf>
    <xf numFmtId="49" fontId="32" fillId="26" borderId="18" xfId="36" applyNumberFormat="1" applyFont="1" applyFill="1" applyBorder="1" applyAlignment="1">
      <alignment horizontal="center" vertical="center" wrapText="1"/>
    </xf>
    <xf numFmtId="14" fontId="32" fillId="26" borderId="17" xfId="36" applyNumberFormat="1" applyFont="1" applyFill="1" applyBorder="1" applyAlignment="1">
      <alignment horizontal="center" vertical="center" wrapText="1"/>
    </xf>
    <xf numFmtId="49" fontId="32" fillId="26" borderId="19" xfId="36" applyNumberFormat="1" applyFont="1" applyFill="1" applyBorder="1" applyAlignment="1">
      <alignment horizontal="center" vertical="center" wrapText="1"/>
    </xf>
    <xf numFmtId="0" fontId="12" fillId="25" borderId="20" xfId="36" applyFont="1" applyFill="1" applyBorder="1" applyAlignment="1">
      <alignment horizontal="center"/>
    </xf>
    <xf numFmtId="0" fontId="13" fillId="0" borderId="21" xfId="36" applyNumberFormat="1" applyFont="1" applyBorder="1" applyAlignment="1">
      <alignment horizontal="left" vertical="center"/>
    </xf>
    <xf numFmtId="14" fontId="13" fillId="0" borderId="22" xfId="36" applyNumberFormat="1" applyFont="1" applyBorder="1" applyAlignment="1">
      <alignment horizontal="center" vertical="center"/>
    </xf>
    <xf numFmtId="0" fontId="13" fillId="0" borderId="23" xfId="36" applyNumberFormat="1" applyFont="1" applyBorder="1" applyAlignment="1">
      <alignment horizontal="center" vertical="center"/>
    </xf>
    <xf numFmtId="0" fontId="19" fillId="0" borderId="22" xfId="36" applyNumberFormat="1" applyFont="1" applyBorder="1" applyAlignment="1">
      <alignment horizontal="center" vertical="center"/>
    </xf>
    <xf numFmtId="0" fontId="11" fillId="25" borderId="0" xfId="36" applyNumberFormat="1" applyFill="1"/>
    <xf numFmtId="0" fontId="13" fillId="0" borderId="21" xfId="36" applyFont="1" applyFill="1" applyBorder="1"/>
    <xf numFmtId="0" fontId="19" fillId="0" borderId="24" xfId="36" applyNumberFormat="1" applyFont="1" applyBorder="1" applyAlignment="1">
      <alignment horizontal="center" vertical="center"/>
    </xf>
    <xf numFmtId="0" fontId="19" fillId="0" borderId="25" xfId="36" applyNumberFormat="1" applyFont="1" applyBorder="1" applyAlignment="1">
      <alignment horizontal="center" vertical="center"/>
    </xf>
    <xf numFmtId="0" fontId="19" fillId="0" borderId="21" xfId="36" applyNumberFormat="1" applyFont="1" applyBorder="1" applyAlignment="1">
      <alignment horizontal="center" vertical="center"/>
    </xf>
    <xf numFmtId="0" fontId="0" fillId="0" borderId="0" xfId="0" applyBorder="1"/>
    <xf numFmtId="0" fontId="97" fillId="0" borderId="0" xfId="37"/>
    <xf numFmtId="49" fontId="22" fillId="0" borderId="26" xfId="36" applyNumberFormat="1" applyFont="1" applyFill="1" applyBorder="1" applyAlignment="1">
      <alignment horizontal="center" vertical="center" wrapText="1"/>
    </xf>
    <xf numFmtId="49" fontId="22" fillId="0" borderId="27" xfId="36" applyNumberFormat="1" applyFont="1" applyFill="1" applyBorder="1" applyAlignment="1">
      <alignment horizontal="center" vertical="center" wrapText="1"/>
    </xf>
    <xf numFmtId="0" fontId="13" fillId="0" borderId="22" xfId="36" applyNumberFormat="1" applyFont="1" applyBorder="1" applyAlignment="1">
      <alignment horizontal="center" vertical="center"/>
    </xf>
    <xf numFmtId="0" fontId="11" fillId="25" borderId="26" xfId="36" applyNumberFormat="1" applyFill="1" applyBorder="1"/>
    <xf numFmtId="0" fontId="11" fillId="25" borderId="13" xfId="36" applyNumberFormat="1" applyFill="1" applyBorder="1"/>
    <xf numFmtId="0" fontId="11" fillId="25" borderId="27" xfId="36" applyNumberFormat="1" applyFill="1" applyBorder="1"/>
    <xf numFmtId="0" fontId="11" fillId="25" borderId="20" xfId="36" applyNumberFormat="1" applyFill="1" applyBorder="1"/>
    <xf numFmtId="0" fontId="67" fillId="0" borderId="10" xfId="40" applyFont="1" applyBorder="1" applyAlignment="1">
      <alignment vertical="center"/>
    </xf>
    <xf numFmtId="0" fontId="69" fillId="0" borderId="10" xfId="40" applyNumberFormat="1" applyFont="1" applyBorder="1" applyAlignment="1">
      <alignment vertical="center"/>
    </xf>
    <xf numFmtId="0" fontId="67" fillId="0" borderId="10" xfId="40" applyFont="1" applyBorder="1" applyAlignment="1">
      <alignment horizontal="center" vertical="center"/>
    </xf>
    <xf numFmtId="0" fontId="30" fillId="0" borderId="0" xfId="40" applyNumberFormat="1" applyAlignment="1">
      <alignment vertical="center"/>
    </xf>
    <xf numFmtId="0" fontId="69" fillId="0" borderId="0" xfId="40" applyFont="1" applyAlignment="1">
      <alignment vertical="center"/>
    </xf>
    <xf numFmtId="0" fontId="67" fillId="0" borderId="0" xfId="40" applyFont="1" applyAlignment="1">
      <alignment horizontal="center" vertical="center"/>
    </xf>
    <xf numFmtId="0" fontId="70" fillId="0" borderId="0" xfId="40" applyFont="1" applyAlignment="1">
      <alignment vertical="center"/>
    </xf>
    <xf numFmtId="0" fontId="30" fillId="0" borderId="0" xfId="40"/>
    <xf numFmtId="0" fontId="30" fillId="0" borderId="0" xfId="40" applyNumberFormat="1"/>
    <xf numFmtId="0" fontId="30" fillId="0" borderId="0" xfId="40" applyAlignment="1">
      <alignment horizontal="center"/>
    </xf>
    <xf numFmtId="0" fontId="97" fillId="0" borderId="0" xfId="37"/>
    <xf numFmtId="0" fontId="98" fillId="0" borderId="10" xfId="37" applyFont="1" applyBorder="1" applyAlignment="1">
      <alignment horizontal="center" vertical="center"/>
    </xf>
    <xf numFmtId="0" fontId="98" fillId="0" borderId="29" xfId="37" applyFont="1" applyBorder="1" applyAlignment="1">
      <alignment horizontal="center" vertical="center"/>
    </xf>
    <xf numFmtId="0" fontId="98" fillId="0" borderId="30" xfId="37" applyFont="1" applyBorder="1" applyAlignment="1">
      <alignment horizontal="center" vertical="center"/>
    </xf>
    <xf numFmtId="0" fontId="98" fillId="0" borderId="10" xfId="37" applyFont="1" applyBorder="1"/>
    <xf numFmtId="0" fontId="99" fillId="0" borderId="31" xfId="37" applyFont="1" applyBorder="1"/>
    <xf numFmtId="0" fontId="100" fillId="0" borderId="32" xfId="37" applyFont="1" applyBorder="1"/>
    <xf numFmtId="0" fontId="101" fillId="0" borderId="29" xfId="37" applyFont="1" applyBorder="1"/>
    <xf numFmtId="0" fontId="101" fillId="0" borderId="20" xfId="37" applyFont="1" applyBorder="1" applyAlignment="1">
      <alignment horizontal="center"/>
    </xf>
    <xf numFmtId="0" fontId="101" fillId="0" borderId="33" xfId="37" applyFont="1" applyBorder="1"/>
    <xf numFmtId="0" fontId="101" fillId="0" borderId="34" xfId="37" applyFont="1" applyBorder="1" applyProtection="1"/>
    <xf numFmtId="0" fontId="101" fillId="0" borderId="20" xfId="37" applyFont="1" applyBorder="1" applyAlignment="1" applyProtection="1">
      <alignment horizontal="center"/>
    </xf>
    <xf numFmtId="0" fontId="101" fillId="0" borderId="14" xfId="37" applyFont="1" applyBorder="1" applyAlignment="1" applyProtection="1">
      <alignment horizontal="left"/>
    </xf>
    <xf numFmtId="0" fontId="101" fillId="0" borderId="34" xfId="37" applyFont="1" applyBorder="1"/>
    <xf numFmtId="0" fontId="101" fillId="0" borderId="14" xfId="37" applyFont="1" applyBorder="1" applyAlignment="1">
      <alignment horizontal="left"/>
    </xf>
    <xf numFmtId="0" fontId="102" fillId="0" borderId="0" xfId="37" applyFont="1"/>
    <xf numFmtId="0" fontId="11" fillId="0" borderId="10" xfId="36" applyBorder="1" applyAlignment="1">
      <alignment horizontal="center"/>
    </xf>
    <xf numFmtId="0" fontId="11" fillId="0" borderId="10" xfId="36" applyBorder="1"/>
    <xf numFmtId="0" fontId="11" fillId="0" borderId="35" xfId="36" applyBorder="1" applyAlignment="1">
      <alignment horizontal="center"/>
    </xf>
    <xf numFmtId="0" fontId="19" fillId="0" borderId="35" xfId="36" applyFont="1" applyBorder="1" applyAlignment="1">
      <alignment horizontal="center" vertical="center"/>
    </xf>
    <xf numFmtId="0" fontId="11" fillId="0" borderId="35" xfId="36" applyBorder="1"/>
    <xf numFmtId="0" fontId="11" fillId="29" borderId="32" xfId="36" applyFill="1" applyBorder="1"/>
    <xf numFmtId="0" fontId="11" fillId="0" borderId="32" xfId="36" applyNumberFormat="1" applyBorder="1" applyAlignment="1">
      <alignment horizontal="center" vertical="center"/>
    </xf>
    <xf numFmtId="0" fontId="11" fillId="0" borderId="32" xfId="36" applyNumberFormat="1" applyFont="1" applyBorder="1" applyAlignment="1">
      <alignment horizontal="center" vertical="center"/>
    </xf>
    <xf numFmtId="0" fontId="12" fillId="0" borderId="34" xfId="36" applyNumberFormat="1" applyFont="1" applyBorder="1" applyAlignment="1">
      <alignment horizontal="center"/>
    </xf>
    <xf numFmtId="0" fontId="12" fillId="0" borderId="13" xfId="36" applyNumberFormat="1" applyFont="1" applyBorder="1" applyAlignment="1">
      <alignment horizontal="center"/>
    </xf>
    <xf numFmtId="0" fontId="12" fillId="0" borderId="14" xfId="36" applyNumberFormat="1" applyFont="1" applyBorder="1" applyAlignment="1">
      <alignment horizontal="center"/>
    </xf>
    <xf numFmtId="0" fontId="11" fillId="0" borderId="32" xfId="36" applyBorder="1" applyAlignment="1">
      <alignment horizontal="center" vertical="center"/>
    </xf>
    <xf numFmtId="0" fontId="72" fillId="0" borderId="10" xfId="36" applyFont="1" applyBorder="1" applyAlignment="1">
      <alignment horizontal="center" vertical="center"/>
    </xf>
    <xf numFmtId="0" fontId="11" fillId="29" borderId="10" xfId="36" applyFill="1" applyBorder="1"/>
    <xf numFmtId="0" fontId="12" fillId="0" borderId="10" xfId="36" applyNumberFormat="1" applyFont="1" applyBorder="1" applyAlignment="1">
      <alignment horizontal="center" vertical="center"/>
    </xf>
    <xf numFmtId="0" fontId="12" fillId="0" borderId="10" xfId="36" applyNumberFormat="1" applyFont="1" applyFill="1" applyBorder="1" applyAlignment="1">
      <alignment horizontal="center" vertical="center"/>
    </xf>
    <xf numFmtId="0" fontId="12" fillId="0" borderId="29" xfId="36" applyNumberFormat="1" applyFont="1" applyBorder="1" applyAlignment="1">
      <alignment horizontal="center"/>
    </xf>
    <xf numFmtId="0" fontId="12" fillId="0" borderId="20" xfId="36" applyNumberFormat="1" applyFont="1" applyBorder="1" applyAlignment="1">
      <alignment horizontal="center"/>
    </xf>
    <xf numFmtId="0" fontId="12" fillId="0" borderId="33" xfId="36" applyNumberFormat="1" applyFont="1" applyBorder="1" applyAlignment="1">
      <alignment horizontal="center"/>
    </xf>
    <xf numFmtId="0" fontId="11" fillId="0" borderId="10" xfId="36" applyBorder="1" applyAlignment="1">
      <alignment horizontal="center" vertical="center"/>
    </xf>
    <xf numFmtId="0" fontId="11" fillId="0" borderId="0" xfId="36" applyBorder="1"/>
    <xf numFmtId="0" fontId="12" fillId="0" borderId="10" xfId="36" applyFont="1" applyBorder="1" applyAlignment="1">
      <alignment horizontal="center" vertical="center"/>
    </xf>
    <xf numFmtId="0" fontId="11" fillId="0" borderId="20" xfId="36" applyBorder="1"/>
    <xf numFmtId="0" fontId="11" fillId="0" borderId="33" xfId="36" applyBorder="1"/>
    <xf numFmtId="0" fontId="12" fillId="0" borderId="29" xfId="36" applyFont="1" applyBorder="1" applyAlignment="1">
      <alignment horizontal="center" vertical="center"/>
    </xf>
    <xf numFmtId="0" fontId="12" fillId="0" borderId="20" xfId="36" applyNumberFormat="1" applyFont="1" applyBorder="1" applyAlignment="1">
      <alignment horizontal="center" vertical="center"/>
    </xf>
    <xf numFmtId="0" fontId="12" fillId="0" borderId="33" xfId="36" applyNumberFormat="1" applyFont="1" applyBorder="1" applyAlignment="1">
      <alignment horizontal="center" vertical="center"/>
    </xf>
    <xf numFmtId="0" fontId="12" fillId="0" borderId="33" xfId="36" applyFont="1" applyBorder="1" applyAlignment="1">
      <alignment horizontal="center" vertical="center"/>
    </xf>
    <xf numFmtId="0" fontId="72" fillId="0" borderId="34" xfId="36" applyFont="1" applyBorder="1" applyAlignment="1">
      <alignment horizontal="center" vertical="center"/>
    </xf>
    <xf numFmtId="0" fontId="72" fillId="0" borderId="29" xfId="36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28" borderId="19" xfId="36" applyFont="1" applyFill="1" applyBorder="1" applyAlignment="1">
      <alignment horizontal="center" vertical="center" wrapText="1"/>
    </xf>
    <xf numFmtId="0" fontId="12" fillId="28" borderId="17" xfId="36" applyFont="1" applyFill="1" applyBorder="1" applyAlignment="1">
      <alignment horizontal="center" vertical="center" wrapText="1"/>
    </xf>
    <xf numFmtId="0" fontId="12" fillId="28" borderId="17" xfId="36" applyFont="1" applyFill="1" applyBorder="1" applyAlignment="1">
      <alignment horizontal="center" vertical="center" textRotation="90" wrapText="1"/>
    </xf>
    <xf numFmtId="49" fontId="22" fillId="0" borderId="26" xfId="36" applyNumberFormat="1" applyFont="1" applyBorder="1" applyAlignment="1">
      <alignment horizontal="center" vertical="center" wrapText="1"/>
    </xf>
    <xf numFmtId="0" fontId="11" fillId="0" borderId="32" xfId="36" applyNumberFormat="1" applyFill="1" applyBorder="1"/>
    <xf numFmtId="0" fontId="19" fillId="0" borderId="32" xfId="36" applyNumberFormat="1" applyFont="1" applyFill="1" applyBorder="1"/>
    <xf numFmtId="0" fontId="11" fillId="0" borderId="10" xfId="36" applyNumberFormat="1" applyFill="1" applyBorder="1"/>
    <xf numFmtId="0" fontId="19" fillId="0" borderId="36" xfId="36" applyNumberFormat="1" applyFont="1" applyBorder="1" applyAlignment="1">
      <alignment horizontal="center" vertical="center"/>
    </xf>
    <xf numFmtId="0" fontId="11" fillId="0" borderId="0" xfId="36" applyNumberFormat="1" applyFill="1" applyBorder="1"/>
    <xf numFmtId="0" fontId="0" fillId="0" borderId="22" xfId="0" applyBorder="1"/>
    <xf numFmtId="49" fontId="22" fillId="0" borderId="0" xfId="36" applyNumberFormat="1" applyFont="1" applyFill="1" applyBorder="1" applyAlignment="1">
      <alignment horizontal="center" vertical="center" wrapText="1"/>
    </xf>
    <xf numFmtId="0" fontId="103" fillId="0" borderId="0" xfId="37" applyFont="1" applyAlignment="1">
      <alignment horizontal="center" vertical="center"/>
    </xf>
    <xf numFmtId="0" fontId="98" fillId="0" borderId="33" xfId="37" applyFont="1" applyBorder="1" applyAlignment="1">
      <alignment horizontal="center"/>
    </xf>
    <xf numFmtId="0" fontId="13" fillId="0" borderId="21" xfId="36" applyNumberFormat="1" applyFont="1" applyBorder="1" applyAlignment="1">
      <alignment horizontal="center" vertical="center"/>
    </xf>
    <xf numFmtId="0" fontId="14" fillId="0" borderId="0" xfId="36" applyFont="1" applyBorder="1" applyAlignment="1">
      <alignment horizontal="center" vertical="center"/>
    </xf>
    <xf numFmtId="0" fontId="24" fillId="0" borderId="0" xfId="40" applyNumberFormat="1" applyFont="1" applyAlignment="1">
      <alignment horizontal="left" vertical="center"/>
    </xf>
    <xf numFmtId="0" fontId="24" fillId="0" borderId="11" xfId="40" applyNumberFormat="1" applyFont="1" applyBorder="1" applyAlignment="1">
      <alignment horizontal="left" vertical="center"/>
    </xf>
    <xf numFmtId="0" fontId="24" fillId="0" borderId="0" xfId="40" applyNumberFormat="1" applyFont="1" applyAlignment="1">
      <alignment horizontal="center" vertical="center"/>
    </xf>
    <xf numFmtId="0" fontId="11" fillId="0" borderId="20" xfId="36" applyBorder="1" applyAlignment="1">
      <alignment horizontal="center"/>
    </xf>
    <xf numFmtId="0" fontId="12" fillId="0" borderId="32" xfId="36" applyNumberFormat="1" applyFont="1" applyBorder="1" applyAlignment="1">
      <alignment horizontal="center" vertical="center"/>
    </xf>
    <xf numFmtId="0" fontId="11" fillId="30" borderId="32" xfId="36" applyFill="1" applyBorder="1"/>
    <xf numFmtId="0" fontId="11" fillId="30" borderId="10" xfId="36" applyFill="1" applyBorder="1"/>
    <xf numFmtId="0" fontId="12" fillId="0" borderId="20" xfId="36" applyFont="1" applyBorder="1" applyAlignment="1">
      <alignment horizontal="center" vertical="center"/>
    </xf>
    <xf numFmtId="0" fontId="11" fillId="29" borderId="38" xfId="36" applyFill="1" applyBorder="1"/>
    <xf numFmtId="0" fontId="11" fillId="29" borderId="39" xfId="36" applyFill="1" applyBorder="1"/>
    <xf numFmtId="0" fontId="19" fillId="0" borderId="0" xfId="36" applyFont="1" applyBorder="1" applyAlignment="1">
      <alignment horizontal="center" vertical="center"/>
    </xf>
    <xf numFmtId="0" fontId="18" fillId="0" borderId="0" xfId="36" applyFont="1" applyBorder="1" applyAlignment="1">
      <alignment horizontal="right" vertical="center"/>
    </xf>
    <xf numFmtId="0" fontId="11" fillId="0" borderId="0" xfId="36" applyAlignment="1">
      <alignment vertical="center"/>
    </xf>
    <xf numFmtId="49" fontId="55" fillId="0" borderId="0" xfId="40" applyNumberFormat="1" applyFont="1" applyAlignment="1">
      <alignment horizontal="left" vertical="center"/>
    </xf>
    <xf numFmtId="49" fontId="24" fillId="0" borderId="12" xfId="40" applyNumberFormat="1" applyFont="1" applyBorder="1" applyAlignment="1">
      <alignment horizontal="center" vertical="center"/>
    </xf>
    <xf numFmtId="0" fontId="57" fillId="0" borderId="0" xfId="36" applyFont="1" applyAlignment="1">
      <alignment vertical="center"/>
    </xf>
    <xf numFmtId="49" fontId="53" fillId="0" borderId="13" xfId="40" applyNumberFormat="1" applyFont="1" applyBorder="1" applyAlignment="1">
      <alignment vertical="center"/>
    </xf>
    <xf numFmtId="0" fontId="24" fillId="0" borderId="11" xfId="40" applyNumberFormat="1" applyFont="1" applyBorder="1" applyAlignment="1">
      <alignment vertical="center"/>
    </xf>
    <xf numFmtId="49" fontId="24" fillId="0" borderId="0" xfId="36" applyNumberFormat="1" applyFont="1" applyAlignment="1">
      <alignment horizontal="left" vertical="center"/>
    </xf>
    <xf numFmtId="0" fontId="24" fillId="25" borderId="0" xfId="36" applyNumberFormat="1" applyFont="1" applyFill="1" applyAlignment="1">
      <alignment horizontal="left" vertical="center"/>
    </xf>
    <xf numFmtId="0" fontId="55" fillId="0" borderId="0" xfId="36" applyNumberFormat="1" applyFont="1" applyAlignment="1">
      <alignment vertical="center"/>
    </xf>
    <xf numFmtId="0" fontId="58" fillId="0" borderId="0" xfId="36" applyNumberFormat="1" applyFont="1" applyAlignment="1">
      <alignment vertical="center"/>
    </xf>
    <xf numFmtId="49" fontId="53" fillId="0" borderId="0" xfId="36" applyNumberFormat="1" applyFont="1" applyAlignment="1">
      <alignment vertical="center"/>
    </xf>
    <xf numFmtId="49" fontId="26" fillId="0" borderId="0" xfId="36" applyNumberFormat="1" applyFont="1" applyAlignment="1">
      <alignment vertical="center"/>
    </xf>
    <xf numFmtId="49" fontId="54" fillId="0" borderId="0" xfId="36" applyNumberFormat="1" applyFont="1" applyAlignment="1">
      <alignment vertical="center"/>
    </xf>
    <xf numFmtId="49" fontId="20" fillId="0" borderId="0" xfId="36" applyNumberFormat="1" applyFont="1" applyAlignment="1">
      <alignment vertical="center"/>
    </xf>
    <xf numFmtId="0" fontId="24" fillId="0" borderId="12" xfId="40" applyNumberFormat="1" applyFont="1" applyFill="1" applyBorder="1" applyAlignment="1">
      <alignment horizontal="right" vertical="center"/>
    </xf>
    <xf numFmtId="49" fontId="24" fillId="0" borderId="11" xfId="36" applyNumberFormat="1" applyFont="1" applyBorder="1" applyAlignment="1">
      <alignment horizontal="left" vertical="center"/>
    </xf>
    <xf numFmtId="49" fontId="59" fillId="0" borderId="12" xfId="36" applyNumberFormat="1" applyFont="1" applyBorder="1" applyAlignment="1">
      <alignment horizontal="right" vertical="center"/>
    </xf>
    <xf numFmtId="0" fontId="24" fillId="25" borderId="0" xfId="36" applyNumberFormat="1" applyFont="1" applyFill="1" applyBorder="1" applyAlignment="1">
      <alignment horizontal="right" vertical="center"/>
    </xf>
    <xf numFmtId="49" fontId="53" fillId="0" borderId="0" xfId="36" applyNumberFormat="1" applyFont="1" applyAlignment="1">
      <alignment horizontal="center" vertical="center"/>
    </xf>
    <xf numFmtId="49" fontId="27" fillId="0" borderId="0" xfId="36" applyNumberFormat="1" applyFont="1" applyAlignment="1">
      <alignment vertical="center"/>
    </xf>
    <xf numFmtId="49" fontId="55" fillId="0" borderId="13" xfId="40" applyNumberFormat="1" applyFont="1" applyBorder="1" applyAlignment="1">
      <alignment horizontal="left" vertical="center"/>
    </xf>
    <xf numFmtId="49" fontId="24" fillId="0" borderId="13" xfId="36" applyNumberFormat="1" applyFont="1" applyBorder="1" applyAlignment="1">
      <alignment horizontal="left" vertical="center"/>
    </xf>
    <xf numFmtId="0" fontId="24" fillId="25" borderId="13" xfId="36" applyNumberFormat="1" applyFont="1" applyFill="1" applyBorder="1" applyAlignment="1">
      <alignment horizontal="left" vertical="center"/>
    </xf>
    <xf numFmtId="49" fontId="55" fillId="0" borderId="13" xfId="36" applyNumberFormat="1" applyFont="1" applyBorder="1" applyAlignment="1">
      <alignment vertical="center"/>
    </xf>
    <xf numFmtId="49" fontId="58" fillId="0" borderId="14" xfId="36" applyNumberFormat="1" applyFont="1" applyBorder="1" applyAlignment="1">
      <alignment vertical="center"/>
    </xf>
    <xf numFmtId="49" fontId="53" fillId="0" borderId="0" xfId="36" applyNumberFormat="1" applyFont="1" applyBorder="1" applyAlignment="1">
      <alignment vertical="center"/>
    </xf>
    <xf numFmtId="0" fontId="24" fillId="0" borderId="11" xfId="36" applyNumberFormat="1" applyFont="1" applyBorder="1" applyAlignment="1">
      <alignment vertical="center"/>
    </xf>
    <xf numFmtId="49" fontId="24" fillId="0" borderId="12" xfId="36" applyNumberFormat="1" applyFont="1" applyBorder="1" applyAlignment="1">
      <alignment horizontal="center" vertical="center"/>
    </xf>
    <xf numFmtId="49" fontId="24" fillId="0" borderId="0" xfId="36" applyNumberFormat="1" applyFont="1" applyBorder="1" applyAlignment="1">
      <alignment horizontal="center" vertical="center"/>
    </xf>
    <xf numFmtId="49" fontId="24" fillId="0" borderId="0" xfId="36" applyNumberFormat="1" applyFont="1" applyAlignment="1">
      <alignment vertical="center"/>
    </xf>
    <xf numFmtId="49" fontId="53" fillId="0" borderId="13" xfId="40" applyNumberFormat="1" applyFont="1" applyBorder="1" applyAlignment="1">
      <alignment horizontal="left" vertical="center"/>
    </xf>
    <xf numFmtId="49" fontId="59" fillId="0" borderId="0" xfId="36" applyNumberFormat="1" applyFont="1" applyAlignment="1">
      <alignment vertical="center"/>
    </xf>
    <xf numFmtId="0" fontId="24" fillId="25" borderId="0" xfId="36" applyNumberFormat="1" applyFont="1" applyFill="1" applyBorder="1" applyAlignment="1">
      <alignment vertical="center"/>
    </xf>
    <xf numFmtId="49" fontId="55" fillId="0" borderId="0" xfId="36" applyNumberFormat="1" applyFont="1" applyAlignment="1">
      <alignment vertical="center"/>
    </xf>
    <xf numFmtId="49" fontId="58" fillId="0" borderId="0" xfId="36" applyNumberFormat="1" applyFont="1" applyAlignment="1">
      <alignment vertical="center"/>
    </xf>
    <xf numFmtId="49" fontId="24" fillId="0" borderId="0" xfId="36" applyNumberFormat="1" applyFont="1" applyBorder="1" applyAlignment="1">
      <alignment horizontal="right" vertical="center"/>
    </xf>
    <xf numFmtId="49" fontId="71" fillId="0" borderId="0" xfId="40" applyNumberFormat="1" applyFont="1" applyAlignment="1">
      <alignment horizontal="center" vertical="center"/>
    </xf>
    <xf numFmtId="0" fontId="55" fillId="0" borderId="13" xfId="36" applyNumberFormat="1" applyFont="1" applyBorder="1" applyAlignment="1">
      <alignment vertical="center"/>
    </xf>
    <xf numFmtId="49" fontId="53" fillId="0" borderId="14" xfId="36" applyNumberFormat="1" applyFont="1" applyBorder="1" applyAlignment="1">
      <alignment horizontal="center" vertical="center"/>
    </xf>
    <xf numFmtId="49" fontId="53" fillId="0" borderId="0" xfId="36" applyNumberFormat="1" applyFont="1" applyBorder="1" applyAlignment="1">
      <alignment horizontal="center" vertical="center"/>
    </xf>
    <xf numFmtId="49" fontId="24" fillId="0" borderId="0" xfId="36" applyNumberFormat="1" applyFont="1" applyBorder="1" applyAlignment="1">
      <alignment vertical="center"/>
    </xf>
    <xf numFmtId="49" fontId="24" fillId="0" borderId="15" xfId="36" applyNumberFormat="1" applyFont="1" applyBorder="1" applyAlignment="1">
      <alignment vertical="center"/>
    </xf>
    <xf numFmtId="0" fontId="24" fillId="0" borderId="0" xfId="36" applyNumberFormat="1" applyFont="1" applyAlignment="1">
      <alignment vertical="center"/>
    </xf>
    <xf numFmtId="49" fontId="24" fillId="0" borderId="0" xfId="36" applyNumberFormat="1" applyFont="1" applyAlignment="1">
      <alignment horizontal="center" vertical="center"/>
    </xf>
    <xf numFmtId="49" fontId="71" fillId="0" borderId="14" xfId="40" applyNumberFormat="1" applyFont="1" applyBorder="1" applyAlignment="1">
      <alignment horizontal="left" vertical="center"/>
    </xf>
    <xf numFmtId="0" fontId="24" fillId="0" borderId="0" xfId="40" applyNumberFormat="1" applyFont="1" applyAlignment="1">
      <alignment vertical="center"/>
    </xf>
    <xf numFmtId="0" fontId="24" fillId="25" borderId="16" xfId="36" applyNumberFormat="1" applyFont="1" applyFill="1" applyBorder="1" applyAlignment="1">
      <alignment vertical="center"/>
    </xf>
    <xf numFmtId="49" fontId="55" fillId="0" borderId="14" xfId="40" applyNumberFormat="1" applyFont="1" applyBorder="1" applyAlignment="1">
      <alignment horizontal="left" vertical="center"/>
    </xf>
    <xf numFmtId="0" fontId="59" fillId="0" borderId="0" xfId="40" applyNumberFormat="1" applyFont="1" applyAlignment="1">
      <alignment horizontal="left" vertical="center"/>
    </xf>
    <xf numFmtId="0" fontId="24" fillId="0" borderId="12" xfId="40" applyNumberFormat="1" applyFont="1" applyFill="1" applyBorder="1" applyAlignment="1">
      <alignment vertical="center"/>
    </xf>
    <xf numFmtId="0" fontId="55" fillId="0" borderId="13" xfId="40" applyNumberFormat="1" applyFont="1" applyBorder="1" applyAlignment="1">
      <alignment horizontal="left" vertical="center"/>
    </xf>
    <xf numFmtId="49" fontId="71" fillId="0" borderId="13" xfId="40" applyNumberFormat="1" applyFont="1" applyBorder="1" applyAlignment="1">
      <alignment horizontal="center" vertical="center"/>
    </xf>
    <xf numFmtId="49" fontId="61" fillId="0" borderId="0" xfId="36" applyNumberFormat="1" applyFont="1" applyAlignment="1">
      <alignment horizontal="center" vertical="center"/>
    </xf>
    <xf numFmtId="0" fontId="52" fillId="0" borderId="0" xfId="40" applyNumberFormat="1" applyFont="1" applyAlignment="1">
      <alignment horizontal="center" vertical="center"/>
    </xf>
    <xf numFmtId="0" fontId="25" fillId="0" borderId="12" xfId="40" applyNumberFormat="1" applyFont="1" applyFill="1" applyBorder="1" applyAlignment="1">
      <alignment horizontal="left" vertical="center"/>
    </xf>
    <xf numFmtId="0" fontId="24" fillId="0" borderId="11" xfId="40" applyNumberFormat="1" applyFont="1" applyBorder="1" applyAlignment="1">
      <alignment horizontal="center" vertical="center"/>
    </xf>
    <xf numFmtId="49" fontId="63" fillId="0" borderId="0" xfId="36" applyNumberFormat="1" applyFont="1" applyAlignment="1">
      <alignment vertical="center"/>
    </xf>
    <xf numFmtId="49" fontId="26" fillId="0" borderId="0" xfId="36" applyNumberFormat="1" applyFont="1" applyAlignment="1">
      <alignment horizontal="center" vertical="center"/>
    </xf>
    <xf numFmtId="49" fontId="26" fillId="0" borderId="0" xfId="36" applyNumberFormat="1" applyFont="1" applyBorder="1" applyAlignment="1">
      <alignment vertical="center"/>
    </xf>
    <xf numFmtId="0" fontId="71" fillId="0" borderId="0" xfId="40" applyNumberFormat="1" applyFont="1" applyAlignment="1">
      <alignment horizontal="center" vertical="center"/>
    </xf>
    <xf numFmtId="49" fontId="24" fillId="0" borderId="16" xfId="36" applyNumberFormat="1" applyFont="1" applyBorder="1" applyAlignment="1">
      <alignment horizontal="right" vertical="center"/>
    </xf>
    <xf numFmtId="49" fontId="26" fillId="0" borderId="15" xfId="36" applyNumberFormat="1" applyFont="1" applyBorder="1" applyAlignment="1">
      <alignment vertical="center"/>
    </xf>
    <xf numFmtId="0" fontId="24" fillId="0" borderId="0" xfId="40" applyNumberFormat="1" applyFont="1" applyBorder="1" applyAlignment="1">
      <alignment vertical="center"/>
    </xf>
    <xf numFmtId="49" fontId="64" fillId="0" borderId="0" xfId="36" applyNumberFormat="1" applyFont="1" applyAlignment="1">
      <alignment vertical="center"/>
    </xf>
    <xf numFmtId="49" fontId="71" fillId="0" borderId="0" xfId="40" applyNumberFormat="1" applyFont="1" applyAlignment="1">
      <alignment horizontal="left" vertical="center"/>
    </xf>
    <xf numFmtId="49" fontId="71" fillId="0" borderId="13" xfId="40" applyNumberFormat="1" applyFont="1" applyBorder="1" applyAlignment="1">
      <alignment horizontal="left" vertical="center"/>
    </xf>
    <xf numFmtId="0" fontId="24" fillId="24" borderId="0" xfId="36" applyNumberFormat="1" applyFont="1" applyFill="1" applyAlignment="1">
      <alignment vertical="center"/>
    </xf>
    <xf numFmtId="49" fontId="20" fillId="0" borderId="11" xfId="36" applyNumberFormat="1" applyFont="1" applyBorder="1" applyAlignment="1">
      <alignment vertical="center"/>
    </xf>
    <xf numFmtId="49" fontId="20" fillId="0" borderId="0" xfId="36" applyNumberFormat="1" applyFont="1" applyBorder="1" applyAlignment="1">
      <alignment vertical="center"/>
    </xf>
    <xf numFmtId="49" fontId="21" fillId="0" borderId="0" xfId="36" applyNumberFormat="1" applyFont="1" applyBorder="1" applyAlignment="1">
      <alignment horizontal="left" vertical="center"/>
    </xf>
    <xf numFmtId="49" fontId="65" fillId="0" borderId="11" xfId="36" applyNumberFormat="1" applyFont="1" applyBorder="1" applyAlignment="1">
      <alignment vertical="center"/>
    </xf>
    <xf numFmtId="49" fontId="21" fillId="0" borderId="0" xfId="36" applyNumberFormat="1" applyFont="1" applyBorder="1" applyAlignment="1">
      <alignment vertical="center"/>
    </xf>
    <xf numFmtId="49" fontId="21" fillId="0" borderId="0" xfId="36" applyNumberFormat="1" applyFont="1" applyAlignment="1">
      <alignment vertical="center"/>
    </xf>
    <xf numFmtId="49" fontId="59" fillId="0" borderId="11" xfId="40" applyNumberFormat="1" applyFont="1" applyBorder="1" applyAlignment="1">
      <alignment horizontal="left" vertical="center"/>
    </xf>
    <xf numFmtId="49" fontId="24" fillId="0" borderId="12" xfId="40" applyNumberFormat="1" applyFont="1" applyBorder="1" applyAlignment="1">
      <alignment horizontal="right" vertical="center" shrinkToFit="1"/>
    </xf>
    <xf numFmtId="49" fontId="24" fillId="0" borderId="11" xfId="36" applyNumberFormat="1" applyFont="1" applyBorder="1" applyAlignment="1">
      <alignment vertical="center"/>
    </xf>
    <xf numFmtId="14" fontId="24" fillId="25" borderId="0" xfId="36" applyNumberFormat="1" applyFont="1" applyFill="1" applyBorder="1" applyAlignment="1">
      <alignment horizontal="right" vertical="center"/>
    </xf>
    <xf numFmtId="49" fontId="24" fillId="25" borderId="0" xfId="36" applyNumberFormat="1" applyFont="1" applyFill="1" applyBorder="1" applyAlignment="1">
      <alignment horizontal="right" vertical="center"/>
    </xf>
    <xf numFmtId="49" fontId="24" fillId="0" borderId="0" xfId="40" applyNumberFormat="1" applyFont="1" applyAlignment="1">
      <alignment horizontal="right" vertical="center" shrinkToFit="1"/>
    </xf>
    <xf numFmtId="49" fontId="24" fillId="25" borderId="0" xfId="36" applyNumberFormat="1" applyFont="1" applyFill="1" applyBorder="1" applyAlignment="1">
      <alignment vertical="center"/>
    </xf>
    <xf numFmtId="49" fontId="59" fillId="0" borderId="0" xfId="40" applyNumberFormat="1" applyFont="1" applyAlignment="1">
      <alignment horizontal="left" vertical="center"/>
    </xf>
    <xf numFmtId="49" fontId="25" fillId="25" borderId="0" xfId="36" applyNumberFormat="1" applyFont="1" applyFill="1" applyBorder="1" applyAlignment="1">
      <alignment vertical="center"/>
    </xf>
    <xf numFmtId="49" fontId="60" fillId="0" borderId="11" xfId="40" applyNumberFormat="1" applyFont="1" applyBorder="1" applyAlignment="1">
      <alignment horizontal="left" vertical="center"/>
    </xf>
    <xf numFmtId="49" fontId="25" fillId="0" borderId="11" xfId="36" applyNumberFormat="1" applyFont="1" applyBorder="1" applyAlignment="1">
      <alignment vertical="center"/>
    </xf>
    <xf numFmtId="49" fontId="24" fillId="25" borderId="16" xfId="36" applyNumberFormat="1" applyFont="1" applyFill="1" applyBorder="1" applyAlignment="1">
      <alignment horizontal="right" vertical="center"/>
    </xf>
    <xf numFmtId="49" fontId="56" fillId="0" borderId="11" xfId="36" applyNumberFormat="1" applyFont="1" applyFill="1" applyBorder="1" applyAlignment="1">
      <alignment horizontal="center" vertical="center"/>
    </xf>
    <xf numFmtId="0" fontId="76" fillId="0" borderId="0" xfId="36" applyFont="1" applyBorder="1" applyAlignment="1">
      <alignment horizontal="center" vertical="center"/>
    </xf>
    <xf numFmtId="0" fontId="11" fillId="0" borderId="0" xfId="36" applyBorder="1" applyAlignment="1">
      <alignment horizontal="center" vertical="center"/>
    </xf>
    <xf numFmtId="0" fontId="24" fillId="24" borderId="0" xfId="36" applyNumberFormat="1" applyFont="1" applyFill="1" applyAlignment="1">
      <alignment horizontal="left" vertical="center"/>
    </xf>
    <xf numFmtId="49" fontId="56" fillId="0" borderId="11" xfId="36" applyNumberFormat="1" applyFont="1" applyBorder="1" applyAlignment="1">
      <alignment horizontal="center" vertical="center"/>
    </xf>
    <xf numFmtId="49" fontId="56" fillId="0" borderId="11" xfId="36" applyNumberFormat="1" applyFont="1" applyBorder="1" applyAlignment="1">
      <alignment vertical="center"/>
    </xf>
    <xf numFmtId="49" fontId="53" fillId="0" borderId="0" xfId="36" applyNumberFormat="1" applyFont="1" applyAlignment="1">
      <alignment horizontal="left" vertical="center"/>
    </xf>
    <xf numFmtId="0" fontId="24" fillId="24" borderId="13" xfId="36" applyNumberFormat="1" applyFont="1" applyFill="1" applyBorder="1" applyAlignment="1">
      <alignment horizontal="left" vertical="center"/>
    </xf>
    <xf numFmtId="49" fontId="64" fillId="0" borderId="14" xfId="36" applyNumberFormat="1" applyFont="1" applyBorder="1" applyAlignment="1">
      <alignment vertical="center"/>
    </xf>
    <xf numFmtId="0" fontId="24" fillId="25" borderId="0" xfId="36" applyNumberFormat="1" applyFont="1" applyFill="1" applyBorder="1" applyAlignment="1">
      <alignment horizontal="center" vertical="center"/>
    </xf>
    <xf numFmtId="0" fontId="58" fillId="0" borderId="14" xfId="36" applyNumberFormat="1" applyFont="1" applyBorder="1" applyAlignment="1">
      <alignment vertical="center"/>
    </xf>
    <xf numFmtId="49" fontId="24" fillId="0" borderId="11" xfId="36" applyNumberFormat="1" applyFont="1" applyBorder="1" applyAlignment="1">
      <alignment horizontal="right" vertical="center"/>
    </xf>
    <xf numFmtId="49" fontId="24" fillId="0" borderId="12" xfId="36" applyNumberFormat="1" applyFont="1" applyBorder="1" applyAlignment="1">
      <alignment horizontal="right" vertical="center"/>
    </xf>
    <xf numFmtId="49" fontId="56" fillId="0" borderId="0" xfId="36" applyNumberFormat="1" applyFont="1" applyBorder="1" applyAlignment="1">
      <alignment vertical="center"/>
    </xf>
    <xf numFmtId="49" fontId="53" fillId="0" borderId="14" xfId="36" applyNumberFormat="1" applyFont="1" applyBorder="1" applyAlignment="1">
      <alignment horizontal="left" vertical="center"/>
    </xf>
    <xf numFmtId="49" fontId="53" fillId="0" borderId="0" xfId="36" applyNumberFormat="1" applyFont="1" applyBorder="1" applyAlignment="1">
      <alignment horizontal="left" vertical="center"/>
    </xf>
    <xf numFmtId="49" fontId="24" fillId="0" borderId="11" xfId="36" applyNumberFormat="1" applyFont="1" applyBorder="1" applyAlignment="1">
      <alignment horizontal="center" vertical="center"/>
    </xf>
    <xf numFmtId="0" fontId="24" fillId="0" borderId="11" xfId="36" applyNumberFormat="1" applyFont="1" applyFill="1" applyBorder="1" applyAlignment="1">
      <alignment horizontal="left" vertical="center"/>
    </xf>
    <xf numFmtId="49" fontId="55" fillId="0" borderId="11" xfId="36" applyNumberFormat="1" applyFont="1" applyBorder="1" applyAlignment="1">
      <alignment vertical="center"/>
    </xf>
    <xf numFmtId="49" fontId="24" fillId="0" borderId="14" xfId="36" applyNumberFormat="1" applyFont="1" applyBorder="1" applyAlignment="1">
      <alignment vertical="center"/>
    </xf>
    <xf numFmtId="49" fontId="24" fillId="0" borderId="13" xfId="36" applyNumberFormat="1" applyFont="1" applyBorder="1" applyAlignment="1">
      <alignment vertical="center"/>
    </xf>
    <xf numFmtId="49" fontId="24" fillId="0" borderId="0" xfId="36" applyNumberFormat="1" applyFont="1" applyFill="1" applyBorder="1" applyAlignment="1">
      <alignment horizontal="left" vertical="center"/>
    </xf>
    <xf numFmtId="0" fontId="24" fillId="0" borderId="0" xfId="36" applyNumberFormat="1" applyFont="1" applyFill="1" applyBorder="1" applyAlignment="1">
      <alignment horizontal="left" vertical="center"/>
    </xf>
    <xf numFmtId="49" fontId="24" fillId="0" borderId="0" xfId="36" applyNumberFormat="1" applyFont="1" applyBorder="1" applyAlignment="1">
      <alignment horizontal="left" vertical="center"/>
    </xf>
    <xf numFmtId="0" fontId="24" fillId="24" borderId="0" xfId="36" applyNumberFormat="1" applyFont="1" applyFill="1" applyBorder="1" applyAlignment="1">
      <alignment horizontal="left" vertical="center"/>
    </xf>
    <xf numFmtId="0" fontId="24" fillId="25" borderId="0" xfId="36" applyNumberFormat="1" applyFont="1" applyFill="1" applyBorder="1" applyAlignment="1">
      <alignment horizontal="left" vertical="center"/>
    </xf>
    <xf numFmtId="49" fontId="24" fillId="0" borderId="14" xfId="36" applyNumberFormat="1" applyFont="1" applyBorder="1" applyAlignment="1">
      <alignment horizontal="center" vertical="center"/>
    </xf>
    <xf numFmtId="49" fontId="61" fillId="0" borderId="0" xfId="36" applyNumberFormat="1" applyFont="1" applyBorder="1" applyAlignment="1">
      <alignment horizontal="center" vertical="center"/>
    </xf>
    <xf numFmtId="0" fontId="58" fillId="0" borderId="13" xfId="36" applyNumberFormat="1" applyFont="1" applyBorder="1" applyAlignment="1">
      <alignment vertical="center"/>
    </xf>
    <xf numFmtId="49" fontId="24" fillId="0" borderId="13" xfId="36" applyNumberFormat="1" applyFont="1" applyBorder="1" applyAlignment="1">
      <alignment horizontal="right" vertical="center"/>
    </xf>
    <xf numFmtId="0" fontId="24" fillId="24" borderId="0" xfId="36" applyNumberFormat="1" applyFont="1" applyFill="1" applyBorder="1" applyAlignment="1">
      <alignment horizontal="right" vertical="center"/>
    </xf>
    <xf numFmtId="0" fontId="11" fillId="0" borderId="0" xfId="36" applyBorder="1" applyAlignment="1">
      <alignment vertical="center"/>
    </xf>
    <xf numFmtId="49" fontId="55" fillId="0" borderId="0" xfId="36" applyNumberFormat="1" applyFont="1" applyBorder="1" applyAlignment="1">
      <alignment vertical="center"/>
    </xf>
    <xf numFmtId="49" fontId="64" fillId="0" borderId="0" xfId="36" applyNumberFormat="1" applyFont="1" applyBorder="1" applyAlignment="1">
      <alignment vertical="center"/>
    </xf>
    <xf numFmtId="0" fontId="55" fillId="0" borderId="16" xfId="36" applyNumberFormat="1" applyFont="1" applyBorder="1" applyAlignment="1">
      <alignment vertical="center"/>
    </xf>
    <xf numFmtId="49" fontId="24" fillId="0" borderId="13" xfId="36" applyNumberFormat="1" applyFont="1" applyBorder="1" applyAlignment="1">
      <alignment horizontal="center" vertical="center"/>
    </xf>
    <xf numFmtId="0" fontId="24" fillId="24" borderId="13" xfId="36" applyNumberFormat="1" applyFont="1" applyFill="1" applyBorder="1" applyAlignment="1">
      <alignment horizontal="center" vertical="center"/>
    </xf>
    <xf numFmtId="0" fontId="17" fillId="0" borderId="0" xfId="36" applyFont="1" applyAlignment="1">
      <alignment horizontal="center" vertical="center"/>
    </xf>
    <xf numFmtId="0" fontId="11" fillId="24" borderId="0" xfId="36" applyFill="1" applyAlignment="1">
      <alignment vertical="center"/>
    </xf>
    <xf numFmtId="0" fontId="11" fillId="30" borderId="40" xfId="36" applyFill="1" applyBorder="1"/>
    <xf numFmtId="0" fontId="11" fillId="0" borderId="40" xfId="36" applyBorder="1"/>
    <xf numFmtId="0" fontId="11" fillId="29" borderId="40" xfId="36" applyFill="1" applyBorder="1"/>
    <xf numFmtId="0" fontId="12" fillId="0" borderId="40" xfId="36" applyNumberFormat="1" applyFont="1" applyBorder="1" applyAlignment="1">
      <alignment horizontal="center" vertical="center"/>
    </xf>
    <xf numFmtId="0" fontId="12" fillId="0" borderId="40" xfId="36" applyFont="1" applyBorder="1" applyAlignment="1">
      <alignment horizontal="center" vertical="center"/>
    </xf>
    <xf numFmtId="0" fontId="12" fillId="0" borderId="41" xfId="36" applyFont="1" applyBorder="1" applyAlignment="1">
      <alignment horizontal="center" vertical="center"/>
    </xf>
    <xf numFmtId="0" fontId="12" fillId="0" borderId="42" xfId="36" applyFont="1" applyBorder="1" applyAlignment="1">
      <alignment horizontal="center" vertical="center"/>
    </xf>
    <xf numFmtId="0" fontId="12" fillId="0" borderId="43" xfId="36" applyFont="1" applyBorder="1" applyAlignment="1">
      <alignment horizontal="center" vertical="center"/>
    </xf>
    <xf numFmtId="0" fontId="11" fillId="30" borderId="35" xfId="36" applyFill="1" applyBorder="1"/>
    <xf numFmtId="0" fontId="11" fillId="29" borderId="35" xfId="36" applyFill="1" applyBorder="1"/>
    <xf numFmtId="0" fontId="12" fillId="0" borderId="35" xfId="36" applyNumberFormat="1" applyFont="1" applyBorder="1" applyAlignment="1">
      <alignment horizontal="center" vertical="center"/>
    </xf>
    <xf numFmtId="0" fontId="12" fillId="0" borderId="35" xfId="36" applyFont="1" applyBorder="1" applyAlignment="1">
      <alignment horizontal="center" vertical="center"/>
    </xf>
    <xf numFmtId="0" fontId="12" fillId="0" borderId="44" xfId="36" applyFont="1" applyBorder="1" applyAlignment="1">
      <alignment horizontal="center" vertical="center"/>
    </xf>
    <xf numFmtId="0" fontId="12" fillId="0" borderId="45" xfId="36" applyFont="1" applyBorder="1" applyAlignment="1">
      <alignment horizontal="center" vertical="center"/>
    </xf>
    <xf numFmtId="0" fontId="12" fillId="0" borderId="46" xfId="36" applyFont="1" applyBorder="1" applyAlignment="1">
      <alignment horizontal="center" vertical="center"/>
    </xf>
    <xf numFmtId="0" fontId="12" fillId="0" borderId="41" xfId="36" applyNumberFormat="1" applyFont="1" applyBorder="1" applyAlignment="1">
      <alignment horizontal="center"/>
    </xf>
    <xf numFmtId="0" fontId="12" fillId="0" borderId="42" xfId="36" applyNumberFormat="1" applyFont="1" applyBorder="1" applyAlignment="1">
      <alignment horizontal="center"/>
    </xf>
    <xf numFmtId="0" fontId="12" fillId="0" borderId="43" xfId="36" applyNumberFormat="1" applyFont="1" applyBorder="1" applyAlignment="1">
      <alignment horizontal="center"/>
    </xf>
    <xf numFmtId="0" fontId="72" fillId="0" borderId="47" xfId="36" applyFont="1" applyBorder="1" applyAlignment="1">
      <alignment horizontal="center" vertical="center"/>
    </xf>
    <xf numFmtId="0" fontId="11" fillId="0" borderId="43" xfId="36" applyBorder="1"/>
    <xf numFmtId="0" fontId="11" fillId="0" borderId="40" xfId="36" applyNumberFormat="1" applyBorder="1" applyAlignment="1">
      <alignment horizontal="center" vertical="center"/>
    </xf>
    <xf numFmtId="0" fontId="11" fillId="0" borderId="40" xfId="36" applyNumberFormat="1" applyFont="1" applyBorder="1" applyAlignment="1">
      <alignment horizontal="center" vertical="center"/>
    </xf>
    <xf numFmtId="0" fontId="72" fillId="0" borderId="48" xfId="36" applyFont="1" applyBorder="1" applyAlignment="1">
      <alignment horizontal="center" vertical="center"/>
    </xf>
    <xf numFmtId="0" fontId="72" fillId="0" borderId="49" xfId="36" applyFont="1" applyBorder="1" applyAlignment="1">
      <alignment horizontal="center" vertical="center"/>
    </xf>
    <xf numFmtId="0" fontId="11" fillId="0" borderId="46" xfId="36" applyBorder="1"/>
    <xf numFmtId="0" fontId="12" fillId="0" borderId="44" xfId="36" applyNumberFormat="1" applyFont="1" applyBorder="1" applyAlignment="1">
      <alignment horizontal="center"/>
    </xf>
    <xf numFmtId="0" fontId="12" fillId="0" borderId="45" xfId="36" applyNumberFormat="1" applyFont="1" applyBorder="1" applyAlignment="1">
      <alignment horizontal="center"/>
    </xf>
    <xf numFmtId="0" fontId="12" fillId="0" borderId="46" xfId="36" applyNumberFormat="1" applyFont="1" applyBorder="1" applyAlignment="1">
      <alignment horizontal="center"/>
    </xf>
    <xf numFmtId="0" fontId="11" fillId="30" borderId="50" xfId="36" applyFill="1" applyBorder="1"/>
    <xf numFmtId="0" fontId="12" fillId="0" borderId="50" xfId="36" applyNumberFormat="1" applyFont="1" applyBorder="1" applyAlignment="1">
      <alignment horizontal="center" vertical="center"/>
    </xf>
    <xf numFmtId="0" fontId="12" fillId="0" borderId="50" xfId="36" applyFont="1" applyBorder="1" applyAlignment="1">
      <alignment horizontal="center" vertical="center"/>
    </xf>
    <xf numFmtId="0" fontId="12" fillId="0" borderId="51" xfId="36" applyFont="1" applyBorder="1" applyAlignment="1">
      <alignment horizontal="center" vertical="center"/>
    </xf>
    <xf numFmtId="0" fontId="12" fillId="0" borderId="52" xfId="36" applyFont="1" applyBorder="1" applyAlignment="1">
      <alignment horizontal="center" vertical="center"/>
    </xf>
    <xf numFmtId="0" fontId="12" fillId="0" borderId="53" xfId="36" applyFont="1" applyBorder="1" applyAlignment="1">
      <alignment horizontal="center" vertical="center"/>
    </xf>
    <xf numFmtId="0" fontId="11" fillId="0" borderId="54" xfId="36" applyNumberFormat="1" applyBorder="1" applyAlignment="1">
      <alignment horizontal="center" vertical="center"/>
    </xf>
    <xf numFmtId="0" fontId="11" fillId="0" borderId="55" xfId="36" applyNumberFormat="1" applyBorder="1" applyAlignment="1">
      <alignment horizontal="center" vertical="center"/>
    </xf>
    <xf numFmtId="0" fontId="11" fillId="0" borderId="56" xfId="36" applyNumberFormat="1" applyBorder="1" applyAlignment="1">
      <alignment horizontal="center" vertical="center"/>
    </xf>
    <xf numFmtId="0" fontId="11" fillId="0" borderId="57" xfId="36" applyNumberFormat="1" applyBorder="1" applyAlignment="1">
      <alignment horizontal="center" vertical="center"/>
    </xf>
    <xf numFmtId="0" fontId="11" fillId="30" borderId="58" xfId="36" applyFill="1" applyBorder="1"/>
    <xf numFmtId="0" fontId="11" fillId="0" borderId="58" xfId="36" applyBorder="1"/>
    <xf numFmtId="0" fontId="11" fillId="29" borderId="58" xfId="36" applyFill="1" applyBorder="1"/>
    <xf numFmtId="0" fontId="12" fillId="0" borderId="58" xfId="36" applyNumberFormat="1" applyFont="1" applyBorder="1" applyAlignment="1">
      <alignment horizontal="center" vertical="center"/>
    </xf>
    <xf numFmtId="0" fontId="12" fillId="0" borderId="58" xfId="36" applyFont="1" applyBorder="1" applyAlignment="1">
      <alignment horizontal="center" vertical="center"/>
    </xf>
    <xf numFmtId="0" fontId="12" fillId="0" borderId="59" xfId="36" applyFont="1" applyBorder="1" applyAlignment="1">
      <alignment horizontal="center" vertical="center"/>
    </xf>
    <xf numFmtId="0" fontId="12" fillId="0" borderId="60" xfId="36" applyFont="1" applyBorder="1" applyAlignment="1">
      <alignment horizontal="center" vertical="center"/>
    </xf>
    <xf numFmtId="0" fontId="12" fillId="0" borderId="61" xfId="36" applyFont="1" applyBorder="1" applyAlignment="1">
      <alignment horizontal="center" vertical="center"/>
    </xf>
    <xf numFmtId="0" fontId="11" fillId="0" borderId="62" xfId="36" applyNumberFormat="1" applyBorder="1" applyAlignment="1">
      <alignment horizontal="center" vertical="center"/>
    </xf>
    <xf numFmtId="0" fontId="12" fillId="31" borderId="58" xfId="36" applyFont="1" applyFill="1" applyBorder="1"/>
    <xf numFmtId="0" fontId="72" fillId="0" borderId="63" xfId="36" applyFont="1" applyBorder="1" applyAlignment="1">
      <alignment horizontal="center" vertical="center"/>
    </xf>
    <xf numFmtId="0" fontId="11" fillId="0" borderId="64" xfId="36" applyBorder="1"/>
    <xf numFmtId="0" fontId="11" fillId="0" borderId="65" xfId="36" applyBorder="1"/>
    <xf numFmtId="0" fontId="11" fillId="0" borderId="66" xfId="36" applyBorder="1"/>
    <xf numFmtId="0" fontId="11" fillId="30" borderId="67" xfId="36" applyFill="1" applyBorder="1"/>
    <xf numFmtId="0" fontId="11" fillId="0" borderId="54" xfId="36" applyBorder="1"/>
    <xf numFmtId="0" fontId="11" fillId="30" borderId="68" xfId="36" applyFill="1" applyBorder="1"/>
    <xf numFmtId="0" fontId="11" fillId="0" borderId="55" xfId="36" applyBorder="1"/>
    <xf numFmtId="0" fontId="11" fillId="30" borderId="69" xfId="36" applyFill="1" applyBorder="1"/>
    <xf numFmtId="0" fontId="11" fillId="0" borderId="56" xfId="36" applyBorder="1"/>
    <xf numFmtId="0" fontId="11" fillId="30" borderId="70" xfId="36" applyFill="1" applyBorder="1"/>
    <xf numFmtId="0" fontId="11" fillId="0" borderId="57" xfId="36" applyBorder="1"/>
    <xf numFmtId="0" fontId="11" fillId="29" borderId="67" xfId="36" applyFill="1" applyBorder="1"/>
    <xf numFmtId="0" fontId="11" fillId="29" borderId="68" xfId="36" applyFill="1" applyBorder="1"/>
    <xf numFmtId="0" fontId="11" fillId="29" borderId="69" xfId="36" applyFill="1" applyBorder="1"/>
    <xf numFmtId="0" fontId="11" fillId="30" borderId="71" xfId="36" applyFill="1" applyBorder="1"/>
    <xf numFmtId="0" fontId="11" fillId="0" borderId="62" xfId="36" applyBorder="1"/>
    <xf numFmtId="0" fontId="11" fillId="0" borderId="45" xfId="36" applyBorder="1" applyAlignment="1">
      <alignment horizontal="center"/>
    </xf>
    <xf numFmtId="0" fontId="11" fillId="31" borderId="42" xfId="36" applyFill="1" applyBorder="1"/>
    <xf numFmtId="0" fontId="11" fillId="31" borderId="20" xfId="36" applyFill="1" applyBorder="1"/>
    <xf numFmtId="0" fontId="11" fillId="31" borderId="13" xfId="36" applyFill="1" applyBorder="1"/>
    <xf numFmtId="0" fontId="11" fillId="31" borderId="45" xfId="36" applyFill="1" applyBorder="1"/>
    <xf numFmtId="0" fontId="11" fillId="31" borderId="52" xfId="36" applyFill="1" applyBorder="1"/>
    <xf numFmtId="0" fontId="11" fillId="31" borderId="60" xfId="36" applyFill="1" applyBorder="1"/>
    <xf numFmtId="0" fontId="12" fillId="31" borderId="67" xfId="36" applyFont="1" applyFill="1" applyBorder="1"/>
    <xf numFmtId="0" fontId="12" fillId="31" borderId="68" xfId="36" applyFont="1" applyFill="1" applyBorder="1"/>
    <xf numFmtId="0" fontId="12" fillId="31" borderId="69" xfId="36" applyFont="1" applyFill="1" applyBorder="1"/>
    <xf numFmtId="0" fontId="12" fillId="31" borderId="70" xfId="36" applyFont="1" applyFill="1" applyBorder="1"/>
    <xf numFmtId="0" fontId="12" fillId="31" borderId="71" xfId="36" applyFont="1" applyFill="1" applyBorder="1"/>
    <xf numFmtId="0" fontId="24" fillId="0" borderId="11" xfId="36" applyNumberFormat="1" applyFont="1" applyBorder="1" applyAlignment="1">
      <alignment horizontal="center" vertical="center"/>
    </xf>
    <xf numFmtId="0" fontId="11" fillId="30" borderId="67" xfId="36" applyNumberFormat="1" applyFill="1" applyBorder="1"/>
    <xf numFmtId="0" fontId="11" fillId="30" borderId="40" xfId="36" applyNumberFormat="1" applyFill="1" applyBorder="1"/>
    <xf numFmtId="0" fontId="11" fillId="0" borderId="54" xfId="36" applyNumberFormat="1" applyBorder="1"/>
    <xf numFmtId="0" fontId="11" fillId="31" borderId="42" xfId="36" applyNumberFormat="1" applyFill="1" applyBorder="1"/>
    <xf numFmtId="0" fontId="12" fillId="31" borderId="67" xfId="36" applyNumberFormat="1" applyFont="1" applyFill="1" applyBorder="1"/>
    <xf numFmtId="0" fontId="12" fillId="0" borderId="41" xfId="36" applyNumberFormat="1" applyFont="1" applyBorder="1" applyAlignment="1">
      <alignment horizontal="center" vertical="center"/>
    </xf>
    <xf numFmtId="0" fontId="12" fillId="0" borderId="42" xfId="36" applyNumberFormat="1" applyFont="1" applyBorder="1" applyAlignment="1">
      <alignment horizontal="center" vertical="center"/>
    </xf>
    <xf numFmtId="0" fontId="12" fillId="0" borderId="43" xfId="36" applyNumberFormat="1" applyFont="1" applyBorder="1" applyAlignment="1">
      <alignment horizontal="center" vertical="center"/>
    </xf>
    <xf numFmtId="0" fontId="11" fillId="30" borderId="69" xfId="36" applyNumberFormat="1" applyFill="1" applyBorder="1"/>
    <xf numFmtId="0" fontId="11" fillId="30" borderId="35" xfId="36" applyNumberFormat="1" applyFill="1" applyBorder="1"/>
    <xf numFmtId="0" fontId="11" fillId="0" borderId="56" xfId="36" applyNumberFormat="1" applyBorder="1"/>
    <xf numFmtId="0" fontId="11" fillId="31" borderId="45" xfId="36" applyNumberFormat="1" applyFill="1" applyBorder="1"/>
    <xf numFmtId="0" fontId="12" fillId="31" borderId="69" xfId="36" applyNumberFormat="1" applyFont="1" applyFill="1" applyBorder="1"/>
    <xf numFmtId="0" fontId="12" fillId="0" borderId="44" xfId="36" applyNumberFormat="1" applyFont="1" applyBorder="1" applyAlignment="1">
      <alignment horizontal="center" vertical="center"/>
    </xf>
    <xf numFmtId="0" fontId="12" fillId="0" borderId="45" xfId="36" applyNumberFormat="1" applyFont="1" applyBorder="1" applyAlignment="1">
      <alignment horizontal="center" vertical="center"/>
    </xf>
    <xf numFmtId="0" fontId="12" fillId="0" borderId="46" xfId="36" applyNumberFormat="1" applyFont="1" applyBorder="1" applyAlignment="1">
      <alignment horizontal="center" vertical="center"/>
    </xf>
    <xf numFmtId="0" fontId="11" fillId="29" borderId="67" xfId="36" applyNumberFormat="1" applyFill="1" applyBorder="1"/>
    <xf numFmtId="0" fontId="11" fillId="29" borderId="68" xfId="36" applyNumberFormat="1" applyFill="1" applyBorder="1"/>
    <xf numFmtId="0" fontId="11" fillId="29" borderId="69" xfId="36" applyNumberFormat="1" applyFill="1" applyBorder="1"/>
    <xf numFmtId="0" fontId="11" fillId="0" borderId="55" xfId="36" applyNumberFormat="1" applyBorder="1"/>
    <xf numFmtId="0" fontId="11" fillId="0" borderId="62" xfId="36" applyNumberFormat="1" applyBorder="1"/>
    <xf numFmtId="0" fontId="11" fillId="31" borderId="72" xfId="36" applyFill="1" applyBorder="1"/>
    <xf numFmtId="0" fontId="12" fillId="0" borderId="58" xfId="36" applyNumberFormat="1" applyFont="1" applyFill="1" applyBorder="1" applyAlignment="1">
      <alignment horizontal="center" vertical="center"/>
    </xf>
    <xf numFmtId="0" fontId="11" fillId="0" borderId="58" xfId="36" applyNumberFormat="1" applyBorder="1"/>
    <xf numFmtId="0" fontId="11" fillId="0" borderId="38" xfId="36" applyBorder="1"/>
    <xf numFmtId="0" fontId="11" fillId="0" borderId="38" xfId="36" applyNumberFormat="1" applyBorder="1"/>
    <xf numFmtId="0" fontId="11" fillId="31" borderId="0" xfId="36" applyFill="1" applyBorder="1"/>
    <xf numFmtId="0" fontId="12" fillId="31" borderId="38" xfId="36" applyFont="1" applyFill="1" applyBorder="1"/>
    <xf numFmtId="0" fontId="12" fillId="0" borderId="38" xfId="36" applyNumberFormat="1" applyFont="1" applyBorder="1" applyAlignment="1">
      <alignment horizontal="center" vertical="center"/>
    </xf>
    <xf numFmtId="0" fontId="12" fillId="0" borderId="38" xfId="36" applyFont="1" applyBorder="1" applyAlignment="1">
      <alignment horizontal="center" vertical="center"/>
    </xf>
    <xf numFmtId="0" fontId="12" fillId="0" borderId="37" xfId="36" applyFont="1" applyBorder="1" applyAlignment="1">
      <alignment horizontal="center" vertical="center"/>
    </xf>
    <xf numFmtId="0" fontId="12" fillId="0" borderId="73" xfId="36" applyFont="1" applyBorder="1" applyAlignment="1">
      <alignment horizontal="center" vertical="center"/>
    </xf>
    <xf numFmtId="0" fontId="11" fillId="0" borderId="74" xfId="36" applyNumberFormat="1" applyBorder="1" applyAlignment="1">
      <alignment horizontal="center" vertical="center"/>
    </xf>
    <xf numFmtId="0" fontId="11" fillId="29" borderId="71" xfId="36" applyFill="1" applyBorder="1"/>
    <xf numFmtId="0" fontId="19" fillId="0" borderId="0" xfId="36" applyFont="1"/>
    <xf numFmtId="0" fontId="104" fillId="0" borderId="33" xfId="37" applyFont="1" applyBorder="1" applyAlignment="1">
      <alignment horizontal="center"/>
    </xf>
    <xf numFmtId="0" fontId="104" fillId="0" borderId="10" xfId="37" applyFont="1" applyBorder="1"/>
    <xf numFmtId="0" fontId="105" fillId="0" borderId="31" xfId="37" applyFont="1" applyBorder="1"/>
    <xf numFmtId="0" fontId="106" fillId="0" borderId="32" xfId="37" applyFont="1" applyBorder="1"/>
    <xf numFmtId="0" fontId="97" fillId="0" borderId="29" xfId="37" applyFont="1" applyBorder="1" applyAlignment="1">
      <alignment vertical="center"/>
    </xf>
    <xf numFmtId="0" fontId="97" fillId="0" borderId="20" xfId="37" applyFont="1" applyBorder="1" applyAlignment="1">
      <alignment horizontal="center" vertical="center"/>
    </xf>
    <xf numFmtId="0" fontId="97" fillId="0" borderId="33" xfId="37" applyFont="1" applyBorder="1" applyAlignment="1">
      <alignment vertical="center"/>
    </xf>
    <xf numFmtId="0" fontId="97" fillId="0" borderId="34" xfId="37" applyFont="1" applyBorder="1" applyAlignment="1" applyProtection="1">
      <alignment vertical="center"/>
    </xf>
    <xf numFmtId="0" fontId="97" fillId="0" borderId="20" xfId="37" applyFont="1" applyBorder="1" applyAlignment="1" applyProtection="1">
      <alignment horizontal="center" vertical="center"/>
    </xf>
    <xf numFmtId="0" fontId="97" fillId="0" borderId="14" xfId="37" applyFont="1" applyBorder="1" applyAlignment="1" applyProtection="1">
      <alignment horizontal="left" vertical="center"/>
    </xf>
    <xf numFmtId="0" fontId="97" fillId="0" borderId="34" xfId="37" applyFont="1" applyBorder="1" applyAlignment="1">
      <alignment vertical="center"/>
    </xf>
    <xf numFmtId="0" fontId="97" fillId="0" borderId="14" xfId="37" applyFont="1" applyBorder="1" applyAlignment="1">
      <alignment horizontal="left" vertical="center"/>
    </xf>
    <xf numFmtId="0" fontId="107" fillId="0" borderId="0" xfId="37" applyFont="1"/>
    <xf numFmtId="0" fontId="107" fillId="0" borderId="0" xfId="37" applyFont="1" applyAlignment="1">
      <alignment horizontal="left"/>
    </xf>
    <xf numFmtId="0" fontId="13" fillId="0" borderId="0" xfId="36" applyFont="1"/>
    <xf numFmtId="0" fontId="12" fillId="0" borderId="35" xfId="36" applyNumberFormat="1" applyFont="1" applyFill="1" applyBorder="1" applyAlignment="1">
      <alignment horizontal="center" vertical="center"/>
    </xf>
    <xf numFmtId="0" fontId="24" fillId="0" borderId="11" xfId="36" applyNumberFormat="1" applyFont="1" applyBorder="1" applyAlignment="1">
      <alignment horizontal="left" vertical="center"/>
    </xf>
    <xf numFmtId="0" fontId="24" fillId="0" borderId="0" xfId="36" applyNumberFormat="1" applyFont="1" applyBorder="1" applyAlignment="1">
      <alignment horizontal="left" vertical="center"/>
    </xf>
    <xf numFmtId="0" fontId="17" fillId="0" borderId="0" xfId="36" applyFont="1" applyAlignment="1">
      <alignment horizontal="left" vertical="center"/>
    </xf>
    <xf numFmtId="0" fontId="11" fillId="29" borderId="70" xfId="36" applyFill="1" applyBorder="1"/>
    <xf numFmtId="0" fontId="11" fillId="0" borderId="50" xfId="36" applyBorder="1"/>
    <xf numFmtId="0" fontId="11" fillId="29" borderId="50" xfId="36" applyFill="1" applyBorder="1"/>
    <xf numFmtId="0" fontId="11" fillId="0" borderId="57" xfId="36" applyNumberFormat="1" applyBorder="1"/>
    <xf numFmtId="0" fontId="72" fillId="0" borderId="0" xfId="36" applyFont="1" applyFill="1" applyBorder="1" applyAlignment="1">
      <alignment horizontal="center" vertical="center"/>
    </xf>
    <xf numFmtId="0" fontId="11" fillId="0" borderId="0" xfId="36" applyFill="1" applyBorder="1"/>
    <xf numFmtId="0" fontId="12" fillId="0" borderId="0" xfId="36" applyFont="1" applyFill="1" applyBorder="1"/>
    <xf numFmtId="0" fontId="12" fillId="0" borderId="0" xfId="36" applyNumberFormat="1" applyFont="1" applyFill="1" applyBorder="1" applyAlignment="1">
      <alignment horizontal="center" vertical="center"/>
    </xf>
    <xf numFmtId="0" fontId="12" fillId="0" borderId="0" xfId="36" applyFont="1" applyFill="1" applyBorder="1" applyAlignment="1">
      <alignment horizontal="center" vertical="center"/>
    </xf>
    <xf numFmtId="0" fontId="11" fillId="0" borderId="0" xfId="36" applyNumberFormat="1" applyFill="1" applyBorder="1" applyAlignment="1">
      <alignment horizontal="center" vertical="center"/>
    </xf>
    <xf numFmtId="0" fontId="72" fillId="0" borderId="37" xfId="36" applyFont="1" applyFill="1" applyBorder="1" applyAlignment="1">
      <alignment horizontal="center" vertical="center"/>
    </xf>
    <xf numFmtId="0" fontId="11" fillId="0" borderId="37" xfId="36" applyFill="1" applyBorder="1"/>
    <xf numFmtId="0" fontId="11" fillId="0" borderId="37" xfId="36" applyNumberFormat="1" applyFill="1" applyBorder="1"/>
    <xf numFmtId="0" fontId="12" fillId="0" borderId="37" xfId="36" applyFont="1" applyFill="1" applyBorder="1"/>
    <xf numFmtId="0" fontId="12" fillId="0" borderId="37" xfId="36" applyNumberFormat="1" applyFont="1" applyFill="1" applyBorder="1" applyAlignment="1">
      <alignment horizontal="center" vertical="center"/>
    </xf>
    <xf numFmtId="0" fontId="12" fillId="0" borderId="37" xfId="36" applyFont="1" applyFill="1" applyBorder="1" applyAlignment="1">
      <alignment horizontal="center" vertical="center"/>
    </xf>
    <xf numFmtId="0" fontId="11" fillId="0" borderId="37" xfId="36" applyNumberFormat="1" applyFill="1" applyBorder="1" applyAlignment="1">
      <alignment horizontal="center" vertical="center"/>
    </xf>
    <xf numFmtId="0" fontId="29" fillId="0" borderId="0" xfId="36" applyFont="1" applyAlignment="1">
      <alignment horizontal="center" vertical="center"/>
    </xf>
    <xf numFmtId="0" fontId="11" fillId="0" borderId="75" xfId="36" applyBorder="1"/>
    <xf numFmtId="0" fontId="11" fillId="0" borderId="76" xfId="36" applyBorder="1"/>
    <xf numFmtId="0" fontId="12" fillId="28" borderId="19" xfId="36" applyFont="1" applyFill="1" applyBorder="1" applyAlignment="1">
      <alignment horizontal="center" vertical="center" textRotation="90" wrapText="1"/>
    </xf>
    <xf numFmtId="0" fontId="19" fillId="0" borderId="32" xfId="36" applyFont="1" applyBorder="1"/>
    <xf numFmtId="0" fontId="12" fillId="0" borderId="32" xfId="36" applyFont="1" applyBorder="1" applyAlignment="1">
      <alignment horizontal="right" vertical="center"/>
    </xf>
    <xf numFmtId="0" fontId="78" fillId="0" borderId="0" xfId="36" applyFont="1"/>
    <xf numFmtId="0" fontId="108" fillId="0" borderId="38" xfId="37" applyFont="1" applyBorder="1" applyAlignment="1">
      <alignment vertical="center" textRotation="90"/>
    </xf>
    <xf numFmtId="49" fontId="97" fillId="0" borderId="32" xfId="37" applyNumberFormat="1" applyBorder="1" applyAlignment="1">
      <alignment horizontal="center" vertical="center"/>
    </xf>
    <xf numFmtId="0" fontId="97" fillId="30" borderId="10" xfId="37" applyFill="1" applyBorder="1"/>
    <xf numFmtId="0" fontId="97" fillId="30" borderId="32" xfId="37" applyFill="1" applyBorder="1"/>
    <xf numFmtId="0" fontId="97" fillId="0" borderId="10" xfId="37" applyBorder="1" applyAlignment="1">
      <alignment horizontal="center" vertical="center"/>
    </xf>
    <xf numFmtId="0" fontId="109" fillId="0" borderId="39" xfId="37" applyFont="1" applyBorder="1" applyAlignment="1">
      <alignment vertical="center" textRotation="90"/>
    </xf>
    <xf numFmtId="49" fontId="97" fillId="0" borderId="10" xfId="37" applyNumberFormat="1" applyBorder="1" applyAlignment="1">
      <alignment horizontal="center" vertical="center"/>
    </xf>
    <xf numFmtId="0" fontId="99" fillId="0" borderId="39" xfId="37" applyFont="1" applyBorder="1" applyAlignment="1">
      <alignment vertical="center" textRotation="90"/>
    </xf>
    <xf numFmtId="49" fontId="97" fillId="0" borderId="31" xfId="37" applyNumberFormat="1" applyBorder="1" applyAlignment="1">
      <alignment horizontal="center" vertical="center"/>
    </xf>
    <xf numFmtId="0" fontId="97" fillId="30" borderId="31" xfId="37" applyFill="1" applyBorder="1"/>
    <xf numFmtId="0" fontId="109" fillId="0" borderId="50" xfId="37" applyFont="1" applyBorder="1" applyAlignment="1">
      <alignment vertical="center" textRotation="90"/>
    </xf>
    <xf numFmtId="49" fontId="97" fillId="0" borderId="35" xfId="37" applyNumberFormat="1" applyBorder="1" applyAlignment="1">
      <alignment horizontal="center" vertical="center"/>
    </xf>
    <xf numFmtId="0" fontId="97" fillId="30" borderId="35" xfId="37" applyFill="1" applyBorder="1"/>
    <xf numFmtId="0" fontId="109" fillId="0" borderId="38" xfId="37" applyFont="1" applyBorder="1" applyAlignment="1">
      <alignment vertical="center" textRotation="90"/>
    </xf>
    <xf numFmtId="0" fontId="108" fillId="0" borderId="39" xfId="37" applyFont="1" applyBorder="1" applyAlignment="1">
      <alignment vertical="center" textRotation="90"/>
    </xf>
    <xf numFmtId="0" fontId="108" fillId="0" borderId="32" xfId="37" applyFont="1" applyBorder="1" applyAlignment="1">
      <alignment vertical="center" textRotation="90"/>
    </xf>
    <xf numFmtId="0" fontId="108" fillId="0" borderId="31" xfId="37" applyFont="1" applyBorder="1" applyAlignment="1">
      <alignment vertical="center" textRotation="90"/>
    </xf>
    <xf numFmtId="0" fontId="99" fillId="0" borderId="31" xfId="37" applyFont="1" applyBorder="1" applyAlignment="1">
      <alignment vertical="center" textRotation="90"/>
    </xf>
    <xf numFmtId="0" fontId="108" fillId="0" borderId="50" xfId="37" applyFont="1" applyBorder="1" applyAlignment="1">
      <alignment vertical="center" textRotation="90"/>
    </xf>
    <xf numFmtId="0" fontId="110" fillId="0" borderId="39" xfId="37" applyFont="1" applyBorder="1" applyAlignment="1">
      <alignment vertical="center" textRotation="90"/>
    </xf>
    <xf numFmtId="0" fontId="111" fillId="0" borderId="0" xfId="37" applyFont="1"/>
    <xf numFmtId="0" fontId="111" fillId="0" borderId="77" xfId="37" applyFont="1" applyBorder="1"/>
    <xf numFmtId="0" fontId="111" fillId="0" borderId="78" xfId="37" applyFont="1" applyBorder="1"/>
    <xf numFmtId="0" fontId="111" fillId="0" borderId="79" xfId="37" applyFont="1" applyBorder="1" applyAlignment="1">
      <alignment horizontal="center" vertical="center"/>
    </xf>
    <xf numFmtId="0" fontId="112" fillId="0" borderId="0" xfId="37" applyFont="1" applyAlignment="1">
      <alignment horizontal="center"/>
    </xf>
    <xf numFmtId="0" fontId="111" fillId="0" borderId="80" xfId="37" applyFont="1" applyBorder="1" applyAlignment="1">
      <alignment horizontal="center" vertical="center"/>
    </xf>
    <xf numFmtId="0" fontId="111" fillId="0" borderId="81" xfId="37" applyFont="1" applyBorder="1"/>
    <xf numFmtId="0" fontId="112" fillId="0" borderId="82" xfId="37" applyFont="1" applyBorder="1" applyAlignment="1">
      <alignment horizontal="center" vertical="center"/>
    </xf>
    <xf numFmtId="0" fontId="97" fillId="0" borderId="83" xfId="37" applyBorder="1"/>
    <xf numFmtId="0" fontId="97" fillId="0" borderId="0" xfId="37" applyBorder="1"/>
    <xf numFmtId="0" fontId="13" fillId="0" borderId="10" xfId="41" applyFont="1" applyBorder="1" applyAlignment="1">
      <alignment horizontal="center" vertical="center"/>
    </xf>
    <xf numFmtId="0" fontId="13" fillId="26" borderId="10" xfId="41" applyFont="1" applyFill="1" applyBorder="1" applyAlignment="1">
      <alignment horizontal="center" vertical="center"/>
    </xf>
    <xf numFmtId="0" fontId="79" fillId="27" borderId="84" xfId="41" applyFont="1" applyFill="1" applyBorder="1" applyAlignment="1">
      <alignment horizontal="center" vertical="center"/>
    </xf>
    <xf numFmtId="0" fontId="80" fillId="0" borderId="10" xfId="41" applyFont="1" applyBorder="1" applyAlignment="1">
      <alignment vertical="center" wrapText="1"/>
    </xf>
    <xf numFmtId="0" fontId="81" fillId="0" borderId="10" xfId="41" applyFont="1" applyBorder="1" applyAlignment="1">
      <alignment vertical="center" wrapText="1"/>
    </xf>
    <xf numFmtId="0" fontId="14" fillId="0" borderId="10" xfId="41" applyFont="1" applyBorder="1" applyAlignment="1">
      <alignment horizontal="center" vertical="center"/>
    </xf>
    <xf numFmtId="0" fontId="30" fillId="0" borderId="10" xfId="41" applyFill="1" applyBorder="1" applyAlignment="1">
      <alignment horizontal="center"/>
    </xf>
    <xf numFmtId="0" fontId="81" fillId="0" borderId="10" xfId="41" applyFont="1" applyBorder="1" applyAlignment="1">
      <alignment vertical="center"/>
    </xf>
    <xf numFmtId="0" fontId="81" fillId="26" borderId="10" xfId="41" applyFont="1" applyFill="1" applyBorder="1" applyAlignment="1">
      <alignment vertical="center"/>
    </xf>
    <xf numFmtId="0" fontId="14" fillId="0" borderId="85" xfId="41" applyFont="1" applyBorder="1" applyAlignment="1">
      <alignment horizontal="center" vertical="center"/>
    </xf>
    <xf numFmtId="0" fontId="30" fillId="0" borderId="85" xfId="41" applyFill="1" applyBorder="1" applyAlignment="1"/>
    <xf numFmtId="0" fontId="81" fillId="0" borderId="85" xfId="41" applyFont="1" applyBorder="1" applyAlignment="1">
      <alignment vertical="center"/>
    </xf>
    <xf numFmtId="0" fontId="81" fillId="26" borderId="85" xfId="41" applyFont="1" applyFill="1" applyBorder="1" applyAlignment="1">
      <alignment vertical="center"/>
    </xf>
    <xf numFmtId="0" fontId="30" fillId="26" borderId="85" xfId="41" applyFill="1" applyBorder="1" applyAlignment="1"/>
    <xf numFmtId="0" fontId="97" fillId="0" borderId="86" xfId="37" applyBorder="1"/>
    <xf numFmtId="0" fontId="97" fillId="0" borderId="87" xfId="37" applyBorder="1"/>
    <xf numFmtId="0" fontId="97" fillId="0" borderId="88" xfId="37" applyBorder="1"/>
    <xf numFmtId="49" fontId="21" fillId="0" borderId="0" xfId="38" applyNumberFormat="1" applyFont="1" applyBorder="1" applyAlignment="1" applyProtection="1">
      <alignment horizontal="center" vertical="center"/>
      <protection locked="0"/>
    </xf>
    <xf numFmtId="49" fontId="20" fillId="0" borderId="0" xfId="38" applyNumberFormat="1" applyFont="1" applyBorder="1" applyAlignment="1" applyProtection="1">
      <alignment horizontal="center" vertical="center"/>
      <protection locked="0"/>
    </xf>
    <xf numFmtId="0" fontId="30" fillId="0" borderId="0" xfId="38" applyFont="1" applyBorder="1" applyAlignment="1">
      <alignment vertical="center"/>
    </xf>
    <xf numFmtId="0" fontId="30" fillId="0" borderId="0" xfId="38" applyFont="1" applyBorder="1" applyAlignment="1" applyProtection="1">
      <alignment vertical="center"/>
      <protection locked="0"/>
    </xf>
    <xf numFmtId="49" fontId="21" fillId="0" borderId="0" xfId="38" applyNumberFormat="1" applyFont="1" applyBorder="1" applyAlignment="1" applyProtection="1">
      <alignment horizontal="center" vertical="center"/>
    </xf>
    <xf numFmtId="49" fontId="22" fillId="0" borderId="0" xfId="38" applyNumberFormat="1" applyFont="1" applyBorder="1" applyAlignment="1" applyProtection="1">
      <alignment horizontal="center" vertical="center"/>
    </xf>
    <xf numFmtId="49" fontId="20" fillId="0" borderId="0" xfId="38" applyNumberFormat="1" applyFont="1" applyAlignment="1" applyProtection="1">
      <alignment horizontal="center" vertical="center"/>
      <protection locked="0"/>
    </xf>
    <xf numFmtId="49" fontId="21" fillId="0" borderId="0" xfId="38" applyNumberFormat="1" applyFont="1" applyAlignment="1" applyProtection="1">
      <alignment horizontal="center" vertical="center"/>
      <protection locked="0"/>
    </xf>
    <xf numFmtId="49" fontId="20" fillId="0" borderId="0" xfId="38" applyNumberFormat="1" applyFont="1" applyBorder="1" applyAlignment="1" applyProtection="1">
      <alignment horizontal="left" vertical="center"/>
      <protection locked="0"/>
    </xf>
    <xf numFmtId="0" fontId="21" fillId="0" borderId="13" xfId="38" applyNumberFormat="1" applyFont="1" applyBorder="1" applyAlignment="1" applyProtection="1">
      <alignment horizontal="center" vertical="center"/>
    </xf>
    <xf numFmtId="0" fontId="21" fillId="32" borderId="13" xfId="38" applyNumberFormat="1" applyFont="1" applyFill="1" applyBorder="1" applyAlignment="1" applyProtection="1">
      <alignment horizontal="center" vertical="center"/>
    </xf>
    <xf numFmtId="0" fontId="84" fillId="0" borderId="13" xfId="38" applyNumberFormat="1" applyFont="1" applyBorder="1" applyAlignment="1" applyProtection="1">
      <alignment horizontal="left" vertical="center"/>
      <protection locked="0"/>
    </xf>
    <xf numFmtId="49" fontId="20" fillId="0" borderId="0" xfId="38" applyNumberFormat="1" applyFont="1" applyAlignment="1" applyProtection="1">
      <alignment horizontal="left" vertical="center"/>
      <protection locked="0"/>
    </xf>
    <xf numFmtId="49" fontId="68" fillId="0" borderId="0" xfId="38" applyNumberFormat="1" applyFont="1" applyAlignment="1" applyProtection="1">
      <alignment horizontal="center" vertical="center"/>
      <protection locked="0"/>
    </xf>
    <xf numFmtId="0" fontId="20" fillId="0" borderId="0" xfId="38" applyNumberFormat="1" applyFont="1" applyBorder="1" applyAlignment="1" applyProtection="1">
      <alignment horizontal="left" vertical="center"/>
      <protection locked="0"/>
    </xf>
    <xf numFmtId="0" fontId="21" fillId="0" borderId="0" xfId="38" applyNumberFormat="1" applyFont="1" applyAlignment="1" applyProtection="1">
      <alignment horizontal="center" vertical="center"/>
      <protection locked="0"/>
    </xf>
    <xf numFmtId="49" fontId="84" fillId="0" borderId="11" xfId="38" applyNumberFormat="1" applyFont="1" applyBorder="1" applyAlignment="1" applyProtection="1">
      <alignment horizontal="center" vertical="center"/>
      <protection locked="0"/>
    </xf>
    <xf numFmtId="49" fontId="21" fillId="0" borderId="12" xfId="38" applyNumberFormat="1" applyFont="1" applyBorder="1" applyAlignment="1" applyProtection="1">
      <alignment horizontal="center" vertical="center"/>
    </xf>
    <xf numFmtId="0" fontId="20" fillId="33" borderId="13" xfId="38" applyNumberFormat="1" applyFont="1" applyFill="1" applyBorder="1" applyAlignment="1" applyProtection="1">
      <alignment horizontal="left" vertical="center"/>
      <protection locked="0"/>
    </xf>
    <xf numFmtId="0" fontId="85" fillId="0" borderId="13" xfId="38" applyNumberFormat="1" applyFont="1" applyBorder="1" applyAlignment="1" applyProtection="1">
      <alignment horizontal="left" vertical="center"/>
      <protection locked="0"/>
    </xf>
    <xf numFmtId="49" fontId="20" fillId="0" borderId="13" xfId="38" applyNumberFormat="1" applyFont="1" applyBorder="1" applyAlignment="1" applyProtection="1">
      <alignment horizontal="center" vertical="center"/>
      <protection locked="0"/>
    </xf>
    <xf numFmtId="49" fontId="21" fillId="0" borderId="13" xfId="38" applyNumberFormat="1" applyFont="1" applyBorder="1" applyAlignment="1" applyProtection="1">
      <alignment horizontal="center" vertical="center"/>
    </xf>
    <xf numFmtId="49" fontId="20" fillId="0" borderId="14" xfId="38" applyNumberFormat="1" applyFont="1" applyBorder="1" applyAlignment="1" applyProtection="1">
      <alignment horizontal="center" vertical="center"/>
      <protection locked="0"/>
    </xf>
    <xf numFmtId="49" fontId="85" fillId="0" borderId="0" xfId="38" applyNumberFormat="1" applyFont="1" applyBorder="1" applyAlignment="1" applyProtection="1">
      <alignment horizontal="center" vertical="center"/>
      <protection locked="0"/>
    </xf>
    <xf numFmtId="49" fontId="20" fillId="0" borderId="12" xfId="38" applyNumberFormat="1" applyFont="1" applyBorder="1" applyAlignment="1" applyProtection="1">
      <alignment horizontal="center" vertical="center"/>
      <protection locked="0"/>
    </xf>
    <xf numFmtId="0" fontId="84" fillId="0" borderId="0" xfId="38" applyNumberFormat="1" applyFont="1" applyAlignment="1" applyProtection="1">
      <alignment horizontal="center" vertical="center"/>
      <protection locked="0"/>
    </xf>
    <xf numFmtId="0" fontId="21" fillId="0" borderId="15" xfId="38" applyNumberFormat="1" applyFont="1" applyBorder="1" applyAlignment="1" applyProtection="1">
      <alignment horizontal="center" vertical="center"/>
    </xf>
    <xf numFmtId="49" fontId="20" fillId="0" borderId="15" xfId="38" applyNumberFormat="1" applyFont="1" applyBorder="1" applyAlignment="1" applyProtection="1">
      <alignment horizontal="center" vertical="center"/>
      <protection locked="0"/>
    </xf>
    <xf numFmtId="49" fontId="21" fillId="0" borderId="15" xfId="38" applyNumberFormat="1" applyFont="1" applyBorder="1" applyAlignment="1" applyProtection="1">
      <alignment horizontal="center" vertical="center"/>
    </xf>
    <xf numFmtId="0" fontId="30" fillId="0" borderId="0" xfId="38"/>
    <xf numFmtId="0" fontId="21" fillId="33" borderId="34" xfId="38" applyNumberFormat="1" applyFont="1" applyFill="1" applyBorder="1" applyAlignment="1" applyProtection="1">
      <alignment horizontal="center" vertical="center"/>
    </xf>
    <xf numFmtId="0" fontId="20" fillId="0" borderId="0" xfId="38" applyNumberFormat="1" applyFont="1" applyBorder="1" applyAlignment="1" applyProtection="1">
      <alignment horizontal="center" vertical="center"/>
    </xf>
    <xf numFmtId="0" fontId="85" fillId="0" borderId="0" xfId="38" applyNumberFormat="1" applyFont="1" applyBorder="1" applyAlignment="1" applyProtection="1">
      <alignment horizontal="center" vertical="center"/>
      <protection locked="0"/>
    </xf>
    <xf numFmtId="0" fontId="21" fillId="30" borderId="13" xfId="38" applyNumberFormat="1" applyFont="1" applyFill="1" applyBorder="1" applyAlignment="1" applyProtection="1">
      <alignment horizontal="center" vertical="center"/>
      <protection locked="0"/>
    </xf>
    <xf numFmtId="0" fontId="85" fillId="0" borderId="13" xfId="38" applyNumberFormat="1" applyFont="1" applyBorder="1" applyAlignment="1" applyProtection="1">
      <alignment horizontal="left" vertical="center"/>
    </xf>
    <xf numFmtId="0" fontId="20" fillId="0" borderId="0" xfId="38" applyNumberFormat="1" applyFont="1" applyBorder="1" applyAlignment="1" applyProtection="1">
      <alignment horizontal="left" vertical="center"/>
    </xf>
    <xf numFmtId="0" fontId="21" fillId="30" borderId="13" xfId="38" applyNumberFormat="1" applyFont="1" applyFill="1" applyBorder="1" applyAlignment="1" applyProtection="1">
      <alignment horizontal="center" vertical="center"/>
    </xf>
    <xf numFmtId="49" fontId="21" fillId="30" borderId="13" xfId="38" applyNumberFormat="1" applyFont="1" applyFill="1" applyBorder="1" applyAlignment="1" applyProtection="1">
      <alignment horizontal="center" vertical="center"/>
    </xf>
    <xf numFmtId="0" fontId="20" fillId="33" borderId="13" xfId="38" applyNumberFormat="1" applyFont="1" applyFill="1" applyBorder="1" applyAlignment="1" applyProtection="1">
      <alignment horizontal="center" vertical="center"/>
      <protection locked="0"/>
    </xf>
    <xf numFmtId="0" fontId="21" fillId="33" borderId="0" xfId="38" applyNumberFormat="1" applyFont="1" applyFill="1" applyBorder="1" applyAlignment="1" applyProtection="1">
      <alignment horizontal="center" vertical="center"/>
    </xf>
    <xf numFmtId="0" fontId="21" fillId="30" borderId="0" xfId="38" applyNumberFormat="1" applyFont="1" applyFill="1" applyAlignment="1" applyProtection="1">
      <alignment horizontal="center" vertical="center"/>
      <protection locked="0"/>
    </xf>
    <xf numFmtId="49" fontId="20" fillId="0" borderId="20" xfId="38" applyNumberFormat="1" applyFont="1" applyBorder="1" applyAlignment="1" applyProtection="1">
      <alignment horizontal="center" vertical="center"/>
      <protection locked="0"/>
    </xf>
    <xf numFmtId="0" fontId="20" fillId="0" borderId="0" xfId="38" applyNumberFormat="1" applyFont="1" applyBorder="1" applyAlignment="1" applyProtection="1">
      <alignment horizontal="center" vertical="center"/>
      <protection locked="0"/>
    </xf>
    <xf numFmtId="0" fontId="20" fillId="33" borderId="13" xfId="38" applyNumberFormat="1" applyFont="1" applyFill="1" applyBorder="1" applyAlignment="1" applyProtection="1">
      <alignment vertical="center"/>
      <protection locked="0"/>
    </xf>
    <xf numFmtId="49" fontId="85" fillId="0" borderId="0" xfId="38" applyNumberFormat="1" applyFont="1" applyAlignment="1" applyProtection="1">
      <alignment horizontal="left" vertical="center"/>
      <protection locked="0"/>
    </xf>
    <xf numFmtId="49" fontId="21" fillId="0" borderId="0" xfId="38" applyNumberFormat="1" applyFont="1" applyBorder="1" applyAlignment="1" applyProtection="1">
      <alignment horizontal="left" vertical="center"/>
      <protection locked="0"/>
    </xf>
    <xf numFmtId="49" fontId="68" fillId="0" borderId="0" xfId="38" applyNumberFormat="1" applyFont="1" applyBorder="1" applyAlignment="1" applyProtection="1">
      <alignment horizontal="left" vertical="center"/>
      <protection locked="0"/>
    </xf>
    <xf numFmtId="0" fontId="11" fillId="0" borderId="0" xfId="38" applyFont="1"/>
    <xf numFmtId="0" fontId="11" fillId="0" borderId="0" xfId="38" applyFont="1" applyAlignment="1">
      <alignment horizontal="center"/>
    </xf>
    <xf numFmtId="49" fontId="11" fillId="0" borderId="0" xfId="38" applyNumberFormat="1" applyFont="1"/>
    <xf numFmtId="49" fontId="12" fillId="0" borderId="0" xfId="38" applyNumberFormat="1" applyFont="1"/>
    <xf numFmtId="49" fontId="17" fillId="0" borderId="0" xfId="38" applyNumberFormat="1" applyFont="1"/>
    <xf numFmtId="49" fontId="17" fillId="0" borderId="0" xfId="38" applyNumberFormat="1" applyFont="1" applyBorder="1"/>
    <xf numFmtId="0" fontId="74" fillId="0" borderId="0" xfId="38" applyFont="1"/>
    <xf numFmtId="49" fontId="29" fillId="0" borderId="13" xfId="38" applyNumberFormat="1" applyFont="1" applyBorder="1" applyAlignment="1"/>
    <xf numFmtId="49" fontId="86" fillId="0" borderId="13" xfId="38" applyNumberFormat="1" applyFont="1" applyBorder="1" applyAlignment="1">
      <alignment horizontal="center" vertical="center"/>
    </xf>
    <xf numFmtId="0" fontId="17" fillId="30" borderId="0" xfId="36" applyNumberFormat="1" applyFont="1" applyFill="1" applyAlignment="1">
      <alignment horizontal="center" vertical="center"/>
    </xf>
    <xf numFmtId="0" fontId="87" fillId="0" borderId="13" xfId="36" applyNumberFormat="1" applyFont="1" applyBorder="1" applyAlignment="1">
      <alignment horizontal="left" vertical="center"/>
    </xf>
    <xf numFmtId="0" fontId="87" fillId="0" borderId="0" xfId="36" applyNumberFormat="1" applyFont="1" applyBorder="1" applyAlignment="1">
      <alignment horizontal="left" vertical="center"/>
    </xf>
    <xf numFmtId="49" fontId="18" fillId="0" borderId="11" xfId="38" applyNumberFormat="1" applyFont="1" applyBorder="1" applyAlignment="1"/>
    <xf numFmtId="49" fontId="17" fillId="0" borderId="13" xfId="38" applyNumberFormat="1" applyFont="1" applyBorder="1" applyAlignment="1">
      <alignment horizontal="center"/>
    </xf>
    <xf numFmtId="49" fontId="17" fillId="0" borderId="11" xfId="38" applyNumberFormat="1" applyFont="1" applyBorder="1"/>
    <xf numFmtId="49" fontId="17" fillId="0" borderId="12" xfId="38" applyNumberFormat="1" applyFont="1" applyBorder="1"/>
    <xf numFmtId="49" fontId="72" fillId="0" borderId="0" xfId="38" applyNumberFormat="1" applyFont="1" applyBorder="1" applyAlignment="1"/>
    <xf numFmtId="49" fontId="17" fillId="0" borderId="15" xfId="38" applyNumberFormat="1" applyFont="1" applyBorder="1" applyAlignment="1">
      <alignment horizontal="right"/>
    </xf>
    <xf numFmtId="0" fontId="17" fillId="34" borderId="0" xfId="38" applyNumberFormat="1" applyFont="1" applyFill="1" applyAlignment="1">
      <alignment horizontal="center" vertical="center"/>
    </xf>
    <xf numFmtId="49" fontId="75" fillId="0" borderId="0" xfId="42" applyNumberFormat="1" applyFont="1" applyAlignment="1">
      <alignment horizontal="left"/>
    </xf>
    <xf numFmtId="49" fontId="17" fillId="0" borderId="15" xfId="38" applyNumberFormat="1" applyFont="1" applyBorder="1" applyAlignment="1">
      <alignment horizontal="center" vertical="center"/>
    </xf>
    <xf numFmtId="0" fontId="17" fillId="34" borderId="0" xfId="38" applyNumberFormat="1" applyFont="1" applyFill="1"/>
    <xf numFmtId="49" fontId="29" fillId="0" borderId="0" xfId="38" applyNumberFormat="1" applyFont="1" applyBorder="1" applyAlignment="1">
      <alignment horizontal="center"/>
    </xf>
    <xf numFmtId="49" fontId="18" fillId="0" borderId="0" xfId="38" applyNumberFormat="1" applyFont="1" applyBorder="1" applyAlignment="1"/>
    <xf numFmtId="49" fontId="17" fillId="0" borderId="11" xfId="38" applyNumberFormat="1" applyFont="1" applyBorder="1" applyAlignment="1">
      <alignment horizontal="right"/>
    </xf>
    <xf numFmtId="0" fontId="17" fillId="0" borderId="12" xfId="38" applyNumberFormat="1" applyFont="1" applyFill="1" applyBorder="1" applyAlignment="1">
      <alignment horizontal="right"/>
    </xf>
    <xf numFmtId="0" fontId="17" fillId="34" borderId="13" xfId="38" applyNumberFormat="1" applyFont="1" applyFill="1" applyBorder="1" applyAlignment="1">
      <alignment horizontal="center" vertical="center"/>
    </xf>
    <xf numFmtId="0" fontId="87" fillId="0" borderId="14" xfId="36" applyNumberFormat="1" applyFont="1" applyBorder="1" applyAlignment="1">
      <alignment horizontal="left" vertical="center"/>
    </xf>
    <xf numFmtId="49" fontId="17" fillId="0" borderId="11" xfId="38" applyNumberFormat="1" applyFont="1" applyBorder="1" applyAlignment="1">
      <alignment horizontal="center" vertical="center"/>
    </xf>
    <xf numFmtId="49" fontId="25" fillId="0" borderId="12" xfId="42" applyNumberFormat="1" applyFont="1" applyBorder="1" applyAlignment="1">
      <alignment horizontal="center"/>
    </xf>
    <xf numFmtId="49" fontId="17" fillId="0" borderId="0" xfId="38" applyNumberFormat="1" applyFont="1" applyBorder="1" applyAlignment="1">
      <alignment horizontal="right"/>
    </xf>
    <xf numFmtId="49" fontId="25" fillId="0" borderId="11" xfId="42" applyNumberFormat="1" applyFont="1" applyBorder="1" applyAlignment="1">
      <alignment horizontal="center"/>
    </xf>
    <xf numFmtId="49" fontId="17" fillId="0" borderId="0" xfId="38" applyNumberFormat="1" applyFont="1" applyBorder="1" applyAlignment="1">
      <alignment horizontal="center"/>
    </xf>
    <xf numFmtId="0" fontId="74" fillId="0" borderId="0" xfId="38" applyFont="1" applyAlignment="1">
      <alignment horizontal="center"/>
    </xf>
    <xf numFmtId="0" fontId="11" fillId="0" borderId="0" xfId="38" applyFont="1" applyBorder="1" applyAlignment="1">
      <alignment horizontal="center"/>
    </xf>
    <xf numFmtId="49" fontId="17" fillId="0" borderId="13" xfId="38" applyNumberFormat="1" applyFont="1" applyBorder="1"/>
    <xf numFmtId="49" fontId="17" fillId="0" borderId="0" xfId="38" applyNumberFormat="1" applyFont="1" applyAlignment="1">
      <alignment horizontal="center" vertical="center"/>
    </xf>
    <xf numFmtId="49" fontId="25" fillId="0" borderId="0" xfId="42" applyNumberFormat="1" applyFont="1" applyBorder="1" applyAlignment="1">
      <alignment horizontal="center"/>
    </xf>
    <xf numFmtId="49" fontId="17" fillId="0" borderId="0" xfId="38" applyNumberFormat="1" applyFont="1" applyBorder="1" applyAlignment="1">
      <alignment horizontal="center" vertical="center"/>
    </xf>
    <xf numFmtId="49" fontId="17" fillId="0" borderId="15" xfId="38" applyNumberFormat="1" applyFont="1" applyBorder="1" applyAlignment="1">
      <alignment horizontal="right" vertical="center"/>
    </xf>
    <xf numFmtId="0" fontId="17" fillId="34" borderId="13" xfId="38" applyNumberFormat="1" applyFont="1" applyFill="1" applyBorder="1"/>
    <xf numFmtId="49" fontId="17" fillId="0" borderId="15" xfId="38" applyNumberFormat="1" applyFont="1" applyBorder="1"/>
    <xf numFmtId="0" fontId="12" fillId="0" borderId="0" xfId="38" applyFont="1"/>
    <xf numFmtId="49" fontId="17" fillId="0" borderId="0" xfId="38" applyNumberFormat="1" applyFont="1" applyAlignment="1">
      <alignment horizontal="center"/>
    </xf>
    <xf numFmtId="49" fontId="86" fillId="0" borderId="0" xfId="38" applyNumberFormat="1" applyFont="1" applyBorder="1" applyAlignment="1">
      <alignment horizontal="right"/>
    </xf>
    <xf numFmtId="49" fontId="86" fillId="0" borderId="20" xfId="38" applyNumberFormat="1" applyFont="1" applyBorder="1" applyAlignment="1">
      <alignment horizontal="center"/>
    </xf>
    <xf numFmtId="0" fontId="30" fillId="0" borderId="0" xfId="38" applyBorder="1"/>
    <xf numFmtId="0" fontId="74" fillId="0" borderId="0" xfId="38" applyFont="1" applyAlignment="1">
      <alignment horizontal="left"/>
    </xf>
    <xf numFmtId="0" fontId="74" fillId="34" borderId="0" xfId="38" applyFont="1" applyFill="1" applyAlignment="1">
      <alignment horizontal="left"/>
    </xf>
    <xf numFmtId="0" fontId="88" fillId="0" borderId="13" xfId="36" applyNumberFormat="1" applyFont="1" applyBorder="1" applyAlignment="1">
      <alignment horizontal="left" vertical="center"/>
    </xf>
    <xf numFmtId="0" fontId="18" fillId="0" borderId="0" xfId="38" applyFont="1"/>
    <xf numFmtId="0" fontId="18" fillId="0" borderId="0" xfId="38" applyFont="1" applyBorder="1"/>
    <xf numFmtId="0" fontId="87" fillId="0" borderId="20" xfId="36" applyNumberFormat="1" applyFont="1" applyBorder="1" applyAlignment="1">
      <alignment horizontal="left" vertical="center"/>
    </xf>
    <xf numFmtId="49" fontId="75" fillId="0" borderId="14" xfId="42" applyNumberFormat="1" applyFont="1" applyBorder="1" applyAlignment="1">
      <alignment horizontal="left"/>
    </xf>
    <xf numFmtId="49" fontId="17" fillId="0" borderId="0" xfId="38" applyNumberFormat="1" applyFont="1" applyAlignment="1">
      <alignment horizontal="right"/>
    </xf>
    <xf numFmtId="49" fontId="12" fillId="0" borderId="0" xfId="38" applyNumberFormat="1" applyFont="1" applyBorder="1" applyAlignment="1">
      <alignment horizontal="center"/>
    </xf>
    <xf numFmtId="49" fontId="12" fillId="0" borderId="0" xfId="38" applyNumberFormat="1" applyFont="1" applyBorder="1" applyAlignment="1"/>
    <xf numFmtId="0" fontId="74" fillId="0" borderId="11" xfId="38" applyFont="1" applyBorder="1" applyAlignment="1">
      <alignment horizontal="left"/>
    </xf>
    <xf numFmtId="0" fontId="17" fillId="0" borderId="0" xfId="38" applyFont="1" applyBorder="1"/>
    <xf numFmtId="0" fontId="17" fillId="0" borderId="12" xfId="38" applyFont="1" applyBorder="1"/>
    <xf numFmtId="0" fontId="29" fillId="34" borderId="13" xfId="38" applyNumberFormat="1" applyFont="1" applyFill="1" applyBorder="1" applyAlignment="1">
      <alignment horizontal="center"/>
    </xf>
    <xf numFmtId="0" fontId="88" fillId="0" borderId="0" xfId="36" applyNumberFormat="1" applyFont="1" applyBorder="1" applyAlignment="1">
      <alignment horizontal="left" vertical="center"/>
    </xf>
    <xf numFmtId="0" fontId="74" fillId="0" borderId="13" xfId="38" applyFont="1" applyBorder="1" applyAlignment="1">
      <alignment horizontal="left"/>
    </xf>
    <xf numFmtId="0" fontId="74" fillId="34" borderId="13" xfId="38" applyFont="1" applyFill="1" applyBorder="1" applyAlignment="1">
      <alignment horizontal="left"/>
    </xf>
    <xf numFmtId="49" fontId="17" fillId="0" borderId="11" xfId="38" applyNumberFormat="1" applyFont="1" applyBorder="1" applyAlignment="1">
      <alignment horizontal="center"/>
    </xf>
    <xf numFmtId="49" fontId="86" fillId="0" borderId="13" xfId="38" applyNumberFormat="1" applyFont="1" applyBorder="1" applyAlignment="1">
      <alignment horizontal="left" vertical="center"/>
    </xf>
    <xf numFmtId="49" fontId="30" fillId="0" borderId="0" xfId="38" applyNumberFormat="1"/>
    <xf numFmtId="0" fontId="17" fillId="0" borderId="0" xfId="38" applyFont="1"/>
    <xf numFmtId="0" fontId="29" fillId="34" borderId="34" xfId="38" applyNumberFormat="1" applyFont="1" applyFill="1" applyBorder="1" applyAlignment="1">
      <alignment horizontal="center"/>
    </xf>
    <xf numFmtId="49" fontId="86" fillId="0" borderId="0" xfId="38" applyNumberFormat="1" applyFont="1" applyAlignment="1">
      <alignment horizontal="right"/>
    </xf>
    <xf numFmtId="49" fontId="17" fillId="0" borderId="12" xfId="38" applyNumberFormat="1" applyFont="1" applyBorder="1" applyAlignment="1">
      <alignment horizontal="right"/>
    </xf>
    <xf numFmtId="0" fontId="11" fillId="0" borderId="15" xfId="38" applyFont="1" applyBorder="1"/>
    <xf numFmtId="0" fontId="17" fillId="0" borderId="11" xfId="38" applyFont="1" applyBorder="1"/>
    <xf numFmtId="0" fontId="29" fillId="34" borderId="0" xfId="38" applyNumberFormat="1" applyFont="1" applyFill="1" applyAlignment="1">
      <alignment horizontal="center"/>
    </xf>
    <xf numFmtId="49" fontId="86" fillId="0" borderId="0" xfId="38" applyNumberFormat="1" applyFont="1"/>
    <xf numFmtId="49" fontId="29" fillId="0" borderId="0" xfId="38" applyNumberFormat="1" applyFont="1" applyBorder="1" applyAlignment="1">
      <alignment horizontal="left"/>
    </xf>
    <xf numFmtId="0" fontId="17" fillId="34" borderId="13" xfId="38" applyNumberFormat="1" applyFont="1" applyFill="1" applyBorder="1" applyAlignment="1">
      <alignment horizontal="right"/>
    </xf>
    <xf numFmtId="49" fontId="17" fillId="0" borderId="12" xfId="38" applyNumberFormat="1" applyFont="1" applyFill="1" applyBorder="1" applyAlignment="1">
      <alignment horizontal="right"/>
    </xf>
    <xf numFmtId="0" fontId="17" fillId="34" borderId="34" xfId="38" applyNumberFormat="1" applyFont="1" applyFill="1" applyBorder="1"/>
    <xf numFmtId="49" fontId="75" fillId="0" borderId="14" xfId="42" applyNumberFormat="1" applyFont="1" applyBorder="1" applyAlignment="1">
      <alignment horizontal="center"/>
    </xf>
    <xf numFmtId="0" fontId="88" fillId="0" borderId="0" xfId="36" applyNumberFormat="1" applyFont="1" applyBorder="1" applyAlignment="1">
      <alignment horizontal="center" vertical="center"/>
    </xf>
    <xf numFmtId="49" fontId="75" fillId="0" borderId="0" xfId="42" applyNumberFormat="1" applyFont="1" applyBorder="1" applyAlignment="1">
      <alignment horizontal="left"/>
    </xf>
    <xf numFmtId="49" fontId="17" fillId="0" borderId="30" xfId="38" applyNumberFormat="1" applyFont="1" applyBorder="1"/>
    <xf numFmtId="49" fontId="86" fillId="0" borderId="0" xfId="38" applyNumberFormat="1" applyFont="1" applyAlignment="1">
      <alignment horizontal="center" vertical="center"/>
    </xf>
    <xf numFmtId="49" fontId="25" fillId="0" borderId="15" xfId="42" applyNumberFormat="1" applyFont="1" applyBorder="1" applyAlignment="1">
      <alignment horizontal="center"/>
    </xf>
    <xf numFmtId="49" fontId="75" fillId="0" borderId="0" xfId="42" applyNumberFormat="1" applyFont="1" applyBorder="1" applyAlignment="1">
      <alignment horizontal="center"/>
    </xf>
    <xf numFmtId="0" fontId="29" fillId="0" borderId="0" xfId="38" applyFont="1" applyAlignment="1">
      <alignment horizontal="left"/>
    </xf>
    <xf numFmtId="0" fontId="91" fillId="0" borderId="0" xfId="38" applyFont="1"/>
    <xf numFmtId="49" fontId="18" fillId="0" borderId="0" xfId="38" applyNumberFormat="1" applyFont="1"/>
    <xf numFmtId="49" fontId="18" fillId="0" borderId="0" xfId="38" applyNumberFormat="1" applyFont="1" applyBorder="1"/>
    <xf numFmtId="49" fontId="86" fillId="0" borderId="0" xfId="38" applyNumberFormat="1" applyFont="1" applyAlignment="1">
      <alignment horizontal="right" vertical="center"/>
    </xf>
    <xf numFmtId="49" fontId="92" fillId="0" borderId="13" xfId="38" applyNumberFormat="1" applyFont="1" applyFill="1" applyBorder="1" applyAlignment="1"/>
    <xf numFmtId="49" fontId="14" fillId="0" borderId="13" xfId="38" applyNumberFormat="1" applyFont="1" applyFill="1" applyBorder="1" applyAlignment="1"/>
    <xf numFmtId="0" fontId="14" fillId="0" borderId="13" xfId="38" applyNumberFormat="1" applyFont="1" applyFill="1" applyBorder="1" applyAlignment="1"/>
    <xf numFmtId="0" fontId="29" fillId="0" borderId="0" xfId="38" applyFont="1" applyBorder="1" applyAlignment="1">
      <alignment horizontal="center"/>
    </xf>
    <xf numFmtId="0" fontId="14" fillId="0" borderId="0" xfId="38" applyFont="1"/>
    <xf numFmtId="0" fontId="92" fillId="0" borderId="13" xfId="38" applyFont="1" applyFill="1" applyBorder="1" applyAlignment="1"/>
    <xf numFmtId="0" fontId="13" fillId="0" borderId="13" xfId="38" applyFont="1" applyFill="1" applyBorder="1" applyAlignment="1"/>
    <xf numFmtId="0" fontId="14" fillId="0" borderId="13" xfId="38" applyFont="1" applyFill="1" applyBorder="1" applyAlignment="1"/>
    <xf numFmtId="0" fontId="11" fillId="0" borderId="0" xfId="38" applyFont="1" applyBorder="1"/>
    <xf numFmtId="0" fontId="12" fillId="0" borderId="0" xfId="38" applyFont="1" applyBorder="1"/>
    <xf numFmtId="0" fontId="97" fillId="0" borderId="32" xfId="37" applyBorder="1" applyAlignment="1">
      <alignment horizontal="center" vertical="center"/>
    </xf>
    <xf numFmtId="0" fontId="97" fillId="0" borderId="32" xfId="37" applyBorder="1"/>
    <xf numFmtId="0" fontId="22" fillId="33" borderId="26" xfId="36" applyNumberFormat="1" applyFont="1" applyFill="1" applyBorder="1" applyAlignment="1">
      <alignment horizontal="center" vertical="center" wrapText="1"/>
    </xf>
    <xf numFmtId="0" fontId="113" fillId="0" borderId="37" xfId="37" applyFont="1" applyBorder="1"/>
    <xf numFmtId="0" fontId="29" fillId="0" borderId="40" xfId="0" applyFont="1" applyBorder="1" applyAlignment="1">
      <alignment vertical="center"/>
    </xf>
    <xf numFmtId="0" fontId="113" fillId="0" borderId="45" xfId="37" applyFont="1" applyBorder="1"/>
    <xf numFmtId="0" fontId="29" fillId="0" borderId="35" xfId="0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52" xfId="0" applyFont="1" applyBorder="1" applyAlignment="1"/>
    <xf numFmtId="0" fontId="29" fillId="0" borderId="52" xfId="0" applyFont="1" applyBorder="1" applyAlignment="1">
      <alignment vertical="center"/>
    </xf>
    <xf numFmtId="0" fontId="97" fillId="0" borderId="31" xfId="37" applyBorder="1" applyAlignment="1">
      <alignment horizontal="center" vertical="center"/>
    </xf>
    <xf numFmtId="0" fontId="97" fillId="0" borderId="32" xfId="37" applyBorder="1" applyAlignment="1">
      <alignment horizontal="center" vertical="center"/>
    </xf>
    <xf numFmtId="0" fontId="97" fillId="0" borderId="32" xfId="37" applyBorder="1"/>
    <xf numFmtId="0" fontId="14" fillId="0" borderId="52" xfId="36" applyFont="1" applyBorder="1" applyAlignment="1">
      <alignment vertical="center"/>
    </xf>
    <xf numFmtId="0" fontId="29" fillId="0" borderId="52" xfId="36" applyFont="1" applyBorder="1" applyAlignment="1">
      <alignment vertical="center"/>
    </xf>
    <xf numFmtId="0" fontId="97" fillId="0" borderId="32" xfId="37" applyBorder="1" applyAlignment="1">
      <alignment horizontal="center" vertical="center"/>
    </xf>
    <xf numFmtId="0" fontId="103" fillId="0" borderId="0" xfId="37" applyFont="1" applyAlignment="1">
      <alignment horizontal="right" vertical="center"/>
    </xf>
    <xf numFmtId="0" fontId="13" fillId="0" borderId="0" xfId="36" applyFont="1" applyAlignment="1"/>
    <xf numFmtId="0" fontId="97" fillId="0" borderId="32" xfId="37" applyBorder="1"/>
    <xf numFmtId="0" fontId="103" fillId="0" borderId="0" xfId="37" applyFont="1" applyAlignment="1">
      <alignment horizontal="center"/>
    </xf>
    <xf numFmtId="0" fontId="97" fillId="0" borderId="37" xfId="37" applyBorder="1"/>
    <xf numFmtId="0" fontId="97" fillId="0" borderId="45" xfId="37" applyBorder="1"/>
    <xf numFmtId="0" fontId="97" fillId="0" borderId="45" xfId="37" applyBorder="1" applyAlignment="1">
      <alignment horizontal="center" vertical="center"/>
    </xf>
    <xf numFmtId="0" fontId="114" fillId="0" borderId="90" xfId="37" applyFont="1" applyBorder="1" applyAlignment="1">
      <alignment horizontal="center" vertical="center"/>
    </xf>
    <xf numFmtId="0" fontId="97" fillId="0" borderId="35" xfId="37" applyBorder="1"/>
    <xf numFmtId="0" fontId="97" fillId="0" borderId="35" xfId="37" applyBorder="1" applyAlignment="1">
      <alignment horizontal="center" vertical="center"/>
    </xf>
    <xf numFmtId="0" fontId="93" fillId="0" borderId="0" xfId="40" applyFont="1" applyAlignment="1">
      <alignment vertical="center"/>
    </xf>
    <xf numFmtId="49" fontId="83" fillId="0" borderId="0" xfId="40" applyNumberFormat="1" applyFont="1" applyAlignment="1">
      <alignment horizontal="center" vertical="center"/>
    </xf>
    <xf numFmtId="49" fontId="83" fillId="0" borderId="0" xfId="40" applyNumberFormat="1" applyFont="1" applyAlignment="1">
      <alignment vertical="center"/>
    </xf>
    <xf numFmtId="49" fontId="94" fillId="0" borderId="0" xfId="40" applyNumberFormat="1" applyFont="1" applyFill="1" applyAlignment="1">
      <alignment vertical="center"/>
    </xf>
    <xf numFmtId="49" fontId="94" fillId="0" borderId="0" xfId="40" applyNumberFormat="1" applyFont="1" applyAlignment="1">
      <alignment vertical="center"/>
    </xf>
    <xf numFmtId="0" fontId="93" fillId="0" borderId="0" xfId="40" applyNumberFormat="1" applyFont="1" applyAlignment="1">
      <alignment vertical="center"/>
    </xf>
    <xf numFmtId="0" fontId="83" fillId="0" borderId="0" xfId="40" applyFont="1" applyAlignment="1">
      <alignment horizontal="center" vertical="center"/>
    </xf>
    <xf numFmtId="0" fontId="83" fillId="0" borderId="0" xfId="40" applyFont="1" applyAlignment="1">
      <alignment vertical="center"/>
    </xf>
    <xf numFmtId="0" fontId="94" fillId="0" borderId="0" xfId="40" applyFont="1" applyFill="1" applyAlignment="1">
      <alignment vertical="center"/>
    </xf>
    <xf numFmtId="0" fontId="94" fillId="0" borderId="0" xfId="40" applyFont="1" applyAlignment="1">
      <alignment vertical="center"/>
    </xf>
    <xf numFmtId="0" fontId="93" fillId="0" borderId="0" xfId="40" applyFont="1" applyAlignment="1">
      <alignment horizontal="left" vertical="center"/>
    </xf>
    <xf numFmtId="49" fontId="32" fillId="0" borderId="0" xfId="40" applyNumberFormat="1" applyFont="1" applyAlignment="1">
      <alignment horizontal="left" vertical="center"/>
    </xf>
    <xf numFmtId="49" fontId="93" fillId="0" borderId="0" xfId="40" applyNumberFormat="1" applyFont="1" applyAlignment="1">
      <alignment vertical="center"/>
    </xf>
    <xf numFmtId="49" fontId="85" fillId="0" borderId="0" xfId="40" applyNumberFormat="1" applyFont="1" applyAlignment="1">
      <alignment vertical="center"/>
    </xf>
    <xf numFmtId="49" fontId="68" fillId="0" borderId="0" xfId="40" applyNumberFormat="1" applyFont="1" applyAlignment="1">
      <alignment vertical="center"/>
    </xf>
    <xf numFmtId="0" fontId="13" fillId="0" borderId="0" xfId="36" applyFont="1" applyAlignment="1">
      <alignment vertical="center"/>
    </xf>
    <xf numFmtId="0" fontId="85" fillId="0" borderId="0" xfId="40" applyFont="1" applyAlignment="1">
      <alignment vertical="center"/>
    </xf>
    <xf numFmtId="0" fontId="68" fillId="0" borderId="0" xfId="40" applyFont="1" applyAlignment="1">
      <alignment vertical="center"/>
    </xf>
    <xf numFmtId="49" fontId="94" fillId="0" borderId="0" xfId="36" applyNumberFormat="1" applyFont="1" applyBorder="1" applyAlignment="1">
      <alignment horizontal="right" vertical="center"/>
    </xf>
    <xf numFmtId="0" fontId="14" fillId="0" borderId="0" xfId="36" applyFont="1" applyBorder="1" applyAlignment="1">
      <alignment vertical="center"/>
    </xf>
    <xf numFmtId="0" fontId="95" fillId="0" borderId="0" xfId="36" applyFont="1" applyBorder="1" applyAlignment="1">
      <alignment vertical="center"/>
    </xf>
    <xf numFmtId="0" fontId="68" fillId="25" borderId="10" xfId="36" applyNumberFormat="1" applyFont="1" applyFill="1" applyBorder="1" applyAlignment="1">
      <alignment horizontal="center" vertical="center"/>
    </xf>
    <xf numFmtId="0" fontId="69" fillId="0" borderId="29" xfId="40" applyNumberFormat="1" applyFont="1" applyBorder="1" applyAlignment="1">
      <alignment vertical="center"/>
    </xf>
    <xf numFmtId="0" fontId="13" fillId="0" borderId="0" xfId="38" applyFont="1"/>
    <xf numFmtId="14" fontId="78" fillId="0" borderId="0" xfId="38" applyNumberFormat="1" applyFont="1" applyBorder="1" applyAlignment="1"/>
    <xf numFmtId="0" fontId="13" fillId="0" borderId="43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97" fillId="0" borderId="50" xfId="37" applyBorder="1"/>
    <xf numFmtId="0" fontId="97" fillId="30" borderId="50" xfId="37" applyFill="1" applyBorder="1"/>
    <xf numFmtId="0" fontId="115" fillId="0" borderId="35" xfId="37" applyFont="1" applyBorder="1" applyAlignment="1">
      <alignment horizontal="center" vertical="center"/>
    </xf>
    <xf numFmtId="0" fontId="108" fillId="0" borderId="0" xfId="37" applyFont="1" applyBorder="1" applyAlignment="1">
      <alignment vertical="center" textRotation="90"/>
    </xf>
    <xf numFmtId="0" fontId="99" fillId="0" borderId="0" xfId="37" applyFont="1" applyBorder="1" applyAlignment="1">
      <alignment vertical="center" textRotation="90"/>
    </xf>
    <xf numFmtId="0" fontId="108" fillId="0" borderId="15" xfId="37" applyFont="1" applyBorder="1" applyAlignment="1">
      <alignment vertical="center" textRotation="90"/>
    </xf>
    <xf numFmtId="0" fontId="108" fillId="0" borderId="52" xfId="37" applyFont="1" applyBorder="1" applyAlignment="1">
      <alignment vertical="center" textRotation="90"/>
    </xf>
    <xf numFmtId="0" fontId="108" fillId="0" borderId="37" xfId="37" applyFont="1" applyBorder="1" applyAlignment="1">
      <alignment vertical="center" textRotation="90"/>
    </xf>
    <xf numFmtId="0" fontId="116" fillId="0" borderId="10" xfId="37" applyFont="1" applyBorder="1" applyAlignment="1">
      <alignment horizontal="center" vertical="center"/>
    </xf>
    <xf numFmtId="0" fontId="107" fillId="0" borderId="10" xfId="37" applyNumberFormat="1" applyFont="1" applyBorder="1" applyAlignment="1">
      <alignment horizontal="center" vertical="center"/>
    </xf>
    <xf numFmtId="0" fontId="116" fillId="0" borderId="35" xfId="37" applyFont="1" applyBorder="1" applyAlignment="1">
      <alignment horizontal="center" vertical="center"/>
    </xf>
    <xf numFmtId="0" fontId="107" fillId="0" borderId="35" xfId="37" applyNumberFormat="1" applyFont="1" applyBorder="1" applyAlignment="1">
      <alignment horizontal="center" vertical="center"/>
    </xf>
    <xf numFmtId="0" fontId="116" fillId="0" borderId="32" xfId="37" applyFont="1" applyBorder="1" applyAlignment="1">
      <alignment horizontal="center" vertical="center"/>
    </xf>
    <xf numFmtId="0" fontId="107" fillId="0" borderId="32" xfId="37" applyNumberFormat="1" applyFont="1" applyBorder="1" applyAlignment="1">
      <alignment horizontal="center" vertical="center"/>
    </xf>
    <xf numFmtId="0" fontId="117" fillId="0" borderId="35" xfId="37" applyNumberFormat="1" applyFont="1" applyBorder="1" applyAlignment="1">
      <alignment horizontal="center" vertical="center"/>
    </xf>
    <xf numFmtId="0" fontId="107" fillId="0" borderId="31" xfId="37" applyNumberFormat="1" applyFont="1" applyBorder="1" applyAlignment="1">
      <alignment horizontal="center" vertical="center"/>
    </xf>
    <xf numFmtId="0" fontId="107" fillId="0" borderId="50" xfId="37" applyNumberFormat="1" applyFont="1" applyBorder="1" applyAlignment="1">
      <alignment horizontal="center" vertical="center"/>
    </xf>
    <xf numFmtId="0" fontId="112" fillId="0" borderId="82" xfId="37" applyFont="1" applyFill="1" applyBorder="1" applyAlignment="1">
      <alignment horizontal="center" vertical="center"/>
    </xf>
    <xf numFmtId="0" fontId="111" fillId="0" borderId="0" xfId="37" applyFont="1" applyAlignment="1">
      <alignment horizontal="center"/>
    </xf>
    <xf numFmtId="0" fontId="0" fillId="0" borderId="10" xfId="0" applyBorder="1"/>
    <xf numFmtId="0" fontId="30" fillId="0" borderId="0" xfId="41" applyBorder="1" applyAlignment="1">
      <alignment horizontal="center"/>
    </xf>
    <xf numFmtId="0" fontId="14" fillId="0" borderId="78" xfId="41" applyFont="1" applyBorder="1" applyAlignment="1">
      <alignment vertical="center"/>
    </xf>
    <xf numFmtId="0" fontId="14" fillId="0" borderId="91" xfId="41" applyFont="1" applyBorder="1" applyAlignment="1">
      <alignment vertical="center"/>
    </xf>
    <xf numFmtId="0" fontId="111" fillId="0" borderId="91" xfId="37" applyFont="1" applyBorder="1" applyAlignment="1">
      <alignment horizontal="center"/>
    </xf>
    <xf numFmtId="0" fontId="111" fillId="0" borderId="92" xfId="37" applyFont="1" applyBorder="1"/>
    <xf numFmtId="0" fontId="112" fillId="0" borderId="19" xfId="37" applyFont="1" applyBorder="1" applyAlignment="1">
      <alignment horizontal="center" vertical="center"/>
    </xf>
    <xf numFmtId="0" fontId="112" fillId="0" borderId="91" xfId="37" applyFont="1" applyBorder="1" applyAlignment="1">
      <alignment horizontal="center"/>
    </xf>
    <xf numFmtId="0" fontId="111" fillId="0" borderId="92" xfId="37" applyNumberFormat="1" applyFont="1" applyBorder="1" applyAlignment="1">
      <alignment horizontal="center" vertical="center"/>
    </xf>
    <xf numFmtId="0" fontId="111" fillId="0" borderId="17" xfId="37" applyFont="1" applyBorder="1" applyAlignment="1">
      <alignment horizontal="center" vertical="center"/>
    </xf>
    <xf numFmtId="0" fontId="111" fillId="0" borderId="19" xfId="37" applyFont="1" applyBorder="1"/>
    <xf numFmtId="0" fontId="81" fillId="26" borderId="93" xfId="41" applyFont="1" applyFill="1" applyBorder="1" applyAlignment="1">
      <alignment vertical="center"/>
    </xf>
    <xf numFmtId="0" fontId="30" fillId="26" borderId="93" xfId="41" applyFill="1" applyBorder="1" applyAlignment="1"/>
    <xf numFmtId="0" fontId="81" fillId="0" borderId="39" xfId="41" applyFont="1" applyBorder="1" applyAlignment="1">
      <alignment vertical="center"/>
    </xf>
    <xf numFmtId="0" fontId="81" fillId="26" borderId="39" xfId="41" applyFont="1" applyFill="1" applyBorder="1" applyAlignment="1">
      <alignment vertical="center"/>
    </xf>
    <xf numFmtId="0" fontId="30" fillId="26" borderId="39" xfId="41" applyFill="1" applyBorder="1" applyAlignment="1"/>
    <xf numFmtId="0" fontId="111" fillId="0" borderId="91" xfId="37" applyFont="1" applyBorder="1"/>
    <xf numFmtId="0" fontId="97" fillId="0" borderId="13" xfId="37" applyBorder="1"/>
    <xf numFmtId="0" fontId="111" fillId="0" borderId="94" xfId="37" applyFont="1" applyBorder="1"/>
    <xf numFmtId="0" fontId="111" fillId="0" borderId="76" xfId="37" applyFont="1" applyBorder="1"/>
    <xf numFmtId="0" fontId="111" fillId="0" borderId="95" xfId="37" applyFont="1" applyBorder="1" applyAlignment="1">
      <alignment horizontal="center" vertical="center"/>
    </xf>
    <xf numFmtId="0" fontId="111" fillId="0" borderId="94" xfId="37" applyNumberFormat="1" applyFont="1" applyBorder="1" applyAlignment="1">
      <alignment horizontal="center" vertical="center"/>
    </xf>
    <xf numFmtId="0" fontId="97" fillId="0" borderId="91" xfId="37" applyBorder="1"/>
    <xf numFmtId="0" fontId="81" fillId="0" borderId="31" xfId="41" applyFont="1" applyBorder="1" applyAlignment="1">
      <alignment vertical="center"/>
    </xf>
    <xf numFmtId="0" fontId="81" fillId="26" borderId="31" xfId="41" applyFont="1" applyFill="1" applyBorder="1" applyAlignment="1">
      <alignment vertical="center"/>
    </xf>
    <xf numFmtId="0" fontId="30" fillId="26" borderId="31" xfId="41" applyFill="1" applyBorder="1" applyAlignment="1"/>
    <xf numFmtId="0" fontId="79" fillId="27" borderId="96" xfId="41" applyFont="1" applyFill="1" applyBorder="1" applyAlignment="1">
      <alignment horizontal="center" vertical="center"/>
    </xf>
    <xf numFmtId="0" fontId="111" fillId="0" borderId="91" xfId="37" applyFont="1" applyBorder="1" applyAlignment="1">
      <alignment horizontal="center" vertical="center"/>
    </xf>
    <xf numFmtId="0" fontId="111" fillId="0" borderId="97" xfId="37" applyFont="1" applyBorder="1"/>
    <xf numFmtId="0" fontId="80" fillId="0" borderId="85" xfId="41" applyFont="1" applyBorder="1" applyAlignment="1">
      <alignment vertical="center" wrapText="1"/>
    </xf>
    <xf numFmtId="0" fontId="81" fillId="0" borderId="85" xfId="41" applyFont="1" applyBorder="1" applyAlignment="1">
      <alignment vertical="center" wrapText="1"/>
    </xf>
    <xf numFmtId="0" fontId="97" fillId="0" borderId="98" xfId="37" applyBorder="1"/>
    <xf numFmtId="0" fontId="111" fillId="29" borderId="77" xfId="37" applyNumberFormat="1" applyFont="1" applyFill="1" applyBorder="1" applyAlignment="1" applyProtection="1">
      <alignment horizontal="center" vertical="center"/>
      <protection locked="0"/>
    </xf>
    <xf numFmtId="0" fontId="11" fillId="0" borderId="0" xfId="36" applyBorder="1" applyAlignment="1"/>
    <xf numFmtId="49" fontId="11" fillId="0" borderId="0" xfId="36" applyNumberFormat="1" applyBorder="1" applyAlignment="1">
      <alignment horizontal="center" vertical="center"/>
    </xf>
    <xf numFmtId="49" fontId="11" fillId="0" borderId="0" xfId="36" applyNumberFormat="1" applyBorder="1"/>
    <xf numFmtId="0" fontId="11" fillId="0" borderId="0" xfId="36" applyNumberFormat="1" applyBorder="1"/>
    <xf numFmtId="0" fontId="96" fillId="0" borderId="0" xfId="36" applyFont="1" applyAlignment="1">
      <alignment horizontal="center" vertical="center"/>
    </xf>
    <xf numFmtId="14" fontId="98" fillId="0" borderId="0" xfId="37" applyNumberFormat="1" applyFont="1" applyAlignment="1">
      <alignment horizontal="center"/>
    </xf>
    <xf numFmtId="0" fontId="28" fillId="0" borderId="0" xfId="36" applyFont="1" applyAlignment="1">
      <alignment vertical="center"/>
    </xf>
    <xf numFmtId="14" fontId="28" fillId="0" borderId="0" xfId="36" applyNumberFormat="1" applyFont="1" applyAlignment="1">
      <alignment vertical="center"/>
    </xf>
    <xf numFmtId="0" fontId="28" fillId="0" borderId="0" xfId="36" applyFont="1" applyAlignment="1">
      <alignment horizontal="right" vertical="center"/>
    </xf>
    <xf numFmtId="49" fontId="24" fillId="0" borderId="0" xfId="36" applyNumberFormat="1" applyFont="1" applyAlignment="1">
      <alignment horizontal="right" vertical="center"/>
    </xf>
    <xf numFmtId="0" fontId="28" fillId="0" borderId="0" xfId="36" applyFont="1" applyAlignment="1">
      <alignment horizontal="left" vertical="center"/>
    </xf>
    <xf numFmtId="14" fontId="14" fillId="0" borderId="0" xfId="36" applyNumberFormat="1" applyFont="1" applyBorder="1" applyAlignment="1">
      <alignment horizontal="left" vertical="center"/>
    </xf>
    <xf numFmtId="0" fontId="29" fillId="0" borderId="52" xfId="0" applyFont="1" applyBorder="1" applyAlignment="1">
      <alignment horizontal="right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72" fillId="0" borderId="52" xfId="36" applyFont="1" applyBorder="1" applyAlignment="1">
      <alignment vertical="center"/>
    </xf>
    <xf numFmtId="0" fontId="102" fillId="0" borderId="0" xfId="37" applyFont="1" applyAlignment="1">
      <alignment horizontal="left"/>
    </xf>
    <xf numFmtId="0" fontId="114" fillId="0" borderId="0" xfId="37" applyFont="1"/>
    <xf numFmtId="0" fontId="119" fillId="0" borderId="0" xfId="37" applyFont="1" applyAlignment="1">
      <alignment horizontal="center" vertical="center"/>
    </xf>
    <xf numFmtId="0" fontId="107" fillId="0" borderId="0" xfId="37" applyFont="1" applyAlignment="1">
      <alignment horizontal="left" vertical="center"/>
    </xf>
    <xf numFmtId="0" fontId="107" fillId="33" borderId="0" xfId="37" applyFont="1" applyFill="1" applyAlignment="1">
      <alignment horizontal="left" vertical="center"/>
    </xf>
    <xf numFmtId="0" fontId="103" fillId="0" borderId="0" xfId="37" applyFont="1"/>
    <xf numFmtId="0" fontId="107" fillId="0" borderId="11" xfId="37" applyFont="1" applyBorder="1" applyAlignment="1">
      <alignment horizontal="left" vertical="center"/>
    </xf>
    <xf numFmtId="0" fontId="102" fillId="0" borderId="11" xfId="37" applyFont="1" applyBorder="1" applyAlignment="1">
      <alignment vertical="top"/>
    </xf>
    <xf numFmtId="0" fontId="97" fillId="0" borderId="12" xfId="37" applyBorder="1"/>
    <xf numFmtId="0" fontId="97" fillId="33" borderId="0" xfId="37" applyFill="1" applyBorder="1"/>
    <xf numFmtId="0" fontId="107" fillId="0" borderId="13" xfId="37" applyFont="1" applyBorder="1" applyAlignment="1">
      <alignment horizontal="left" vertical="center"/>
    </xf>
    <xf numFmtId="0" fontId="107" fillId="33" borderId="13" xfId="37" applyFont="1" applyFill="1" applyBorder="1" applyAlignment="1">
      <alignment horizontal="left" vertical="center"/>
    </xf>
    <xf numFmtId="0" fontId="103" fillId="0" borderId="13" xfId="37" applyFont="1" applyBorder="1"/>
    <xf numFmtId="0" fontId="97" fillId="0" borderId="14" xfId="37" applyBorder="1"/>
    <xf numFmtId="0" fontId="102" fillId="0" borderId="0" xfId="37" applyFont="1" applyFill="1" applyBorder="1" applyAlignment="1">
      <alignment vertical="top"/>
    </xf>
    <xf numFmtId="0" fontId="97" fillId="0" borderId="11" xfId="37" applyBorder="1"/>
    <xf numFmtId="0" fontId="107" fillId="0" borderId="15" xfId="37" applyFont="1" applyBorder="1"/>
    <xf numFmtId="0" fontId="107" fillId="33" borderId="0" xfId="37" applyFont="1" applyFill="1" applyBorder="1"/>
    <xf numFmtId="0" fontId="97" fillId="0" borderId="15" xfId="37" applyBorder="1"/>
    <xf numFmtId="0" fontId="102" fillId="0" borderId="30" xfId="37" applyNumberFormat="1" applyFont="1" applyBorder="1" applyAlignment="1">
      <alignment horizontal="center" vertical="center"/>
    </xf>
    <xf numFmtId="0" fontId="102" fillId="0" borderId="34" xfId="37" applyFont="1" applyBorder="1"/>
    <xf numFmtId="49" fontId="102" fillId="0" borderId="0" xfId="37" applyNumberFormat="1" applyFont="1" applyAlignment="1">
      <alignment horizontal="center" vertical="center"/>
    </xf>
    <xf numFmtId="0" fontId="102" fillId="0" borderId="0" xfId="37" applyFont="1" applyAlignment="1">
      <alignment vertical="top"/>
    </xf>
    <xf numFmtId="0" fontId="97" fillId="30" borderId="13" xfId="37" applyFill="1" applyBorder="1"/>
    <xf numFmtId="0" fontId="111" fillId="0" borderId="13" xfId="37" applyFont="1" applyBorder="1"/>
    <xf numFmtId="0" fontId="102" fillId="0" borderId="0" xfId="37" applyFont="1" applyAlignment="1">
      <alignment horizontal="center" vertical="center"/>
    </xf>
    <xf numFmtId="0" fontId="97" fillId="0" borderId="13" xfId="37" applyBorder="1" applyAlignment="1">
      <alignment horizontal="left"/>
    </xf>
    <xf numFmtId="0" fontId="97" fillId="30" borderId="13" xfId="37" applyFill="1" applyBorder="1" applyAlignment="1">
      <alignment horizontal="left"/>
    </xf>
    <xf numFmtId="0" fontId="102" fillId="0" borderId="13" xfId="37" applyFont="1" applyBorder="1"/>
    <xf numFmtId="0" fontId="97" fillId="0" borderId="0" xfId="37" applyBorder="1" applyAlignment="1">
      <alignment horizontal="left"/>
    </xf>
    <xf numFmtId="0" fontId="102" fillId="0" borderId="0" xfId="37" applyFont="1" applyBorder="1"/>
    <xf numFmtId="0" fontId="107" fillId="0" borderId="12" xfId="37" applyFont="1" applyBorder="1"/>
    <xf numFmtId="0" fontId="103" fillId="0" borderId="34" xfId="37" applyFont="1" applyBorder="1"/>
    <xf numFmtId="0" fontId="102" fillId="0" borderId="0" xfId="37" applyNumberFormat="1" applyFont="1" applyAlignment="1">
      <alignment horizontal="center" vertical="center"/>
    </xf>
    <xf numFmtId="0" fontId="102" fillId="0" borderId="0" xfId="37" applyFont="1" applyAlignment="1">
      <alignment horizontal="right"/>
    </xf>
    <xf numFmtId="14" fontId="119" fillId="0" borderId="0" xfId="37" applyNumberFormat="1" applyFont="1" applyAlignment="1">
      <alignment horizontal="center" vertical="center"/>
    </xf>
    <xf numFmtId="0" fontId="20" fillId="0" borderId="0" xfId="36" applyNumberFormat="1" applyFont="1" applyAlignment="1">
      <alignment vertical="center"/>
    </xf>
    <xf numFmtId="0" fontId="20" fillId="0" borderId="11" xfId="36" applyNumberFormat="1" applyFont="1" applyBorder="1" applyAlignment="1">
      <alignment vertical="center"/>
    </xf>
    <xf numFmtId="17" fontId="87" fillId="35" borderId="90" xfId="36" applyNumberFormat="1" applyFont="1" applyFill="1" applyBorder="1" applyAlignment="1">
      <alignment horizontal="center" vertical="center"/>
    </xf>
    <xf numFmtId="0" fontId="87" fillId="0" borderId="90" xfId="36" applyNumberFormat="1" applyFont="1" applyBorder="1" applyAlignment="1">
      <alignment horizontal="center" vertical="center"/>
    </xf>
    <xf numFmtId="0" fontId="87" fillId="0" borderId="100" xfId="36" applyNumberFormat="1" applyFont="1" applyBorder="1" applyAlignment="1">
      <alignment horizontal="center" vertical="center"/>
    </xf>
    <xf numFmtId="0" fontId="87" fillId="0" borderId="101" xfId="36" applyNumberFormat="1" applyFont="1" applyBorder="1" applyAlignment="1">
      <alignment horizontal="center" vertical="center"/>
    </xf>
    <xf numFmtId="17" fontId="87" fillId="0" borderId="32" xfId="36" applyNumberFormat="1" applyFont="1" applyBorder="1" applyAlignment="1">
      <alignment horizontal="center" vertical="center"/>
    </xf>
    <xf numFmtId="0" fontId="87" fillId="0" borderId="10" xfId="36" applyFont="1" applyBorder="1" applyAlignment="1">
      <alignment horizontal="center" vertical="center"/>
    </xf>
    <xf numFmtId="0" fontId="11" fillId="0" borderId="0" xfId="36" applyBorder="1" applyAlignment="1">
      <alignment horizontal="center"/>
    </xf>
    <xf numFmtId="0" fontId="98" fillId="0" borderId="29" xfId="37" applyFont="1" applyBorder="1" applyAlignment="1">
      <alignment horizontal="center" vertical="center"/>
    </xf>
    <xf numFmtId="0" fontId="104" fillId="0" borderId="33" xfId="37" applyFont="1" applyBorder="1" applyAlignment="1">
      <alignment horizontal="center"/>
    </xf>
    <xf numFmtId="0" fontId="0" fillId="29" borderId="0" xfId="0" applyFill="1" applyAlignment="1">
      <alignment horizontal="center"/>
    </xf>
    <xf numFmtId="0" fontId="98" fillId="0" borderId="29" xfId="37" applyFont="1" applyBorder="1" applyAlignment="1">
      <alignment horizontal="center" vertical="center"/>
    </xf>
    <xf numFmtId="0" fontId="104" fillId="0" borderId="33" xfId="37" applyFont="1" applyBorder="1" applyAlignment="1">
      <alignment horizontal="center"/>
    </xf>
    <xf numFmtId="0" fontId="13" fillId="0" borderId="89" xfId="36" applyNumberFormat="1" applyFont="1" applyBorder="1" applyAlignment="1">
      <alignment horizontal="center" vertical="center"/>
    </xf>
    <xf numFmtId="0" fontId="13" fillId="0" borderId="10" xfId="36" applyNumberFormat="1" applyFont="1" applyBorder="1" applyAlignment="1">
      <alignment horizontal="center" vertical="center"/>
    </xf>
    <xf numFmtId="0" fontId="11" fillId="25" borderId="10" xfId="36" applyNumberFormat="1" applyFill="1" applyBorder="1"/>
    <xf numFmtId="0" fontId="22" fillId="33" borderId="116" xfId="36" applyNumberFormat="1" applyFont="1" applyFill="1" applyBorder="1" applyAlignment="1">
      <alignment horizontal="center" vertical="center" wrapText="1"/>
    </xf>
    <xf numFmtId="0" fontId="11" fillId="0" borderId="31" xfId="36" applyNumberFormat="1" applyFill="1" applyBorder="1"/>
    <xf numFmtId="0" fontId="19" fillId="0" borderId="39" xfId="36" applyNumberFormat="1" applyFont="1" applyFill="1" applyBorder="1"/>
    <xf numFmtId="0" fontId="19" fillId="0" borderId="39" xfId="36" applyFont="1" applyBorder="1"/>
    <xf numFmtId="0" fontId="12" fillId="0" borderId="39" xfId="36" applyFont="1" applyBorder="1" applyAlignment="1">
      <alignment horizontal="right" vertical="center"/>
    </xf>
    <xf numFmtId="0" fontId="22" fillId="33" borderId="10" xfId="36" applyNumberFormat="1" applyFont="1" applyFill="1" applyBorder="1" applyAlignment="1">
      <alignment horizontal="center" vertical="center" wrapText="1"/>
    </xf>
    <xf numFmtId="0" fontId="19" fillId="0" borderId="10" xfId="36" applyNumberFormat="1" applyFont="1" applyFill="1" applyBorder="1"/>
    <xf numFmtId="0" fontId="19" fillId="0" borderId="10" xfId="36" applyFont="1" applyBorder="1"/>
    <xf numFmtId="0" fontId="12" fillId="0" borderId="10" xfId="36" applyFont="1" applyBorder="1" applyAlignment="1">
      <alignment horizontal="right" vertical="center"/>
    </xf>
    <xf numFmtId="0" fontId="22" fillId="33" borderId="31" xfId="36" applyNumberFormat="1" applyFont="1" applyFill="1" applyBorder="1" applyAlignment="1">
      <alignment horizontal="center" vertical="center" wrapText="1"/>
    </xf>
    <xf numFmtId="0" fontId="13" fillId="0" borderId="31" xfId="36" applyNumberFormat="1" applyFont="1" applyBorder="1" applyAlignment="1">
      <alignment horizontal="center" vertical="center"/>
    </xf>
    <xf numFmtId="0" fontId="11" fillId="25" borderId="31" xfId="36" applyNumberFormat="1" applyFill="1" applyBorder="1"/>
    <xf numFmtId="0" fontId="19" fillId="0" borderId="31" xfId="36" applyNumberFormat="1" applyFont="1" applyFill="1" applyBorder="1"/>
    <xf numFmtId="0" fontId="19" fillId="0" borderId="31" xfId="36" applyFont="1" applyBorder="1"/>
    <xf numFmtId="0" fontId="12" fillId="0" borderId="31" xfId="36" applyFont="1" applyBorder="1" applyAlignment="1">
      <alignment horizontal="right" vertical="center"/>
    </xf>
    <xf numFmtId="0" fontId="11" fillId="25" borderId="0" xfId="36" applyNumberFormat="1" applyFill="1" applyBorder="1"/>
    <xf numFmtId="0" fontId="61" fillId="0" borderId="0" xfId="36" applyNumberFormat="1" applyFont="1" applyAlignment="1">
      <alignment horizontal="center" vertical="center"/>
    </xf>
    <xf numFmtId="0" fontId="61" fillId="0" borderId="0" xfId="40" applyNumberFormat="1" applyFont="1" applyAlignment="1">
      <alignment horizontal="center" vertical="center"/>
    </xf>
    <xf numFmtId="0" fontId="61" fillId="0" borderId="15" xfId="40" applyNumberFormat="1" applyFont="1" applyBorder="1" applyAlignment="1">
      <alignment horizontal="center" vertical="center"/>
    </xf>
    <xf numFmtId="0" fontId="13" fillId="0" borderId="13" xfId="36" applyNumberFormat="1" applyFont="1" applyBorder="1" applyAlignment="1">
      <alignment horizontal="center" vertical="center"/>
    </xf>
    <xf numFmtId="0" fontId="20" fillId="0" borderId="0" xfId="38" applyNumberFormat="1" applyFont="1" applyAlignment="1" applyProtection="1">
      <alignment horizontal="center" vertical="center"/>
      <protection locked="0"/>
    </xf>
    <xf numFmtId="49" fontId="29" fillId="0" borderId="13" xfId="38" applyNumberFormat="1" applyFont="1" applyBorder="1" applyAlignment="1">
      <alignment horizontal="center"/>
    </xf>
    <xf numFmtId="0" fontId="67" fillId="0" borderId="0" xfId="40" applyFont="1" applyFill="1" applyBorder="1" applyAlignment="1">
      <alignment vertical="center"/>
    </xf>
    <xf numFmtId="0" fontId="67" fillId="0" borderId="0" xfId="40" applyFont="1" applyFill="1" applyBorder="1" applyAlignment="1">
      <alignment horizontal="center" vertical="center"/>
    </xf>
    <xf numFmtId="0" fontId="68" fillId="0" borderId="0" xfId="36" applyNumberFormat="1" applyFont="1" applyFill="1" applyBorder="1" applyAlignment="1">
      <alignment horizontal="center" vertical="center"/>
    </xf>
    <xf numFmtId="0" fontId="69" fillId="0" borderId="0" xfId="40" applyNumberFormat="1" applyFont="1" applyFill="1" applyBorder="1" applyAlignment="1">
      <alignment vertical="center"/>
    </xf>
    <xf numFmtId="0" fontId="0" fillId="0" borderId="99" xfId="0" applyBorder="1"/>
    <xf numFmtId="49" fontId="9" fillId="0" borderId="30" xfId="37" applyNumberFormat="1" applyFont="1" applyBorder="1" applyAlignment="1">
      <alignment horizontal="center" vertical="center"/>
    </xf>
    <xf numFmtId="49" fontId="9" fillId="0" borderId="0" xfId="37" applyNumberFormat="1" applyFont="1" applyAlignment="1">
      <alignment horizontal="center" vertical="center"/>
    </xf>
    <xf numFmtId="0" fontId="97" fillId="0" borderId="32" xfId="37" applyBorder="1"/>
    <xf numFmtId="49" fontId="125" fillId="0" borderId="0" xfId="38" applyNumberFormat="1" applyFont="1" applyBorder="1" applyAlignment="1" applyProtection="1">
      <alignment horizontal="right" vertical="center"/>
      <protection locked="0"/>
    </xf>
    <xf numFmtId="49" fontId="126" fillId="0" borderId="0" xfId="38" applyNumberFormat="1" applyFont="1" applyAlignment="1" applyProtection="1">
      <alignment horizontal="center" vertical="center"/>
      <protection locked="0"/>
    </xf>
    <xf numFmtId="49" fontId="126" fillId="0" borderId="0" xfId="38" applyNumberFormat="1" applyFont="1" applyBorder="1" applyAlignment="1" applyProtection="1">
      <alignment horizontal="center" vertical="center"/>
      <protection locked="0"/>
    </xf>
    <xf numFmtId="49" fontId="126" fillId="0" borderId="0" xfId="38" applyNumberFormat="1" applyFont="1" applyBorder="1" applyAlignment="1" applyProtection="1">
      <alignment horizontal="left" vertical="center"/>
      <protection locked="0"/>
    </xf>
    <xf numFmtId="0" fontId="21" fillId="0" borderId="13" xfId="38" applyNumberFormat="1" applyFont="1" applyBorder="1" applyAlignment="1" applyProtection="1">
      <alignment horizontal="right" vertical="center"/>
    </xf>
    <xf numFmtId="49" fontId="29" fillId="0" borderId="13" xfId="38" applyNumberFormat="1" applyFont="1" applyBorder="1" applyAlignment="1">
      <alignment horizontal="right"/>
    </xf>
    <xf numFmtId="0" fontId="88" fillId="0" borderId="14" xfId="36" applyNumberFormat="1" applyFont="1" applyBorder="1" applyAlignment="1">
      <alignment horizontal="left" vertical="center"/>
    </xf>
    <xf numFmtId="0" fontId="29" fillId="0" borderId="13" xfId="38" applyNumberFormat="1" applyFont="1" applyFill="1" applyBorder="1" applyAlignment="1">
      <alignment horizontal="center"/>
    </xf>
    <xf numFmtId="0" fontId="12" fillId="0" borderId="13" xfId="38" applyNumberFormat="1" applyFont="1" applyBorder="1" applyAlignment="1">
      <alignment horizontal="center"/>
    </xf>
    <xf numFmtId="0" fontId="12" fillId="0" borderId="0" xfId="38" applyNumberFormat="1" applyFont="1" applyBorder="1" applyAlignment="1">
      <alignment horizontal="center"/>
    </xf>
    <xf numFmtId="0" fontId="12" fillId="0" borderId="11" xfId="38" applyNumberFormat="1" applyFont="1" applyBorder="1" applyAlignment="1">
      <alignment horizontal="center"/>
    </xf>
    <xf numFmtId="0" fontId="12" fillId="0" borderId="0" xfId="38" applyNumberFormat="1" applyFont="1"/>
    <xf numFmtId="0" fontId="12" fillId="0" borderId="11" xfId="38" applyNumberFormat="1" applyFont="1" applyBorder="1"/>
    <xf numFmtId="0" fontId="12" fillId="0" borderId="0" xfId="38" applyNumberFormat="1" applyFont="1" applyAlignment="1">
      <alignment horizontal="center"/>
    </xf>
    <xf numFmtId="0" fontId="12" fillId="0" borderId="0" xfId="38" applyNumberFormat="1" applyFont="1" applyBorder="1"/>
    <xf numFmtId="0" fontId="71" fillId="0" borderId="13" xfId="42" applyNumberFormat="1" applyFont="1" applyBorder="1" applyAlignment="1">
      <alignment horizontal="left"/>
    </xf>
    <xf numFmtId="0" fontId="71" fillId="0" borderId="0" xfId="42" applyNumberFormat="1" applyFont="1" applyBorder="1" applyAlignment="1">
      <alignment horizontal="center"/>
    </xf>
    <xf numFmtId="0" fontId="89" fillId="0" borderId="0" xfId="38" applyNumberFormat="1" applyFont="1"/>
    <xf numFmtId="0" fontId="90" fillId="0" borderId="0" xfId="38" applyNumberFormat="1" applyFont="1"/>
    <xf numFmtId="0" fontId="71" fillId="0" borderId="13" xfId="42" applyNumberFormat="1" applyFont="1" applyBorder="1" applyAlignment="1"/>
    <xf numFmtId="0" fontId="89" fillId="0" borderId="0" xfId="38" applyNumberFormat="1" applyFont="1" applyBorder="1"/>
    <xf numFmtId="0" fontId="71" fillId="0" borderId="13" xfId="42" applyNumberFormat="1" applyFont="1" applyBorder="1" applyAlignment="1">
      <alignment horizontal="center"/>
    </xf>
    <xf numFmtId="0" fontId="8" fillId="0" borderId="0" xfId="37" applyFont="1"/>
    <xf numFmtId="0" fontId="114" fillId="0" borderId="60" xfId="37" applyFont="1" applyBorder="1" applyAlignment="1">
      <alignment horizontal="center" vertical="center"/>
    </xf>
    <xf numFmtId="0" fontId="98" fillId="0" borderId="32" xfId="37" applyNumberFormat="1" applyFont="1" applyBorder="1" applyAlignment="1">
      <alignment horizontal="center" vertical="center"/>
    </xf>
    <xf numFmtId="49" fontId="7" fillId="0" borderId="10" xfId="37" applyNumberFormat="1" applyFont="1" applyBorder="1" applyAlignment="1">
      <alignment horizontal="center" vertical="center"/>
    </xf>
    <xf numFmtId="49" fontId="7" fillId="0" borderId="32" xfId="37" applyNumberFormat="1" applyFont="1" applyBorder="1" applyAlignment="1">
      <alignment horizontal="center" vertical="center"/>
    </xf>
    <xf numFmtId="49" fontId="7" fillId="0" borderId="31" xfId="37" applyNumberFormat="1" applyFont="1" applyBorder="1" applyAlignment="1">
      <alignment horizontal="center" vertical="center"/>
    </xf>
    <xf numFmtId="49" fontId="7" fillId="0" borderId="35" xfId="37" applyNumberFormat="1" applyFont="1" applyBorder="1" applyAlignment="1">
      <alignment horizontal="center" vertical="center"/>
    </xf>
    <xf numFmtId="0" fontId="97" fillId="0" borderId="32" xfId="37" applyBorder="1"/>
    <xf numFmtId="49" fontId="6" fillId="0" borderId="32" xfId="37" applyNumberFormat="1" applyFont="1" applyBorder="1" applyAlignment="1">
      <alignment horizontal="center" vertical="center"/>
    </xf>
    <xf numFmtId="49" fontId="5" fillId="0" borderId="10" xfId="37" applyNumberFormat="1" applyFont="1" applyBorder="1" applyAlignment="1">
      <alignment horizontal="center" vertical="center"/>
    </xf>
    <xf numFmtId="49" fontId="4" fillId="0" borderId="32" xfId="37" applyNumberFormat="1" applyFont="1" applyBorder="1" applyAlignment="1">
      <alignment horizontal="center" vertical="center"/>
    </xf>
    <xf numFmtId="0" fontId="97" fillId="0" borderId="31" xfId="37" applyBorder="1" applyAlignment="1">
      <alignment horizontal="center" vertical="center"/>
    </xf>
    <xf numFmtId="0" fontId="97" fillId="0" borderId="32" xfId="37" applyBorder="1" applyAlignment="1">
      <alignment horizontal="center" vertical="center"/>
    </xf>
    <xf numFmtId="0" fontId="98" fillId="0" borderId="29" xfId="37" applyFont="1" applyBorder="1" applyAlignment="1">
      <alignment horizontal="center" vertical="center"/>
    </xf>
    <xf numFmtId="0" fontId="103" fillId="0" borderId="0" xfId="37" applyFont="1" applyAlignment="1">
      <alignment horizontal="center" vertical="center"/>
    </xf>
    <xf numFmtId="0" fontId="98" fillId="0" borderId="33" xfId="37" applyFont="1" applyBorder="1" applyAlignment="1">
      <alignment horizontal="center"/>
    </xf>
    <xf numFmtId="0" fontId="103" fillId="0" borderId="0" xfId="37" applyFont="1" applyAlignment="1">
      <alignment horizontal="right" vertical="center"/>
    </xf>
    <xf numFmtId="0" fontId="103" fillId="0" borderId="0" xfId="37" applyFont="1" applyAlignment="1">
      <alignment horizontal="center"/>
    </xf>
    <xf numFmtId="0" fontId="30" fillId="0" borderId="0" xfId="41" applyBorder="1" applyAlignment="1">
      <alignment horizontal="center"/>
    </xf>
    <xf numFmtId="0" fontId="97" fillId="0" borderId="32" xfId="37" applyBorder="1"/>
    <xf numFmtId="49" fontId="24" fillId="0" borderId="15" xfId="36" applyNumberFormat="1" applyFont="1" applyBorder="1" applyAlignment="1">
      <alignment horizontal="center" vertical="center"/>
    </xf>
    <xf numFmtId="49" fontId="56" fillId="0" borderId="0" xfId="36" applyNumberFormat="1" applyFont="1" applyBorder="1" applyAlignment="1">
      <alignment horizontal="right" vertical="center"/>
    </xf>
    <xf numFmtId="0" fontId="28" fillId="0" borderId="0" xfId="36" applyFont="1" applyAlignment="1">
      <alignment horizontal="center" vertical="center"/>
    </xf>
    <xf numFmtId="0" fontId="101" fillId="0" borderId="29" xfId="37" applyFont="1" applyFill="1" applyBorder="1"/>
    <xf numFmtId="0" fontId="101" fillId="0" borderId="20" xfId="37" applyFont="1" applyFill="1" applyBorder="1" applyAlignment="1">
      <alignment horizontal="center"/>
    </xf>
    <xf numFmtId="0" fontId="101" fillId="0" borderId="33" xfId="37" applyFont="1" applyFill="1" applyBorder="1"/>
    <xf numFmtId="0" fontId="97" fillId="0" borderId="50" xfId="37" applyBorder="1" applyAlignment="1">
      <alignment horizontal="center" vertical="center"/>
    </xf>
    <xf numFmtId="0" fontId="98" fillId="0" borderId="34" xfId="37" applyFont="1" applyBorder="1" applyAlignment="1">
      <alignment horizontal="center" vertical="center"/>
    </xf>
    <xf numFmtId="0" fontId="97" fillId="0" borderId="10" xfId="37" applyBorder="1"/>
    <xf numFmtId="0" fontId="98" fillId="0" borderId="35" xfId="37" applyNumberFormat="1" applyFont="1" applyBorder="1" applyAlignment="1">
      <alignment horizontal="center" vertical="center"/>
    </xf>
    <xf numFmtId="0" fontId="98" fillId="0" borderId="44" xfId="37" applyFont="1" applyBorder="1" applyAlignment="1">
      <alignment horizontal="center" vertical="center"/>
    </xf>
    <xf numFmtId="0" fontId="3" fillId="0" borderId="0" xfId="37" applyFont="1" applyAlignment="1">
      <alignment horizontal="center" vertical="center"/>
    </xf>
    <xf numFmtId="0" fontId="61" fillId="0" borderId="0" xfId="36" applyNumberFormat="1" applyFont="1" applyBorder="1" applyAlignment="1">
      <alignment horizontal="center" vertical="center"/>
    </xf>
    <xf numFmtId="0" fontId="128" fillId="0" borderId="90" xfId="0" applyFont="1" applyBorder="1" applyAlignment="1">
      <alignment horizontal="center" vertical="center"/>
    </xf>
    <xf numFmtId="0" fontId="73" fillId="0" borderId="60" xfId="0" applyFont="1" applyBorder="1" applyAlignment="1">
      <alignment horizontal="center" vertical="center" wrapText="1"/>
    </xf>
    <xf numFmtId="0" fontId="73" fillId="0" borderId="72" xfId="0" applyFont="1" applyBorder="1" applyAlignment="1">
      <alignment horizontal="center" vertical="center"/>
    </xf>
    <xf numFmtId="0" fontId="73" fillId="0" borderId="90" xfId="0" applyFont="1" applyBorder="1" applyAlignment="1">
      <alignment horizontal="center" vertical="center" wrapText="1"/>
    </xf>
    <xf numFmtId="0" fontId="129" fillId="0" borderId="42" xfId="0" applyFont="1" applyBorder="1" applyAlignment="1">
      <alignment horizontal="center" vertical="center"/>
    </xf>
    <xf numFmtId="0" fontId="130" fillId="0" borderId="42" xfId="0" applyFont="1" applyBorder="1" applyAlignment="1">
      <alignment horizontal="center" vertical="center"/>
    </xf>
    <xf numFmtId="0" fontId="81" fillId="0" borderId="13" xfId="0" applyFont="1" applyBorder="1" applyAlignment="1">
      <alignment horizontal="center" vertical="center"/>
    </xf>
    <xf numFmtId="0" fontId="129" fillId="0" borderId="10" xfId="0" applyFont="1" applyBorder="1" applyAlignment="1">
      <alignment horizontal="center" vertical="center"/>
    </xf>
    <xf numFmtId="0" fontId="130" fillId="0" borderId="10" xfId="0" applyFont="1" applyBorder="1" applyAlignment="1">
      <alignment horizontal="center" vertical="center"/>
    </xf>
    <xf numFmtId="0" fontId="129" fillId="0" borderId="13" xfId="0" applyFont="1" applyBorder="1" applyAlignment="1">
      <alignment horizontal="center" vertical="center"/>
    </xf>
    <xf numFmtId="1" fontId="78" fillId="0" borderId="13" xfId="0" applyNumberFormat="1" applyFont="1" applyBorder="1" applyAlignment="1">
      <alignment horizontal="center" vertical="center"/>
    </xf>
    <xf numFmtId="0" fontId="78" fillId="0" borderId="13" xfId="0" applyFont="1" applyBorder="1" applyAlignment="1">
      <alignment horizontal="center" vertical="center"/>
    </xf>
    <xf numFmtId="0" fontId="73" fillId="0" borderId="13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29" fillId="0" borderId="71" xfId="0" applyFont="1" applyBorder="1" applyAlignment="1">
      <alignment horizontal="center" vertical="center" wrapText="1"/>
    </xf>
    <xf numFmtId="0" fontId="29" fillId="0" borderId="62" xfId="0" applyFont="1" applyBorder="1" applyAlignment="1">
      <alignment horizontal="center" vertical="center" wrapText="1"/>
    </xf>
    <xf numFmtId="0" fontId="29" fillId="0" borderId="60" xfId="0" applyFont="1" applyBorder="1" applyAlignment="1">
      <alignment horizontal="center" vertical="center" wrapText="1"/>
    </xf>
    <xf numFmtId="0" fontId="29" fillId="0" borderId="90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/>
    </xf>
    <xf numFmtId="0" fontId="13" fillId="0" borderId="52" xfId="0" applyFont="1" applyBorder="1"/>
    <xf numFmtId="0" fontId="129" fillId="0" borderId="90" xfId="0" applyFont="1" applyBorder="1" applyAlignment="1">
      <alignment horizontal="center" vertical="center"/>
    </xf>
    <xf numFmtId="0" fontId="96" fillId="0" borderId="0" xfId="0" applyFont="1" applyBorder="1" applyAlignment="1">
      <alignment horizontal="center" vertical="center"/>
    </xf>
    <xf numFmtId="0" fontId="133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 wrapText="1"/>
    </xf>
    <xf numFmtId="1" fontId="77" fillId="0" borderId="72" xfId="0" applyNumberFormat="1" applyFont="1" applyBorder="1" applyAlignment="1">
      <alignment horizontal="center" vertical="center"/>
    </xf>
    <xf numFmtId="1" fontId="77" fillId="0" borderId="128" xfId="0" applyNumberFormat="1" applyFont="1" applyBorder="1" applyAlignment="1">
      <alignment horizontal="center" vertical="center"/>
    </xf>
    <xf numFmtId="164" fontId="130" fillId="0" borderId="128" xfId="0" applyNumberFormat="1" applyFont="1" applyBorder="1" applyAlignment="1">
      <alignment horizontal="center" vertical="center" wrapText="1"/>
    </xf>
    <xf numFmtId="164" fontId="134" fillId="0" borderId="128" xfId="0" applyNumberFormat="1" applyFont="1" applyBorder="1" applyAlignment="1">
      <alignment horizontal="center" vertical="center" wrapText="1"/>
    </xf>
    <xf numFmtId="0" fontId="20" fillId="0" borderId="0" xfId="38" applyNumberFormat="1" applyFont="1" applyAlignment="1" applyProtection="1">
      <alignment horizontal="center" vertical="center"/>
      <protection locked="0"/>
    </xf>
    <xf numFmtId="0" fontId="20" fillId="0" borderId="0" xfId="38" applyNumberFormat="1" applyFont="1" applyBorder="1" applyAlignment="1" applyProtection="1">
      <alignment horizontal="center" vertical="center"/>
      <protection locked="0"/>
    </xf>
    <xf numFmtId="0" fontId="20" fillId="0" borderId="0" xfId="38" applyNumberFormat="1" applyFont="1" applyBorder="1" applyAlignment="1" applyProtection="1">
      <alignment horizontal="center" vertical="center"/>
      <protection locked="0"/>
    </xf>
    <xf numFmtId="0" fontId="85" fillId="0" borderId="0" xfId="38" applyNumberFormat="1" applyFont="1" applyBorder="1" applyAlignment="1" applyProtection="1">
      <alignment horizontal="left" vertical="center"/>
    </xf>
    <xf numFmtId="0" fontId="21" fillId="0" borderId="0" xfId="38" applyNumberFormat="1" applyFont="1" applyBorder="1" applyAlignment="1" applyProtection="1">
      <alignment horizontal="right" vertical="center"/>
    </xf>
    <xf numFmtId="0" fontId="20" fillId="33" borderId="0" xfId="38" applyNumberFormat="1" applyFont="1" applyFill="1" applyBorder="1" applyAlignment="1" applyProtection="1">
      <alignment horizontal="center" vertical="center"/>
      <protection locked="0"/>
    </xf>
    <xf numFmtId="0" fontId="21" fillId="30" borderId="0" xfId="38" applyNumberFormat="1" applyFont="1" applyFill="1" applyBorder="1" applyAlignment="1" applyProtection="1">
      <alignment horizontal="center" vertical="center"/>
      <protection locked="0"/>
    </xf>
    <xf numFmtId="0" fontId="21" fillId="0" borderId="0" xfId="38" applyNumberFormat="1" applyFont="1" applyFill="1" applyBorder="1" applyAlignment="1" applyProtection="1">
      <alignment horizontal="center" vertical="center"/>
    </xf>
    <xf numFmtId="0" fontId="20" fillId="0" borderId="0" xfId="38" applyNumberFormat="1" applyFont="1" applyAlignment="1" applyProtection="1">
      <alignment horizontal="center" vertical="center"/>
      <protection locked="0"/>
    </xf>
    <xf numFmtId="0" fontId="20" fillId="0" borderId="0" xfId="38" applyNumberFormat="1" applyFont="1" applyBorder="1" applyAlignment="1" applyProtection="1">
      <alignment horizontal="center" vertical="center"/>
      <protection locked="0"/>
    </xf>
    <xf numFmtId="0" fontId="0" fillId="0" borderId="75" xfId="0" applyBorder="1"/>
    <xf numFmtId="0" fontId="14" fillId="0" borderId="132" xfId="0" applyFont="1" applyBorder="1" applyAlignment="1">
      <alignment horizontal="center" vertical="center"/>
    </xf>
    <xf numFmtId="0" fontId="29" fillId="28" borderId="91" xfId="0" applyFont="1" applyFill="1" applyBorder="1"/>
    <xf numFmtId="0" fontId="29" fillId="28" borderId="78" xfId="0" applyFont="1" applyFill="1" applyBorder="1" applyAlignment="1">
      <alignment horizontal="center" vertical="center"/>
    </xf>
    <xf numFmtId="0" fontId="29" fillId="28" borderId="17" xfId="0" applyFont="1" applyFill="1" applyBorder="1"/>
    <xf numFmtId="49" fontId="22" fillId="0" borderId="138" xfId="36" applyNumberFormat="1" applyFont="1" applyFill="1" applyBorder="1" applyAlignment="1">
      <alignment horizontal="center" vertical="center" wrapText="1"/>
    </xf>
    <xf numFmtId="14" fontId="13" fillId="0" borderId="82" xfId="36" applyNumberFormat="1" applyFont="1" applyBorder="1" applyAlignment="1">
      <alignment horizontal="center" vertical="center"/>
    </xf>
    <xf numFmtId="0" fontId="13" fillId="0" borderId="80" xfId="36" applyNumberFormat="1" applyFont="1" applyBorder="1" applyAlignment="1">
      <alignment horizontal="center" vertical="center"/>
    </xf>
    <xf numFmtId="0" fontId="13" fillId="0" borderId="134" xfId="36" applyNumberFormat="1" applyFont="1" applyBorder="1" applyAlignment="1">
      <alignment horizontal="center" vertical="center"/>
    </xf>
    <xf numFmtId="0" fontId="13" fillId="0" borderId="82" xfId="36" applyNumberFormat="1" applyFont="1" applyBorder="1" applyAlignment="1">
      <alignment horizontal="center" vertical="center"/>
    </xf>
    <xf numFmtId="0" fontId="19" fillId="0" borderId="139" xfId="36" applyNumberFormat="1" applyFont="1" applyBorder="1" applyAlignment="1">
      <alignment horizontal="center" vertical="center"/>
    </xf>
    <xf numFmtId="0" fontId="11" fillId="25" borderId="75" xfId="36" applyNumberFormat="1" applyFill="1" applyBorder="1"/>
    <xf numFmtId="0" fontId="14" fillId="0" borderId="91" xfId="0" applyFont="1" applyBorder="1" applyAlignment="1">
      <alignment horizontal="center" vertical="center"/>
    </xf>
    <xf numFmtId="49" fontId="22" fillId="0" borderId="140" xfId="36" applyNumberFormat="1" applyFont="1" applyFill="1" applyBorder="1" applyAlignment="1">
      <alignment horizontal="center" vertical="center" wrapText="1"/>
    </xf>
    <xf numFmtId="0" fontId="13" fillId="0" borderId="141" xfId="36" applyNumberFormat="1" applyFont="1" applyBorder="1" applyAlignment="1">
      <alignment horizontal="left" vertical="center"/>
    </xf>
    <xf numFmtId="14" fontId="13" fillId="0" borderId="28" xfId="36" applyNumberFormat="1" applyFont="1" applyBorder="1" applyAlignment="1">
      <alignment horizontal="center" vertical="center"/>
    </xf>
    <xf numFmtId="0" fontId="13" fillId="0" borderId="141" xfId="36" applyNumberFormat="1" applyFont="1" applyBorder="1" applyAlignment="1">
      <alignment horizontal="center" vertical="center"/>
    </xf>
    <xf numFmtId="0" fontId="13" fillId="0" borderId="28" xfId="36" applyNumberFormat="1" applyFont="1" applyBorder="1" applyAlignment="1">
      <alignment horizontal="center" vertical="center"/>
    </xf>
    <xf numFmtId="0" fontId="19" fillId="0" borderId="28" xfId="36" applyNumberFormat="1" applyFont="1" applyBorder="1" applyAlignment="1">
      <alignment horizontal="center" vertical="center"/>
    </xf>
    <xf numFmtId="0" fontId="11" fillId="25" borderId="18" xfId="36" applyNumberFormat="1" applyFill="1" applyBorder="1"/>
    <xf numFmtId="0" fontId="0" fillId="0" borderId="82" xfId="0" applyBorder="1"/>
    <xf numFmtId="0" fontId="0" fillId="0" borderId="28" xfId="0" applyBorder="1"/>
    <xf numFmtId="0" fontId="11" fillId="25" borderId="76" xfId="36" applyNumberFormat="1" applyFill="1" applyBorder="1"/>
    <xf numFmtId="0" fontId="13" fillId="0" borderId="80" xfId="36" applyNumberFormat="1" applyFont="1" applyFill="1" applyBorder="1" applyAlignment="1">
      <alignment horizontal="left" vertical="center"/>
    </xf>
    <xf numFmtId="0" fontId="73" fillId="0" borderId="0" xfId="36" applyFont="1" applyBorder="1" applyAlignment="1">
      <alignment vertical="center"/>
    </xf>
    <xf numFmtId="0" fontId="12" fillId="25" borderId="0" xfId="36" applyFont="1" applyFill="1" applyBorder="1" applyAlignment="1">
      <alignment horizontal="center"/>
    </xf>
    <xf numFmtId="14" fontId="13" fillId="0" borderId="0" xfId="36" applyNumberFormat="1" applyFont="1" applyBorder="1" applyAlignment="1">
      <alignment horizontal="center" vertical="center"/>
    </xf>
    <xf numFmtId="0" fontId="13" fillId="0" borderId="0" xfId="36" applyNumberFormat="1" applyFont="1" applyFill="1" applyBorder="1" applyAlignment="1">
      <alignment horizontal="left" vertical="center"/>
    </xf>
    <xf numFmtId="0" fontId="14" fillId="0" borderId="0" xfId="36" applyNumberFormat="1" applyFont="1" applyFill="1" applyBorder="1" applyAlignment="1">
      <alignment horizontal="left" vertical="center"/>
    </xf>
    <xf numFmtId="0" fontId="21" fillId="0" borderId="0" xfId="38" applyNumberFormat="1" applyFont="1" applyFill="1" applyBorder="1" applyAlignment="1" applyProtection="1">
      <alignment horizontal="center" vertical="center"/>
      <protection locked="0"/>
    </xf>
    <xf numFmtId="0" fontId="20" fillId="0" borderId="0" xfId="38" applyNumberFormat="1" applyFont="1" applyFill="1" applyBorder="1" applyAlignment="1" applyProtection="1">
      <alignment horizontal="center" vertical="center"/>
      <protection locked="0"/>
    </xf>
    <xf numFmtId="0" fontId="13" fillId="0" borderId="0" xfId="36" applyNumberFormat="1" applyFont="1" applyBorder="1" applyAlignment="1">
      <alignment horizontal="center" vertical="center"/>
    </xf>
    <xf numFmtId="0" fontId="19" fillId="0" borderId="0" xfId="36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5" fillId="0" borderId="0" xfId="0" applyFont="1" applyBorder="1" applyAlignment="1">
      <alignment horizontal="center" vertical="center"/>
    </xf>
    <xf numFmtId="49" fontId="24" fillId="0" borderId="15" xfId="36" applyNumberFormat="1" applyFont="1" applyBorder="1" applyAlignment="1">
      <alignment horizontal="center" vertical="center"/>
    </xf>
    <xf numFmtId="0" fontId="28" fillId="0" borderId="0" xfId="36" applyFont="1" applyAlignment="1">
      <alignment horizontal="center" vertical="center"/>
    </xf>
    <xf numFmtId="49" fontId="56" fillId="0" borderId="0" xfId="36" applyNumberFormat="1" applyFont="1" applyBorder="1" applyAlignment="1">
      <alignment horizontal="right" vertical="center"/>
    </xf>
    <xf numFmtId="0" fontId="20" fillId="0" borderId="0" xfId="38" applyNumberFormat="1" applyFont="1" applyAlignment="1" applyProtection="1">
      <alignment horizontal="center" vertical="center"/>
      <protection locked="0"/>
    </xf>
    <xf numFmtId="0" fontId="20" fillId="0" borderId="0" xfId="38" applyNumberFormat="1" applyFont="1" applyBorder="1" applyAlignment="1" applyProtection="1">
      <alignment horizontal="center" vertical="center"/>
      <protection locked="0"/>
    </xf>
    <xf numFmtId="0" fontId="11" fillId="0" borderId="101" xfId="36" applyBorder="1" applyAlignment="1">
      <alignment horizontal="center" vertical="center"/>
    </xf>
    <xf numFmtId="0" fontId="11" fillId="0" borderId="100" xfId="36" applyBorder="1" applyAlignment="1">
      <alignment horizontal="center" vertical="center"/>
    </xf>
    <xf numFmtId="0" fontId="11" fillId="0" borderId="38" xfId="36" applyBorder="1" applyAlignment="1">
      <alignment horizontal="center" vertical="center"/>
    </xf>
    <xf numFmtId="0" fontId="11" fillId="0" borderId="50" xfId="36" applyBorder="1" applyAlignment="1">
      <alignment horizontal="center" vertical="center"/>
    </xf>
    <xf numFmtId="0" fontId="11" fillId="0" borderId="31" xfId="36" applyBorder="1" applyAlignment="1">
      <alignment horizontal="center" vertical="center"/>
    </xf>
    <xf numFmtId="0" fontId="13" fillId="0" borderId="80" xfId="36" applyFont="1" applyFill="1" applyBorder="1"/>
    <xf numFmtId="0" fontId="13" fillId="0" borderId="133" xfId="36" applyFont="1" applyFill="1" applyBorder="1"/>
    <xf numFmtId="0" fontId="13" fillId="0" borderId="141" xfId="36" applyFont="1" applyFill="1" applyBorder="1"/>
    <xf numFmtId="0" fontId="13" fillId="0" borderId="80" xfId="36" applyNumberFormat="1" applyFont="1" applyBorder="1" applyAlignment="1">
      <alignment horizontal="left" vertical="center"/>
    </xf>
    <xf numFmtId="0" fontId="13" fillId="0" borderId="21" xfId="36" applyNumberFormat="1" applyFont="1" applyFill="1" applyBorder="1" applyAlignment="1">
      <alignment horizontal="left" vertical="center"/>
    </xf>
    <xf numFmtId="0" fontId="1" fillId="0" borderId="0" xfId="51"/>
    <xf numFmtId="14" fontId="98" fillId="0" borderId="0" xfId="51" applyNumberFormat="1" applyFont="1" applyAlignment="1">
      <alignment horizontal="center"/>
    </xf>
    <xf numFmtId="0" fontId="98" fillId="0" borderId="10" xfId="51" applyFont="1" applyBorder="1" applyAlignment="1">
      <alignment horizontal="center" vertical="center"/>
    </xf>
    <xf numFmtId="0" fontId="98" fillId="0" borderId="29" xfId="51" applyFont="1" applyBorder="1" applyAlignment="1">
      <alignment horizontal="center" vertical="center"/>
    </xf>
    <xf numFmtId="0" fontId="98" fillId="0" borderId="30" xfId="51" applyFont="1" applyBorder="1" applyAlignment="1">
      <alignment horizontal="center" vertical="center"/>
    </xf>
    <xf numFmtId="0" fontId="104" fillId="0" borderId="33" xfId="51" applyFont="1" applyBorder="1" applyAlignment="1">
      <alignment horizontal="center"/>
    </xf>
    <xf numFmtId="0" fontId="105" fillId="0" borderId="31" xfId="51" applyFont="1" applyBorder="1"/>
    <xf numFmtId="0" fontId="106" fillId="0" borderId="32" xfId="51" applyFont="1" applyBorder="1"/>
    <xf numFmtId="0" fontId="1" fillId="0" borderId="34" xfId="51" applyFont="1" applyBorder="1" applyAlignment="1">
      <alignment vertical="center"/>
    </xf>
    <xf numFmtId="0" fontId="1" fillId="0" borderId="13" xfId="51" applyFont="1" applyBorder="1" applyAlignment="1">
      <alignment horizontal="center" vertical="center"/>
    </xf>
    <xf numFmtId="0" fontId="1" fillId="0" borderId="14" xfId="51" applyFont="1" applyBorder="1" applyAlignment="1">
      <alignment vertical="center"/>
    </xf>
    <xf numFmtId="0" fontId="1" fillId="0" borderId="34" xfId="51" applyFont="1" applyBorder="1" applyAlignment="1" applyProtection="1">
      <alignment vertical="center"/>
    </xf>
    <xf numFmtId="0" fontId="1" fillId="0" borderId="13" xfId="51" applyFont="1" applyBorder="1" applyAlignment="1" applyProtection="1">
      <alignment horizontal="center" vertical="center"/>
    </xf>
    <xf numFmtId="0" fontId="1" fillId="0" borderId="14" xfId="51" applyFont="1" applyBorder="1" applyAlignment="1" applyProtection="1">
      <alignment horizontal="left" vertical="center"/>
    </xf>
    <xf numFmtId="0" fontId="1" fillId="0" borderId="14" xfId="51" applyFont="1" applyBorder="1" applyAlignment="1">
      <alignment horizontal="left" vertical="center"/>
    </xf>
    <xf numFmtId="0" fontId="81" fillId="0" borderId="0" xfId="36" applyFont="1"/>
    <xf numFmtId="0" fontId="73" fillId="0" borderId="0" xfId="36" applyFont="1"/>
    <xf numFmtId="0" fontId="100" fillId="0" borderId="0" xfId="51" applyFont="1" applyBorder="1" applyAlignment="1">
      <alignment horizontal="center"/>
    </xf>
    <xf numFmtId="0" fontId="104" fillId="0" borderId="10" xfId="51" applyFont="1" applyBorder="1" applyAlignment="1">
      <alignment wrapText="1"/>
    </xf>
    <xf numFmtId="0" fontId="1" fillId="0" borderId="13" xfId="51" applyFont="1" applyBorder="1" applyAlignment="1">
      <alignment vertical="center"/>
    </xf>
    <xf numFmtId="0" fontId="1" fillId="0" borderId="13" xfId="51" applyFont="1" applyFill="1" applyBorder="1" applyAlignment="1">
      <alignment horizontal="center" vertical="center"/>
    </xf>
    <xf numFmtId="0" fontId="73" fillId="0" borderId="0" xfId="36" applyFont="1" applyAlignment="1"/>
    <xf numFmtId="0" fontId="73" fillId="0" borderId="0" xfId="36" applyFont="1" applyAlignment="1">
      <alignment horizontal="right"/>
    </xf>
    <xf numFmtId="0" fontId="11" fillId="0" borderId="0" xfId="36" applyAlignment="1">
      <alignment horizontal="center" vertical="center"/>
    </xf>
    <xf numFmtId="0" fontId="11" fillId="0" borderId="0" xfId="36" applyFill="1" applyBorder="1" applyAlignment="1">
      <alignment horizontal="center"/>
    </xf>
    <xf numFmtId="0" fontId="11" fillId="33" borderId="67" xfId="36" applyNumberFormat="1" applyFill="1" applyBorder="1" applyAlignment="1">
      <alignment horizontal="center" vertical="center"/>
    </xf>
    <xf numFmtId="0" fontId="11" fillId="33" borderId="40" xfId="36" applyFill="1" applyBorder="1" applyAlignment="1">
      <alignment horizontal="center" vertical="center"/>
    </xf>
    <xf numFmtId="0" fontId="11" fillId="0" borderId="32" xfId="36" applyBorder="1"/>
    <xf numFmtId="0" fontId="11" fillId="0" borderId="40" xfId="36" applyBorder="1" applyAlignment="1">
      <alignment horizontal="center" vertical="center"/>
    </xf>
    <xf numFmtId="0" fontId="11" fillId="37" borderId="37" xfId="36" applyFill="1" applyBorder="1" applyAlignment="1">
      <alignment horizontal="center" vertical="center"/>
    </xf>
    <xf numFmtId="0" fontId="11" fillId="37" borderId="31" xfId="36" applyFill="1" applyBorder="1" applyAlignment="1">
      <alignment horizontal="center" vertical="center"/>
    </xf>
    <xf numFmtId="0" fontId="12" fillId="0" borderId="33" xfId="36" applyFont="1" applyFill="1" applyBorder="1" applyAlignment="1">
      <alignment horizontal="center" vertical="center"/>
    </xf>
    <xf numFmtId="0" fontId="11" fillId="33" borderId="68" xfId="36" applyNumberFormat="1" applyFill="1" applyBorder="1" applyAlignment="1">
      <alignment horizontal="center" vertical="center"/>
    </xf>
    <xf numFmtId="0" fontId="11" fillId="33" borderId="10" xfId="36" applyFill="1" applyBorder="1" applyAlignment="1">
      <alignment horizontal="center" vertical="center"/>
    </xf>
    <xf numFmtId="0" fontId="11" fillId="37" borderId="10" xfId="36" applyFill="1" applyBorder="1" applyAlignment="1">
      <alignment horizontal="center" vertical="center"/>
    </xf>
    <xf numFmtId="0" fontId="11" fillId="33" borderId="69" xfId="36" applyNumberFormat="1" applyFill="1" applyBorder="1" applyAlignment="1">
      <alignment horizontal="center" vertical="center"/>
    </xf>
    <xf numFmtId="0" fontId="11" fillId="33" borderId="35" xfId="36" applyFill="1" applyBorder="1" applyAlignment="1">
      <alignment horizontal="center" vertical="center"/>
    </xf>
    <xf numFmtId="0" fontId="11" fillId="0" borderId="35" xfId="36" applyBorder="1" applyAlignment="1">
      <alignment horizontal="center" vertical="center"/>
    </xf>
    <xf numFmtId="0" fontId="72" fillId="0" borderId="142" xfId="36" applyFont="1" applyBorder="1" applyAlignment="1">
      <alignment horizontal="center" vertical="center"/>
    </xf>
    <xf numFmtId="0" fontId="11" fillId="0" borderId="58" xfId="36" applyBorder="1" applyAlignment="1">
      <alignment horizontal="center" vertical="center"/>
    </xf>
    <xf numFmtId="49" fontId="137" fillId="0" borderId="0" xfId="38" applyNumberFormat="1" applyFont="1" applyBorder="1" applyAlignment="1" applyProtection="1">
      <alignment horizontal="right" vertical="center"/>
      <protection locked="0"/>
    </xf>
    <xf numFmtId="49" fontId="138" fillId="0" borderId="0" xfId="38" applyNumberFormat="1" applyFont="1" applyAlignment="1" applyProtection="1">
      <alignment horizontal="center" vertical="center"/>
      <protection locked="0"/>
    </xf>
    <xf numFmtId="49" fontId="138" fillId="0" borderId="0" xfId="38" applyNumberFormat="1" applyFont="1" applyBorder="1" applyAlignment="1" applyProtection="1">
      <alignment horizontal="center" vertical="center"/>
      <protection locked="0"/>
    </xf>
    <xf numFmtId="49" fontId="138" fillId="0" borderId="0" xfId="38" applyNumberFormat="1" applyFont="1" applyBorder="1" applyAlignment="1" applyProtection="1">
      <alignment horizontal="left" vertical="center"/>
      <protection locked="0"/>
    </xf>
    <xf numFmtId="0" fontId="139" fillId="0" borderId="0" xfId="38" applyNumberFormat="1" applyFont="1" applyAlignment="1" applyProtection="1">
      <alignment horizontal="left" vertical="center"/>
      <protection locked="0"/>
    </xf>
    <xf numFmtId="0" fontId="140" fillId="0" borderId="12" xfId="38" applyNumberFormat="1" applyFont="1" applyBorder="1" applyAlignment="1" applyProtection="1">
      <alignment horizontal="right" vertical="center"/>
      <protection locked="0"/>
    </xf>
    <xf numFmtId="0" fontId="139" fillId="0" borderId="13" xfId="38" applyNumberFormat="1" applyFont="1" applyBorder="1" applyAlignment="1" applyProtection="1">
      <alignment horizontal="left" vertical="center"/>
      <protection locked="0"/>
    </xf>
    <xf numFmtId="0" fontId="94" fillId="0" borderId="0" xfId="38" applyNumberFormat="1" applyFont="1" applyBorder="1" applyAlignment="1" applyProtection="1">
      <alignment horizontal="center" vertical="center"/>
      <protection locked="0"/>
    </xf>
    <xf numFmtId="0" fontId="20" fillId="0" borderId="12" xfId="38" applyNumberFormat="1" applyFont="1" applyBorder="1" applyAlignment="1" applyProtection="1">
      <alignment horizontal="center" vertical="center"/>
      <protection locked="0"/>
    </xf>
    <xf numFmtId="0" fontId="94" fillId="0" borderId="30" xfId="38" applyNumberFormat="1" applyFont="1" applyBorder="1" applyAlignment="1" applyProtection="1">
      <alignment horizontal="center" vertical="center"/>
      <protection locked="0"/>
    </xf>
    <xf numFmtId="0" fontId="139" fillId="0" borderId="11" xfId="38" applyNumberFormat="1" applyFont="1" applyBorder="1" applyAlignment="1" applyProtection="1">
      <alignment horizontal="left" vertical="center"/>
      <protection locked="0"/>
    </xf>
    <xf numFmtId="0" fontId="94" fillId="0" borderId="13" xfId="38" applyNumberFormat="1" applyFont="1" applyBorder="1" applyAlignment="1" applyProtection="1">
      <alignment horizontal="left" vertical="center"/>
      <protection locked="0"/>
    </xf>
    <xf numFmtId="49" fontId="139" fillId="0" borderId="0" xfId="38" applyNumberFormat="1" applyFont="1" applyAlignment="1" applyProtection="1">
      <alignment horizontal="center" vertical="center"/>
      <protection locked="0"/>
    </xf>
    <xf numFmtId="0" fontId="94" fillId="0" borderId="13" xfId="38" applyNumberFormat="1" applyFont="1" applyBorder="1" applyAlignment="1" applyProtection="1">
      <alignment horizontal="left" vertical="center"/>
    </xf>
    <xf numFmtId="49" fontId="139" fillId="0" borderId="13" xfId="38" applyNumberFormat="1" applyFont="1" applyBorder="1" applyAlignment="1" applyProtection="1">
      <alignment horizontal="center" vertical="center"/>
      <protection locked="0"/>
    </xf>
    <xf numFmtId="49" fontId="139" fillId="0" borderId="20" xfId="38" applyNumberFormat="1" applyFont="1" applyBorder="1" applyAlignment="1" applyProtection="1">
      <alignment horizontal="center" vertical="center"/>
      <protection locked="0"/>
    </xf>
    <xf numFmtId="0" fontId="19" fillId="0" borderId="39" xfId="36" applyFont="1" applyFill="1" applyBorder="1" applyAlignment="1">
      <alignment horizontal="center" vertical="center"/>
    </xf>
    <xf numFmtId="0" fontId="19" fillId="0" borderId="32" xfId="36" applyFont="1" applyFill="1" applyBorder="1" applyAlignment="1">
      <alignment horizontal="center" vertical="center"/>
    </xf>
    <xf numFmtId="0" fontId="11" fillId="33" borderId="10" xfId="36" applyNumberFormat="1" applyFill="1" applyBorder="1" applyAlignment="1">
      <alignment horizontal="center" vertical="center"/>
    </xf>
    <xf numFmtId="0" fontId="32" fillId="0" borderId="0" xfId="38" applyNumberFormat="1" applyFont="1" applyBorder="1" applyAlignment="1" applyProtection="1">
      <alignment horizontal="center" vertical="center"/>
      <protection locked="0"/>
    </xf>
    <xf numFmtId="0" fontId="10" fillId="0" borderId="0" xfId="36" applyFont="1"/>
    <xf numFmtId="0" fontId="10" fillId="0" borderId="0" xfId="36" applyFont="1" applyAlignment="1"/>
    <xf numFmtId="0" fontId="135" fillId="0" borderId="136" xfId="0" applyFont="1" applyBorder="1" applyAlignment="1">
      <alignment horizontal="center" vertical="center"/>
    </xf>
    <xf numFmtId="0" fontId="135" fillId="0" borderId="135" xfId="0" applyFont="1" applyBorder="1" applyAlignment="1">
      <alignment horizontal="center" vertical="center"/>
    </xf>
    <xf numFmtId="0" fontId="135" fillId="0" borderId="137" xfId="0" applyFont="1" applyBorder="1" applyAlignment="1">
      <alignment horizontal="center" vertical="center"/>
    </xf>
    <xf numFmtId="0" fontId="96" fillId="0" borderId="133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134" xfId="0" applyFont="1" applyBorder="1" applyAlignment="1">
      <alignment horizontal="center" vertical="center"/>
    </xf>
    <xf numFmtId="0" fontId="95" fillId="0" borderId="0" xfId="36" applyFont="1" applyBorder="1" applyAlignment="1">
      <alignment horizontal="center" vertical="center"/>
    </xf>
    <xf numFmtId="0" fontId="10" fillId="0" borderId="0" xfId="36" applyFont="1" applyAlignment="1">
      <alignment horizontal="center"/>
    </xf>
    <xf numFmtId="0" fontId="29" fillId="0" borderId="52" xfId="36" applyFont="1" applyBorder="1" applyAlignment="1">
      <alignment horizontal="center"/>
    </xf>
    <xf numFmtId="0" fontId="14" fillId="0" borderId="0" xfId="36" applyFont="1" applyAlignment="1">
      <alignment horizontal="center" wrapText="1"/>
    </xf>
    <xf numFmtId="0" fontId="73" fillId="0" borderId="37" xfId="36" applyFont="1" applyBorder="1" applyAlignment="1">
      <alignment horizontal="center" vertical="center"/>
    </xf>
    <xf numFmtId="49" fontId="135" fillId="0" borderId="136" xfId="0" applyNumberFormat="1" applyFont="1" applyBorder="1" applyAlignment="1">
      <alignment horizontal="center" vertical="center"/>
    </xf>
    <xf numFmtId="49" fontId="135" fillId="0" borderId="135" xfId="0" applyNumberFormat="1" applyFont="1" applyBorder="1" applyAlignment="1">
      <alignment horizontal="center" vertical="center"/>
    </xf>
    <xf numFmtId="49" fontId="135" fillId="0" borderId="137" xfId="0" applyNumberFormat="1" applyFont="1" applyBorder="1" applyAlignment="1">
      <alignment horizontal="center" vertical="center"/>
    </xf>
    <xf numFmtId="0" fontId="81" fillId="0" borderId="0" xfId="36" applyFont="1" applyAlignment="1">
      <alignment horizontal="center"/>
    </xf>
    <xf numFmtId="0" fontId="78" fillId="0" borderId="0" xfId="36" applyFont="1" applyAlignment="1">
      <alignment horizontal="center"/>
    </xf>
    <xf numFmtId="0" fontId="100" fillId="0" borderId="13" xfId="51" applyFont="1" applyBorder="1" applyAlignment="1">
      <alignment horizontal="center"/>
    </xf>
    <xf numFmtId="0" fontId="98" fillId="0" borderId="29" xfId="51" applyFont="1" applyBorder="1" applyAlignment="1">
      <alignment horizontal="center" vertical="center"/>
    </xf>
    <xf numFmtId="0" fontId="98" fillId="0" borderId="20" xfId="51" applyFont="1" applyBorder="1" applyAlignment="1">
      <alignment horizontal="center" vertical="center"/>
    </xf>
    <xf numFmtId="0" fontId="98" fillId="0" borderId="33" xfId="51" applyFont="1" applyBorder="1" applyAlignment="1">
      <alignment horizontal="center" vertical="center"/>
    </xf>
    <xf numFmtId="0" fontId="104" fillId="0" borderId="29" xfId="51" applyFont="1" applyBorder="1" applyAlignment="1">
      <alignment horizontal="center"/>
    </xf>
    <xf numFmtId="0" fontId="104" fillId="0" borderId="33" xfId="51" applyFont="1" applyBorder="1" applyAlignment="1">
      <alignment horizontal="center"/>
    </xf>
    <xf numFmtId="0" fontId="1" fillId="0" borderId="31" xfId="51" applyBorder="1" applyAlignment="1">
      <alignment horizontal="center" vertical="center"/>
    </xf>
    <xf numFmtId="0" fontId="1" fillId="0" borderId="32" xfId="51" applyBorder="1" applyAlignment="1">
      <alignment horizontal="center" vertical="center"/>
    </xf>
    <xf numFmtId="0" fontId="1" fillId="32" borderId="30" xfId="51" applyNumberFormat="1" applyFill="1" applyBorder="1" applyAlignment="1">
      <alignment horizontal="center" vertical="center"/>
    </xf>
    <xf numFmtId="0" fontId="1" fillId="32" borderId="34" xfId="51" applyNumberFormat="1" applyFill="1" applyBorder="1" applyAlignment="1">
      <alignment horizontal="center" vertical="center"/>
    </xf>
    <xf numFmtId="0" fontId="1" fillId="36" borderId="0" xfId="51" applyFont="1" applyFill="1" applyBorder="1" applyAlignment="1">
      <alignment horizontal="center" vertical="center"/>
    </xf>
    <xf numFmtId="0" fontId="1" fillId="36" borderId="15" xfId="51" applyFont="1" applyFill="1" applyBorder="1" applyAlignment="1">
      <alignment horizontal="center" vertical="center"/>
    </xf>
    <xf numFmtId="0" fontId="1" fillId="36" borderId="13" xfId="51" applyFont="1" applyFill="1" applyBorder="1" applyAlignment="1">
      <alignment horizontal="center" vertical="center"/>
    </xf>
    <xf numFmtId="0" fontId="1" fillId="36" borderId="14" xfId="51" applyFont="1" applyFill="1" applyBorder="1" applyAlignment="1">
      <alignment horizontal="center" vertical="center"/>
    </xf>
    <xf numFmtId="0" fontId="118" fillId="0" borderId="30" xfId="51" applyFont="1" applyBorder="1" applyAlignment="1">
      <alignment horizontal="center" vertical="center"/>
    </xf>
    <xf numFmtId="0" fontId="118" fillId="0" borderId="11" xfId="51" applyFont="1" applyBorder="1" applyAlignment="1">
      <alignment horizontal="center" vertical="center"/>
    </xf>
    <xf numFmtId="0" fontId="118" fillId="0" borderId="12" xfId="51" applyFont="1" applyBorder="1" applyAlignment="1">
      <alignment horizontal="center" vertical="center"/>
    </xf>
    <xf numFmtId="0" fontId="120" fillId="0" borderId="30" xfId="51" applyFont="1" applyBorder="1" applyAlignment="1">
      <alignment horizontal="center" vertical="center"/>
    </xf>
    <xf numFmtId="0" fontId="120" fillId="0" borderId="12" xfId="51" applyFont="1" applyBorder="1" applyAlignment="1">
      <alignment horizontal="center" vertical="center"/>
    </xf>
    <xf numFmtId="0" fontId="120" fillId="0" borderId="34" xfId="51" applyFont="1" applyBorder="1" applyAlignment="1">
      <alignment horizontal="center" vertical="center"/>
    </xf>
    <xf numFmtId="0" fontId="120" fillId="0" borderId="14" xfId="51" applyFont="1" applyBorder="1" applyAlignment="1">
      <alignment horizontal="center" vertical="center"/>
    </xf>
    <xf numFmtId="0" fontId="120" fillId="0" borderId="31" xfId="51" applyFont="1" applyBorder="1" applyAlignment="1">
      <alignment horizontal="center" vertical="center"/>
    </xf>
    <xf numFmtId="0" fontId="120" fillId="0" borderId="32" xfId="51" applyFont="1" applyBorder="1" applyAlignment="1">
      <alignment horizontal="center" vertical="center"/>
    </xf>
    <xf numFmtId="0" fontId="121" fillId="0" borderId="10" xfId="51" applyFont="1" applyBorder="1" applyAlignment="1">
      <alignment horizontal="center" vertical="center"/>
    </xf>
    <xf numFmtId="0" fontId="1" fillId="36" borderId="30" xfId="51" applyFont="1" applyFill="1" applyBorder="1" applyAlignment="1">
      <alignment horizontal="center" vertical="center"/>
    </xf>
    <xf numFmtId="0" fontId="1" fillId="36" borderId="11" xfId="51" applyFont="1" applyFill="1" applyBorder="1" applyAlignment="1">
      <alignment horizontal="center" vertical="center"/>
    </xf>
    <xf numFmtId="0" fontId="1" fillId="36" borderId="12" xfId="51" applyFont="1" applyFill="1" applyBorder="1" applyAlignment="1">
      <alignment horizontal="center" vertical="center"/>
    </xf>
    <xf numFmtId="0" fontId="1" fillId="36" borderId="34" xfId="51" applyFont="1" applyFill="1" applyBorder="1" applyAlignment="1">
      <alignment horizontal="center" vertical="center"/>
    </xf>
    <xf numFmtId="0" fontId="106" fillId="0" borderId="31" xfId="51" applyFont="1" applyBorder="1" applyAlignment="1">
      <alignment horizontal="center" vertical="center"/>
    </xf>
    <xf numFmtId="0" fontId="106" fillId="0" borderId="32" xfId="51" applyFont="1" applyBorder="1" applyAlignment="1">
      <alignment horizontal="center" vertical="center"/>
    </xf>
    <xf numFmtId="0" fontId="1" fillId="36" borderId="0" xfId="51" applyFont="1" applyFill="1" applyAlignment="1">
      <alignment horizontal="center" vertical="center"/>
    </xf>
    <xf numFmtId="0" fontId="73" fillId="0" borderId="0" xfId="36" applyFont="1" applyAlignment="1">
      <alignment horizontal="right"/>
    </xf>
    <xf numFmtId="0" fontId="16" fillId="0" borderId="0" xfId="36" applyFont="1" applyAlignment="1">
      <alignment horizontal="center" vertical="center"/>
    </xf>
    <xf numFmtId="0" fontId="14" fillId="0" borderId="52" xfId="36" applyFont="1" applyBorder="1" applyAlignment="1">
      <alignment horizontal="center" vertical="center"/>
    </xf>
    <xf numFmtId="0" fontId="28" fillId="0" borderId="0" xfId="36" applyFont="1" applyAlignment="1">
      <alignment horizontal="center" vertical="center"/>
    </xf>
    <xf numFmtId="49" fontId="24" fillId="0" borderId="15" xfId="36" applyNumberFormat="1" applyFont="1" applyBorder="1" applyAlignment="1">
      <alignment horizontal="center" vertical="center"/>
    </xf>
    <xf numFmtId="49" fontId="56" fillId="0" borderId="0" xfId="36" applyNumberFormat="1" applyFont="1" applyBorder="1" applyAlignment="1">
      <alignment horizontal="right" vertical="center"/>
    </xf>
    <xf numFmtId="14" fontId="93" fillId="0" borderId="0" xfId="40" applyNumberFormat="1" applyFont="1" applyAlignment="1">
      <alignment horizontal="left" vertical="center"/>
    </xf>
    <xf numFmtId="0" fontId="93" fillId="0" borderId="0" xfId="40" applyNumberFormat="1" applyFont="1" applyAlignment="1">
      <alignment horizontal="left" vertical="center"/>
    </xf>
    <xf numFmtId="0" fontId="32" fillId="0" borderId="0" xfId="38" applyNumberFormat="1" applyFont="1" applyBorder="1" applyAlignment="1" applyProtection="1">
      <alignment horizontal="center" vertical="center"/>
      <protection locked="0"/>
    </xf>
    <xf numFmtId="0" fontId="23" fillId="0" borderId="0" xfId="38" applyNumberFormat="1" applyFont="1" applyAlignment="1" applyProtection="1">
      <alignment horizontal="center" vertical="center"/>
      <protection locked="0"/>
    </xf>
    <xf numFmtId="0" fontId="136" fillId="0" borderId="0" xfId="38" applyNumberFormat="1" applyFont="1" applyAlignment="1" applyProtection="1">
      <alignment horizontal="center" vertical="center"/>
      <protection locked="0"/>
    </xf>
    <xf numFmtId="0" fontId="85" fillId="0" borderId="0" xfId="38" applyNumberFormat="1" applyFont="1" applyAlignment="1" applyProtection="1">
      <alignment horizontal="center" vertical="center"/>
      <protection locked="0"/>
    </xf>
    <xf numFmtId="0" fontId="20" fillId="0" borderId="0" xfId="38" applyNumberFormat="1" applyFont="1" applyBorder="1" applyAlignment="1" applyProtection="1">
      <alignment horizontal="center" vertical="center"/>
      <protection locked="0"/>
    </xf>
    <xf numFmtId="0" fontId="11" fillId="0" borderId="105" xfId="36" applyBorder="1" applyAlignment="1">
      <alignment horizontal="center" vertical="center"/>
    </xf>
    <xf numFmtId="0" fontId="11" fillId="0" borderId="108" xfId="36" applyBorder="1" applyAlignment="1">
      <alignment horizontal="center" vertical="center"/>
    </xf>
    <xf numFmtId="0" fontId="11" fillId="0" borderId="129" xfId="36" applyFill="1" applyBorder="1" applyAlignment="1">
      <alignment horizontal="center"/>
    </xf>
    <xf numFmtId="0" fontId="11" fillId="0" borderId="0" xfId="36" applyFill="1" applyBorder="1" applyAlignment="1">
      <alignment horizontal="center"/>
    </xf>
    <xf numFmtId="0" fontId="11" fillId="0" borderId="72" xfId="36" applyFill="1" applyBorder="1" applyAlignment="1">
      <alignment horizontal="center"/>
    </xf>
    <xf numFmtId="0" fontId="11" fillId="0" borderId="60" xfId="36" applyFill="1" applyBorder="1" applyAlignment="1">
      <alignment horizontal="center"/>
    </xf>
    <xf numFmtId="0" fontId="11" fillId="0" borderId="128" xfId="36" applyFill="1" applyBorder="1" applyAlignment="1">
      <alignment horizontal="center"/>
    </xf>
    <xf numFmtId="0" fontId="12" fillId="0" borderId="102" xfId="36" applyFont="1" applyFill="1" applyBorder="1" applyAlignment="1">
      <alignment horizontal="center" vertical="center"/>
    </xf>
    <xf numFmtId="0" fontId="12" fillId="0" borderId="53" xfId="36" applyFont="1" applyFill="1" applyBorder="1" applyAlignment="1">
      <alignment horizontal="center" vertical="center"/>
    </xf>
    <xf numFmtId="0" fontId="11" fillId="0" borderId="30" xfId="36" applyFont="1" applyBorder="1" applyAlignment="1">
      <alignment horizontal="center" vertical="center" wrapText="1"/>
    </xf>
    <xf numFmtId="0" fontId="11" fillId="0" borderId="51" xfId="36" applyBorder="1" applyAlignment="1">
      <alignment horizontal="center" vertical="center" wrapText="1"/>
    </xf>
    <xf numFmtId="0" fontId="11" fillId="29" borderId="102" xfId="36" applyFill="1" applyBorder="1" applyAlignment="1">
      <alignment horizontal="center" vertical="center"/>
    </xf>
    <xf numFmtId="0" fontId="11" fillId="29" borderId="70" xfId="36" applyFill="1" applyBorder="1" applyAlignment="1">
      <alignment horizontal="center" vertical="center"/>
    </xf>
    <xf numFmtId="0" fontId="11" fillId="29" borderId="38" xfId="36" applyFill="1" applyBorder="1" applyAlignment="1">
      <alignment horizontal="center" vertical="center"/>
    </xf>
    <xf numFmtId="0" fontId="11" fillId="29" borderId="50" xfId="36" applyFill="1" applyBorder="1" applyAlignment="1">
      <alignment horizontal="center" vertical="center"/>
    </xf>
    <xf numFmtId="0" fontId="11" fillId="0" borderId="74" xfId="36" applyBorder="1" applyAlignment="1">
      <alignment horizontal="center" vertical="center"/>
    </xf>
    <xf numFmtId="0" fontId="11" fillId="0" borderId="57" xfId="36" applyBorder="1" applyAlignment="1">
      <alignment horizontal="center" vertical="center"/>
    </xf>
    <xf numFmtId="0" fontId="11" fillId="0" borderId="101" xfId="36" applyBorder="1" applyAlignment="1">
      <alignment horizontal="center" vertical="center"/>
    </xf>
    <xf numFmtId="0" fontId="11" fillId="0" borderId="100" xfId="36" applyBorder="1" applyAlignment="1">
      <alignment horizontal="center" vertical="center"/>
    </xf>
    <xf numFmtId="0" fontId="11" fillId="0" borderId="108" xfId="36" applyFill="1" applyBorder="1" applyAlignment="1">
      <alignment horizontal="center"/>
    </xf>
    <xf numFmtId="0" fontId="12" fillId="0" borderId="70" xfId="36" applyFont="1" applyFill="1" applyBorder="1" applyAlignment="1">
      <alignment horizontal="center" vertical="center"/>
    </xf>
    <xf numFmtId="0" fontId="10" fillId="0" borderId="0" xfId="36" applyFont="1" applyAlignment="1">
      <alignment horizontal="center" wrapText="1"/>
    </xf>
    <xf numFmtId="0" fontId="29" fillId="0" borderId="0" xfId="36" applyFont="1" applyAlignment="1">
      <alignment horizontal="right"/>
    </xf>
    <xf numFmtId="0" fontId="100" fillId="0" borderId="13" xfId="37" applyFont="1" applyBorder="1" applyAlignment="1">
      <alignment horizontal="center"/>
    </xf>
    <xf numFmtId="0" fontId="98" fillId="0" borderId="29" xfId="37" applyFont="1" applyBorder="1" applyAlignment="1">
      <alignment horizontal="center" vertical="center"/>
    </xf>
    <xf numFmtId="0" fontId="98" fillId="0" borderId="20" xfId="37" applyFont="1" applyBorder="1" applyAlignment="1">
      <alignment horizontal="center" vertical="center"/>
    </xf>
    <xf numFmtId="0" fontId="98" fillId="0" borderId="33" xfId="37" applyFont="1" applyBorder="1" applyAlignment="1">
      <alignment horizontal="center" vertical="center"/>
    </xf>
    <xf numFmtId="0" fontId="104" fillId="0" borderId="29" xfId="37" applyFont="1" applyBorder="1" applyAlignment="1">
      <alignment horizontal="center"/>
    </xf>
    <xf numFmtId="0" fontId="104" fillId="0" borderId="33" xfId="37" applyFont="1" applyBorder="1" applyAlignment="1">
      <alignment horizontal="center"/>
    </xf>
    <xf numFmtId="0" fontId="97" fillId="0" borderId="31" xfId="37" applyBorder="1" applyAlignment="1">
      <alignment horizontal="center" vertical="center"/>
    </xf>
    <xf numFmtId="0" fontId="97" fillId="0" borderId="32" xfId="37" applyBorder="1" applyAlignment="1">
      <alignment horizontal="center" vertical="center"/>
    </xf>
    <xf numFmtId="0" fontId="97" fillId="32" borderId="30" xfId="37" applyNumberFormat="1" applyFill="1" applyBorder="1" applyAlignment="1">
      <alignment horizontal="center" vertical="center"/>
    </xf>
    <xf numFmtId="0" fontId="97" fillId="32" borderId="34" xfId="37" applyNumberFormat="1" applyFill="1" applyBorder="1" applyAlignment="1">
      <alignment horizontal="center" vertical="center"/>
    </xf>
    <xf numFmtId="0" fontId="97" fillId="36" borderId="0" xfId="37" applyFont="1" applyFill="1" applyBorder="1" applyAlignment="1">
      <alignment horizontal="center" vertical="center"/>
    </xf>
    <xf numFmtId="0" fontId="97" fillId="36" borderId="15" xfId="37" applyFont="1" applyFill="1" applyBorder="1" applyAlignment="1">
      <alignment horizontal="center" vertical="center"/>
    </xf>
    <xf numFmtId="0" fontId="97" fillId="36" borderId="13" xfId="37" applyFont="1" applyFill="1" applyBorder="1" applyAlignment="1">
      <alignment horizontal="center" vertical="center"/>
    </xf>
    <xf numFmtId="0" fontId="97" fillId="36" borderId="14" xfId="37" applyFont="1" applyFill="1" applyBorder="1" applyAlignment="1">
      <alignment horizontal="center" vertical="center"/>
    </xf>
    <xf numFmtId="0" fontId="118" fillId="0" borderId="29" xfId="37" applyFont="1" applyBorder="1" applyAlignment="1">
      <alignment horizontal="center" vertical="center"/>
    </xf>
    <xf numFmtId="0" fontId="118" fillId="0" borderId="20" xfId="37" applyFont="1" applyBorder="1" applyAlignment="1">
      <alignment horizontal="center" vertical="center"/>
    </xf>
    <xf numFmtId="0" fontId="118" fillId="0" borderId="33" xfId="37" applyFont="1" applyBorder="1" applyAlignment="1">
      <alignment horizontal="center" vertical="center"/>
    </xf>
    <xf numFmtId="0" fontId="121" fillId="0" borderId="10" xfId="37" applyFont="1" applyBorder="1" applyAlignment="1">
      <alignment horizontal="center" vertical="center"/>
    </xf>
    <xf numFmtId="0" fontId="120" fillId="0" borderId="31" xfId="37" applyFont="1" applyBorder="1" applyAlignment="1">
      <alignment horizontal="center" vertical="center"/>
    </xf>
    <xf numFmtId="0" fontId="120" fillId="0" borderId="32" xfId="37" applyFont="1" applyBorder="1" applyAlignment="1">
      <alignment horizontal="center" vertical="center"/>
    </xf>
    <xf numFmtId="0" fontId="118" fillId="0" borderId="29" xfId="37" applyFont="1" applyBorder="1" applyAlignment="1" applyProtection="1">
      <alignment horizontal="center" vertical="center"/>
    </xf>
    <xf numFmtId="0" fontId="118" fillId="0" borderId="20" xfId="37" applyFont="1" applyBorder="1" applyAlignment="1" applyProtection="1">
      <alignment horizontal="center" vertical="center"/>
    </xf>
    <xf numFmtId="0" fontId="118" fillId="0" borderId="33" xfId="37" applyFont="1" applyBorder="1" applyAlignment="1" applyProtection="1">
      <alignment horizontal="center" vertical="center"/>
    </xf>
    <xf numFmtId="0" fontId="97" fillId="36" borderId="30" xfId="37" applyFont="1" applyFill="1" applyBorder="1" applyAlignment="1">
      <alignment horizontal="center" vertical="center"/>
    </xf>
    <xf numFmtId="0" fontId="97" fillId="36" borderId="11" xfId="37" applyFont="1" applyFill="1" applyBorder="1" applyAlignment="1">
      <alignment horizontal="center" vertical="center"/>
    </xf>
    <xf numFmtId="0" fontId="97" fillId="36" borderId="12" xfId="37" applyFont="1" applyFill="1" applyBorder="1" applyAlignment="1">
      <alignment horizontal="center" vertical="center"/>
    </xf>
    <xf numFmtId="0" fontId="97" fillId="36" borderId="34" xfId="37" applyFont="1" applyFill="1" applyBorder="1" applyAlignment="1">
      <alignment horizontal="center" vertical="center"/>
    </xf>
    <xf numFmtId="0" fontId="120" fillId="0" borderId="30" xfId="37" applyFont="1" applyBorder="1" applyAlignment="1">
      <alignment horizontal="center" vertical="center"/>
    </xf>
    <xf numFmtId="0" fontId="120" fillId="0" borderId="12" xfId="37" applyFont="1" applyBorder="1" applyAlignment="1">
      <alignment horizontal="center" vertical="center"/>
    </xf>
    <xf numFmtId="0" fontId="120" fillId="0" borderId="34" xfId="37" applyFont="1" applyBorder="1" applyAlignment="1">
      <alignment horizontal="center" vertical="center"/>
    </xf>
    <xf numFmtId="0" fontId="120" fillId="0" borderId="14" xfId="37" applyFont="1" applyBorder="1" applyAlignment="1">
      <alignment horizontal="center" vertical="center"/>
    </xf>
    <xf numFmtId="0" fontId="106" fillId="0" borderId="31" xfId="37" applyFont="1" applyBorder="1" applyAlignment="1">
      <alignment horizontal="center" vertical="center"/>
    </xf>
    <xf numFmtId="0" fontId="106" fillId="0" borderId="32" xfId="37" applyFont="1" applyBorder="1" applyAlignment="1">
      <alignment horizontal="center" vertical="center"/>
    </xf>
    <xf numFmtId="0" fontId="97" fillId="36" borderId="0" xfId="37" applyFont="1" applyFill="1" applyAlignment="1">
      <alignment horizontal="center" vertical="center"/>
    </xf>
    <xf numFmtId="0" fontId="97" fillId="36" borderId="16" xfId="37" applyFont="1" applyFill="1" applyBorder="1" applyAlignment="1">
      <alignment horizontal="center" vertical="center"/>
    </xf>
    <xf numFmtId="0" fontId="100" fillId="0" borderId="20" xfId="37" applyFont="1" applyBorder="1" applyAlignment="1">
      <alignment horizontal="center" vertical="center"/>
    </xf>
    <xf numFmtId="0" fontId="21" fillId="32" borderId="31" xfId="36" applyNumberFormat="1" applyFont="1" applyFill="1" applyBorder="1" applyAlignment="1">
      <alignment horizontal="center" vertical="center"/>
    </xf>
    <xf numFmtId="49" fontId="21" fillId="32" borderId="32" xfId="36" applyNumberFormat="1" applyFont="1" applyFill="1" applyBorder="1" applyAlignment="1">
      <alignment horizontal="center" vertical="center"/>
    </xf>
    <xf numFmtId="49" fontId="11" fillId="32" borderId="32" xfId="36" applyNumberFormat="1" applyFill="1" applyBorder="1" applyAlignment="1">
      <alignment horizontal="center" vertical="center"/>
    </xf>
    <xf numFmtId="0" fontId="12" fillId="32" borderId="31" xfId="36" applyNumberFormat="1" applyFont="1" applyFill="1" applyBorder="1" applyAlignment="1">
      <alignment horizontal="center" vertical="center"/>
    </xf>
    <xf numFmtId="49" fontId="12" fillId="32" borderId="32" xfId="36" applyNumberFormat="1" applyFont="1" applyFill="1" applyBorder="1" applyAlignment="1">
      <alignment horizontal="center" vertical="center"/>
    </xf>
    <xf numFmtId="0" fontId="13" fillId="0" borderId="0" xfId="36" applyFont="1" applyAlignment="1">
      <alignment horizontal="center"/>
    </xf>
    <xf numFmtId="0" fontId="98" fillId="0" borderId="29" xfId="37" applyFont="1" applyBorder="1" applyAlignment="1">
      <alignment horizontal="center"/>
    </xf>
    <xf numFmtId="0" fontId="98" fillId="0" borderId="20" xfId="37" applyFont="1" applyBorder="1" applyAlignment="1">
      <alignment horizontal="center"/>
    </xf>
    <xf numFmtId="0" fontId="98" fillId="0" borderId="33" xfId="37" applyFont="1" applyBorder="1" applyAlignment="1">
      <alignment horizontal="center"/>
    </xf>
    <xf numFmtId="14" fontId="103" fillId="0" borderId="13" xfId="37" applyNumberFormat="1" applyFont="1" applyBorder="1" applyAlignment="1">
      <alignment horizontal="left"/>
    </xf>
    <xf numFmtId="0" fontId="103" fillId="0" borderId="13" xfId="37" applyFont="1" applyBorder="1" applyAlignment="1">
      <alignment horizontal="left"/>
    </xf>
    <xf numFmtId="0" fontId="102" fillId="0" borderId="0" xfId="37" applyFont="1" applyAlignment="1">
      <alignment horizontal="left" vertical="center"/>
    </xf>
    <xf numFmtId="0" fontId="102" fillId="0" borderId="0" xfId="37" applyFont="1" applyAlignment="1">
      <alignment horizontal="right" vertical="center"/>
    </xf>
    <xf numFmtId="0" fontId="103" fillId="0" borderId="0" xfId="37" applyFont="1" applyAlignment="1">
      <alignment horizontal="center" vertical="center"/>
    </xf>
    <xf numFmtId="0" fontId="0" fillId="0" borderId="0" xfId="0" applyAlignment="1">
      <alignment horizontal="center"/>
    </xf>
    <xf numFmtId="0" fontId="101" fillId="0" borderId="31" xfId="37" applyFont="1" applyBorder="1" applyAlignment="1">
      <alignment horizontal="center" vertical="center"/>
    </xf>
    <xf numFmtId="0" fontId="101" fillId="0" borderId="32" xfId="37" applyFont="1" applyBorder="1" applyAlignment="1">
      <alignment horizontal="center" vertical="center"/>
    </xf>
    <xf numFmtId="0" fontId="127" fillId="0" borderId="10" xfId="37" applyFont="1" applyBorder="1" applyAlignment="1">
      <alignment horizontal="center" vertical="center"/>
    </xf>
    <xf numFmtId="0" fontId="97" fillId="32" borderId="31" xfId="37" applyFill="1" applyBorder="1" applyAlignment="1">
      <alignment horizontal="center" vertical="center"/>
    </xf>
    <xf numFmtId="0" fontId="97" fillId="32" borderId="32" xfId="37" applyFill="1" applyBorder="1" applyAlignment="1">
      <alignment horizontal="center" vertical="center"/>
    </xf>
    <xf numFmtId="0" fontId="99" fillId="0" borderId="29" xfId="37" applyFont="1" applyBorder="1" applyAlignment="1" applyProtection="1">
      <alignment horizontal="center"/>
    </xf>
    <xf numFmtId="0" fontId="99" fillId="0" borderId="20" xfId="37" applyFont="1" applyBorder="1" applyAlignment="1" applyProtection="1">
      <alignment horizontal="center"/>
    </xf>
    <xf numFmtId="0" fontId="99" fillId="0" borderId="33" xfId="37" applyFont="1" applyBorder="1" applyAlignment="1" applyProtection="1">
      <alignment horizontal="center"/>
    </xf>
    <xf numFmtId="0" fontId="101" fillId="36" borderId="30" xfId="37" applyFont="1" applyFill="1" applyBorder="1" applyAlignment="1">
      <alignment horizontal="center"/>
    </xf>
    <xf numFmtId="0" fontId="101" fillId="36" borderId="11" xfId="37" applyFont="1" applyFill="1" applyBorder="1" applyAlignment="1">
      <alignment horizontal="center"/>
    </xf>
    <xf numFmtId="0" fontId="101" fillId="36" borderId="12" xfId="37" applyFont="1" applyFill="1" applyBorder="1" applyAlignment="1">
      <alignment horizontal="center"/>
    </xf>
    <xf numFmtId="0" fontId="101" fillId="36" borderId="34" xfId="37" applyFont="1" applyFill="1" applyBorder="1" applyAlignment="1">
      <alignment horizontal="center"/>
    </xf>
    <xf numFmtId="0" fontId="101" fillId="36" borderId="13" xfId="37" applyFont="1" applyFill="1" applyBorder="1" applyAlignment="1">
      <alignment horizontal="center"/>
    </xf>
    <xf numFmtId="0" fontId="101" fillId="36" borderId="14" xfId="37" applyFont="1" applyFill="1" applyBorder="1" applyAlignment="1">
      <alignment horizontal="center"/>
    </xf>
    <xf numFmtId="0" fontId="99" fillId="0" borderId="29" xfId="37" applyFont="1" applyBorder="1" applyAlignment="1">
      <alignment horizontal="center"/>
    </xf>
    <xf numFmtId="0" fontId="99" fillId="0" borderId="20" xfId="37" applyFont="1" applyBorder="1" applyAlignment="1">
      <alignment horizontal="center"/>
    </xf>
    <xf numFmtId="0" fontId="99" fillId="0" borderId="33" xfId="37" applyFont="1" applyBorder="1" applyAlignment="1">
      <alignment horizontal="center"/>
    </xf>
    <xf numFmtId="0" fontId="97" fillId="32" borderId="30" xfId="37" applyFill="1" applyBorder="1" applyAlignment="1">
      <alignment horizontal="center" vertical="center"/>
    </xf>
    <xf numFmtId="0" fontId="97" fillId="32" borderId="34" xfId="37" applyFill="1" applyBorder="1" applyAlignment="1">
      <alignment horizontal="center" vertical="center"/>
    </xf>
    <xf numFmtId="0" fontId="99" fillId="0" borderId="29" xfId="37" applyFont="1" applyFill="1" applyBorder="1" applyAlignment="1">
      <alignment horizontal="center"/>
    </xf>
    <xf numFmtId="0" fontId="99" fillId="0" borderId="20" xfId="37" applyFont="1" applyFill="1" applyBorder="1" applyAlignment="1">
      <alignment horizontal="center"/>
    </xf>
    <xf numFmtId="0" fontId="99" fillId="0" borderId="33" xfId="37" applyFont="1" applyFill="1" applyBorder="1" applyAlignment="1">
      <alignment horizontal="center"/>
    </xf>
    <xf numFmtId="0" fontId="122" fillId="0" borderId="30" xfId="37" applyFont="1" applyBorder="1" applyAlignment="1">
      <alignment horizontal="center" vertical="center"/>
    </xf>
    <xf numFmtId="0" fontId="122" fillId="0" borderId="12" xfId="37" applyFont="1" applyBorder="1" applyAlignment="1">
      <alignment horizontal="center" vertical="center"/>
    </xf>
    <xf numFmtId="0" fontId="122" fillId="0" borderId="34" xfId="37" applyFont="1" applyBorder="1" applyAlignment="1">
      <alignment horizontal="center" vertical="center"/>
    </xf>
    <xf numFmtId="0" fontId="122" fillId="0" borderId="14" xfId="37" applyFont="1" applyBorder="1" applyAlignment="1">
      <alignment horizontal="center" vertical="center"/>
    </xf>
    <xf numFmtId="0" fontId="101" fillId="36" borderId="0" xfId="37" applyFont="1" applyFill="1" applyBorder="1" applyAlignment="1">
      <alignment horizontal="center"/>
    </xf>
    <xf numFmtId="0" fontId="101" fillId="36" borderId="15" xfId="37" applyFont="1" applyFill="1" applyBorder="1" applyAlignment="1">
      <alignment horizontal="center"/>
    </xf>
    <xf numFmtId="0" fontId="101" fillId="36" borderId="0" xfId="37" applyFont="1" applyFill="1" applyAlignment="1">
      <alignment horizontal="center"/>
    </xf>
    <xf numFmtId="0" fontId="101" fillId="36" borderId="16" xfId="37" applyFont="1" applyFill="1" applyBorder="1" applyAlignment="1">
      <alignment horizontal="center"/>
    </xf>
    <xf numFmtId="0" fontId="97" fillId="0" borderId="31" xfId="37" applyBorder="1" applyAlignment="1">
      <alignment horizontal="center"/>
    </xf>
    <xf numFmtId="0" fontId="97" fillId="0" borderId="32" xfId="37" applyBorder="1" applyAlignment="1">
      <alignment horizontal="center"/>
    </xf>
    <xf numFmtId="0" fontId="102" fillId="0" borderId="0" xfId="37" applyFont="1" applyAlignment="1">
      <alignment horizontal="center"/>
    </xf>
    <xf numFmtId="0" fontId="102" fillId="0" borderId="0" xfId="37" applyFont="1" applyAlignment="1">
      <alignment horizontal="left"/>
    </xf>
    <xf numFmtId="0" fontId="6" fillId="0" borderId="0" xfId="37" applyFont="1" applyAlignment="1">
      <alignment horizontal="center"/>
    </xf>
    <xf numFmtId="0" fontId="97" fillId="0" borderId="0" xfId="37" applyAlignment="1">
      <alignment horizontal="center"/>
    </xf>
    <xf numFmtId="0" fontId="0" fillId="0" borderId="0" xfId="0" applyAlignment="1"/>
    <xf numFmtId="0" fontId="23" fillId="0" borderId="0" xfId="40" applyNumberFormat="1" applyFont="1" applyAlignment="1">
      <alignment horizontal="center" vertical="center"/>
    </xf>
    <xf numFmtId="0" fontId="51" fillId="0" borderId="0" xfId="40" applyNumberFormat="1" applyFont="1" applyAlignment="1">
      <alignment horizontal="center" vertical="center"/>
    </xf>
    <xf numFmtId="0" fontId="19" fillId="0" borderId="37" xfId="36" applyFont="1" applyBorder="1" applyAlignment="1">
      <alignment horizontal="center" vertical="center"/>
    </xf>
    <xf numFmtId="49" fontId="56" fillId="0" borderId="0" xfId="36" applyNumberFormat="1" applyFont="1" applyFill="1" applyBorder="1" applyAlignment="1">
      <alignment horizontal="center" vertical="center"/>
    </xf>
    <xf numFmtId="49" fontId="24" fillId="0" borderId="15" xfId="40" applyNumberFormat="1" applyFont="1" applyBorder="1" applyAlignment="1">
      <alignment horizontal="center" vertical="center"/>
    </xf>
    <xf numFmtId="0" fontId="24" fillId="0" borderId="15" xfId="40" applyNumberFormat="1" applyFont="1" applyFill="1" applyBorder="1" applyAlignment="1">
      <alignment horizontal="center" vertical="center"/>
    </xf>
    <xf numFmtId="0" fontId="25" fillId="0" borderId="15" xfId="40" applyNumberFormat="1" applyFont="1" applyFill="1" applyBorder="1" applyAlignment="1">
      <alignment horizontal="center" vertical="center"/>
    </xf>
    <xf numFmtId="0" fontId="68" fillId="0" borderId="0" xfId="38" applyNumberFormat="1" applyFont="1" applyAlignment="1" applyProtection="1">
      <alignment horizontal="center" vertical="center"/>
      <protection locked="0"/>
    </xf>
    <xf numFmtId="0" fontId="83" fillId="0" borderId="0" xfId="38" applyNumberFormat="1" applyFont="1" applyAlignment="1" applyProtection="1">
      <alignment horizontal="center" vertical="center"/>
      <protection locked="0"/>
    </xf>
    <xf numFmtId="0" fontId="20" fillId="0" borderId="0" xfId="38" applyNumberFormat="1" applyFont="1" applyAlignment="1" applyProtection="1">
      <alignment horizontal="center" vertical="center"/>
      <protection locked="0"/>
    </xf>
    <xf numFmtId="0" fontId="14" fillId="0" borderId="0" xfId="38" applyFont="1" applyAlignment="1">
      <alignment horizontal="center"/>
    </xf>
    <xf numFmtId="0" fontId="16" fillId="0" borderId="0" xfId="38" applyFont="1" applyAlignment="1">
      <alignment horizontal="center"/>
    </xf>
    <xf numFmtId="0" fontId="14" fillId="0" borderId="0" xfId="38" applyFont="1" applyAlignment="1">
      <alignment horizontal="left"/>
    </xf>
    <xf numFmtId="0" fontId="18" fillId="0" borderId="0" xfId="38" applyFont="1" applyAlignment="1">
      <alignment horizontal="center"/>
    </xf>
    <xf numFmtId="0" fontId="13" fillId="0" borderId="0" xfId="38" applyFont="1" applyAlignment="1">
      <alignment horizontal="center"/>
    </xf>
    <xf numFmtId="0" fontId="29" fillId="0" borderId="13" xfId="38" applyNumberFormat="1" applyFont="1" applyBorder="1" applyAlignment="1">
      <alignment horizontal="center"/>
    </xf>
    <xf numFmtId="0" fontId="29" fillId="0" borderId="0" xfId="38" applyNumberFormat="1" applyFont="1" applyBorder="1" applyAlignment="1">
      <alignment horizontal="center"/>
    </xf>
    <xf numFmtId="0" fontId="114" fillId="0" borderId="74" xfId="37" applyFont="1" applyBorder="1" applyAlignment="1">
      <alignment horizontal="center" vertical="center"/>
    </xf>
    <xf numFmtId="0" fontId="114" fillId="0" borderId="57" xfId="37" applyFont="1" applyBorder="1" applyAlignment="1">
      <alignment horizontal="center" vertical="center"/>
    </xf>
    <xf numFmtId="0" fontId="114" fillId="0" borderId="72" xfId="37" applyFont="1" applyBorder="1" applyAlignment="1">
      <alignment horizontal="center"/>
    </xf>
    <xf numFmtId="0" fontId="114" fillId="0" borderId="60" xfId="37" applyFont="1" applyBorder="1" applyAlignment="1">
      <alignment horizontal="center"/>
    </xf>
    <xf numFmtId="0" fontId="103" fillId="0" borderId="0" xfId="37" applyFont="1" applyAlignment="1">
      <alignment horizontal="center"/>
    </xf>
    <xf numFmtId="0" fontId="103" fillId="0" borderId="0" xfId="37" applyFont="1" applyBorder="1" applyAlignment="1">
      <alignment horizontal="center" vertical="center"/>
    </xf>
    <xf numFmtId="0" fontId="114" fillId="0" borderId="30" xfId="37" applyFont="1" applyBorder="1" applyAlignment="1">
      <alignment horizontal="center" vertical="center" wrapText="1"/>
    </xf>
    <xf numFmtId="0" fontId="114" fillId="0" borderId="12" xfId="37" applyFont="1" applyBorder="1" applyAlignment="1">
      <alignment horizontal="center" vertical="center" wrapText="1"/>
    </xf>
    <xf numFmtId="0" fontId="114" fillId="0" borderId="34" xfId="37" applyFont="1" applyBorder="1" applyAlignment="1">
      <alignment horizontal="center" vertical="center" wrapText="1"/>
    </xf>
    <xf numFmtId="0" fontId="114" fillId="0" borderId="14" xfId="37" applyFont="1" applyBorder="1" applyAlignment="1">
      <alignment horizontal="center" vertical="center" wrapText="1"/>
    </xf>
    <xf numFmtId="0" fontId="120" fillId="0" borderId="103" xfId="37" applyFont="1" applyBorder="1" applyAlignment="1">
      <alignment horizontal="center" wrapText="1"/>
    </xf>
    <xf numFmtId="0" fontId="120" fillId="0" borderId="63" xfId="37" applyFont="1" applyBorder="1" applyAlignment="1">
      <alignment horizontal="center" wrapText="1"/>
    </xf>
    <xf numFmtId="0" fontId="97" fillId="0" borderId="101" xfId="37" applyBorder="1" applyAlignment="1">
      <alignment horizontal="center" vertical="center" textRotation="90"/>
    </xf>
    <xf numFmtId="0" fontId="97" fillId="0" borderId="100" xfId="37" applyBorder="1" applyAlignment="1">
      <alignment horizontal="center" vertical="center" textRotation="90"/>
    </xf>
    <xf numFmtId="0" fontId="114" fillId="0" borderId="101" xfId="37" applyFont="1" applyBorder="1" applyAlignment="1">
      <alignment horizontal="center" vertical="center"/>
    </xf>
    <xf numFmtId="0" fontId="114" fillId="0" borderId="100" xfId="37" applyFont="1" applyBorder="1" applyAlignment="1">
      <alignment horizontal="center" vertical="center"/>
    </xf>
    <xf numFmtId="0" fontId="97" fillId="0" borderId="73" xfId="37" applyBorder="1" applyAlignment="1">
      <alignment horizontal="center"/>
    </xf>
    <xf numFmtId="0" fontId="97" fillId="0" borderId="53" xfId="37" applyBorder="1" applyAlignment="1">
      <alignment horizontal="center"/>
    </xf>
    <xf numFmtId="0" fontId="11" fillId="0" borderId="74" xfId="36" applyBorder="1" applyAlignment="1">
      <alignment horizontal="center" vertical="center" wrapText="1"/>
    </xf>
    <xf numFmtId="0" fontId="11" fillId="0" borderId="57" xfId="36" applyBorder="1" applyAlignment="1">
      <alignment horizontal="center" vertical="center" wrapText="1"/>
    </xf>
    <xf numFmtId="0" fontId="11" fillId="0" borderId="41" xfId="36" applyBorder="1" applyAlignment="1">
      <alignment horizontal="center"/>
    </xf>
    <xf numFmtId="0" fontId="11" fillId="0" borderId="42" xfId="36" applyBorder="1" applyAlignment="1">
      <alignment horizontal="center"/>
    </xf>
    <xf numFmtId="0" fontId="11" fillId="0" borderId="43" xfId="36" applyBorder="1" applyAlignment="1">
      <alignment horizontal="center"/>
    </xf>
    <xf numFmtId="0" fontId="11" fillId="0" borderId="38" xfId="36" applyBorder="1" applyAlignment="1">
      <alignment horizontal="center" vertical="center"/>
    </xf>
    <xf numFmtId="0" fontId="11" fillId="0" borderId="50" xfId="36" applyBorder="1" applyAlignment="1">
      <alignment horizontal="center" vertical="center"/>
    </xf>
    <xf numFmtId="0" fontId="12" fillId="31" borderId="102" xfId="36" applyFont="1" applyFill="1" applyBorder="1" applyAlignment="1">
      <alignment horizontal="center" vertical="center"/>
    </xf>
    <xf numFmtId="0" fontId="12" fillId="31" borderId="70" xfId="36" applyFont="1" applyFill="1" applyBorder="1" applyAlignment="1">
      <alignment horizontal="center" vertical="center"/>
    </xf>
    <xf numFmtId="0" fontId="11" fillId="0" borderId="29" xfId="36" applyBorder="1" applyAlignment="1">
      <alignment horizontal="center"/>
    </xf>
    <xf numFmtId="0" fontId="11" fillId="0" borderId="20" xfId="36" applyBorder="1" applyAlignment="1">
      <alignment horizontal="center"/>
    </xf>
    <xf numFmtId="0" fontId="11" fillId="0" borderId="33" xfId="36" applyBorder="1" applyAlignment="1">
      <alignment horizontal="center"/>
    </xf>
    <xf numFmtId="0" fontId="11" fillId="0" borderId="31" xfId="36" applyBorder="1" applyAlignment="1">
      <alignment horizontal="center" vertical="center"/>
    </xf>
    <xf numFmtId="0" fontId="11" fillId="0" borderId="31" xfId="36" applyFont="1" applyBorder="1" applyAlignment="1">
      <alignment horizontal="center" vertical="center" wrapText="1"/>
    </xf>
    <xf numFmtId="0" fontId="11" fillId="0" borderId="50" xfId="36" applyBorder="1" applyAlignment="1">
      <alignment horizontal="center" vertical="center" wrapText="1"/>
    </xf>
    <xf numFmtId="0" fontId="11" fillId="29" borderId="31" xfId="36" applyFill="1" applyBorder="1" applyAlignment="1">
      <alignment horizontal="center" vertical="center"/>
    </xf>
    <xf numFmtId="0" fontId="29" fillId="0" borderId="54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13" fillId="0" borderId="103" xfId="37" applyFont="1" applyBorder="1" applyAlignment="1">
      <alignment horizontal="center" wrapText="1"/>
    </xf>
    <xf numFmtId="0" fontId="113" fillId="0" borderId="63" xfId="37" applyFont="1" applyBorder="1" applyAlignment="1">
      <alignment horizontal="center" wrapText="1"/>
    </xf>
    <xf numFmtId="0" fontId="113" fillId="0" borderId="101" xfId="37" applyFont="1" applyBorder="1" applyAlignment="1">
      <alignment horizontal="center" vertical="center" textRotation="90"/>
    </xf>
    <xf numFmtId="0" fontId="113" fillId="0" borderId="100" xfId="37" applyFont="1" applyBorder="1" applyAlignment="1">
      <alignment horizontal="center" vertical="center" textRotation="90"/>
    </xf>
    <xf numFmtId="0" fontId="113" fillId="0" borderId="73" xfId="37" applyFont="1" applyBorder="1" applyAlignment="1">
      <alignment horizontal="center"/>
    </xf>
    <xf numFmtId="0" fontId="113" fillId="0" borderId="53" xfId="37" applyFont="1" applyBorder="1" applyAlignment="1">
      <alignment horizontal="center"/>
    </xf>
    <xf numFmtId="0" fontId="123" fillId="0" borderId="74" xfId="37" applyFont="1" applyBorder="1" applyAlignment="1">
      <alignment horizontal="center" vertical="center"/>
    </xf>
    <xf numFmtId="0" fontId="123" fillId="0" borderId="57" xfId="37" applyFont="1" applyBorder="1" applyAlignment="1">
      <alignment horizontal="center" vertical="center"/>
    </xf>
    <xf numFmtId="0" fontId="123" fillId="0" borderId="104" xfId="37" applyFont="1" applyBorder="1" applyAlignment="1">
      <alignment horizontal="center" vertical="center"/>
    </xf>
    <xf numFmtId="0" fontId="123" fillId="0" borderId="51" xfId="37" applyFont="1" applyBorder="1" applyAlignment="1">
      <alignment horizontal="center" vertical="center"/>
    </xf>
    <xf numFmtId="0" fontId="13" fillId="0" borderId="102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textRotation="90"/>
    </xf>
    <xf numFmtId="0" fontId="13" fillId="0" borderId="44" xfId="0" applyFont="1" applyBorder="1" applyAlignment="1">
      <alignment horizontal="center" vertical="center" textRotation="90"/>
    </xf>
    <xf numFmtId="0" fontId="29" fillId="0" borderId="40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123" fillId="0" borderId="103" xfId="37" applyFont="1" applyBorder="1" applyAlignment="1">
      <alignment horizontal="center" vertical="center"/>
    </xf>
    <xf numFmtId="0" fontId="123" fillId="0" borderId="105" xfId="37" applyFont="1" applyBorder="1" applyAlignment="1">
      <alignment horizontal="center" vertical="center"/>
    </xf>
    <xf numFmtId="0" fontId="123" fillId="0" borderId="106" xfId="37" applyFont="1" applyBorder="1" applyAlignment="1">
      <alignment horizontal="center" vertical="center"/>
    </xf>
    <xf numFmtId="0" fontId="123" fillId="0" borderId="107" xfId="37" applyFont="1" applyBorder="1" applyAlignment="1">
      <alignment horizontal="center" vertical="center"/>
    </xf>
    <xf numFmtId="14" fontId="29" fillId="0" borderId="52" xfId="0" applyNumberFormat="1" applyFont="1" applyBorder="1" applyAlignment="1">
      <alignment horizontal="center"/>
    </xf>
    <xf numFmtId="0" fontId="29" fillId="0" borderId="52" xfId="0" applyFont="1" applyBorder="1" applyAlignment="1">
      <alignment horizontal="center"/>
    </xf>
    <xf numFmtId="0" fontId="13" fillId="0" borderId="103" xfId="0" applyFont="1" applyBorder="1" applyAlignment="1">
      <alignment horizontal="center" vertical="center"/>
    </xf>
    <xf numFmtId="0" fontId="13" fillId="0" borderId="105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108" xfId="0" applyFont="1" applyBorder="1" applyAlignment="1">
      <alignment horizontal="center" vertical="center"/>
    </xf>
    <xf numFmtId="0" fontId="14" fillId="0" borderId="112" xfId="41" applyFont="1" applyBorder="1" applyAlignment="1">
      <alignment horizontal="center" vertical="center"/>
    </xf>
    <xf numFmtId="0" fontId="14" fillId="0" borderId="32" xfId="41" applyFont="1" applyBorder="1" applyAlignment="1">
      <alignment horizontal="center" vertical="center"/>
    </xf>
    <xf numFmtId="0" fontId="14" fillId="0" borderId="117" xfId="41" applyFont="1" applyBorder="1" applyAlignment="1">
      <alignment horizontal="center" vertical="center" wrapText="1"/>
    </xf>
    <xf numFmtId="0" fontId="14" fillId="0" borderId="18" xfId="41" applyFont="1" applyBorder="1" applyAlignment="1">
      <alignment horizontal="center" vertical="center" wrapText="1"/>
    </xf>
    <xf numFmtId="0" fontId="14" fillId="0" borderId="118" xfId="41" applyFont="1" applyBorder="1" applyAlignment="1">
      <alignment horizontal="center" vertical="center" wrapText="1"/>
    </xf>
    <xf numFmtId="0" fontId="14" fillId="0" borderId="34" xfId="41" applyFont="1" applyBorder="1" applyAlignment="1">
      <alignment horizontal="center" vertical="center" wrapText="1"/>
    </xf>
    <xf numFmtId="0" fontId="14" fillId="0" borderId="13" xfId="41" applyFont="1" applyBorder="1" applyAlignment="1">
      <alignment horizontal="center" vertical="center" wrapText="1"/>
    </xf>
    <xf numFmtId="0" fontId="14" fillId="0" borderId="119" xfId="41" applyFont="1" applyBorder="1" applyAlignment="1">
      <alignment horizontal="center" vertical="center" wrapText="1"/>
    </xf>
    <xf numFmtId="0" fontId="81" fillId="0" borderId="34" xfId="41" applyFont="1" applyBorder="1" applyAlignment="1">
      <alignment horizontal="center" vertical="center"/>
    </xf>
    <xf numFmtId="0" fontId="81" fillId="0" borderId="13" xfId="41" applyFont="1" applyBorder="1" applyAlignment="1">
      <alignment horizontal="center" vertical="center"/>
    </xf>
    <xf numFmtId="0" fontId="81" fillId="0" borderId="22" xfId="41" applyFont="1" applyBorder="1" applyAlignment="1">
      <alignment horizontal="center" vertical="center"/>
    </xf>
    <xf numFmtId="0" fontId="81" fillId="0" borderId="29" xfId="41" applyFont="1" applyBorder="1" applyAlignment="1">
      <alignment horizontal="center" vertical="center"/>
    </xf>
    <xf numFmtId="0" fontId="81" fillId="0" borderId="20" xfId="41" applyFont="1" applyBorder="1" applyAlignment="1">
      <alignment horizontal="center" vertical="center"/>
    </xf>
    <xf numFmtId="0" fontId="81" fillId="0" borderId="120" xfId="41" applyFont="1" applyBorder="1" applyAlignment="1">
      <alignment horizontal="center" vertical="center"/>
    </xf>
    <xf numFmtId="0" fontId="30" fillId="0" borderId="121" xfId="41" applyBorder="1" applyAlignment="1">
      <alignment horizontal="center"/>
    </xf>
    <xf numFmtId="0" fontId="30" fillId="0" borderId="75" xfId="41" applyBorder="1" applyAlignment="1">
      <alignment horizontal="center"/>
    </xf>
    <xf numFmtId="0" fontId="30" fillId="0" borderId="82" xfId="41" applyBorder="1" applyAlignment="1">
      <alignment horizontal="center"/>
    </xf>
    <xf numFmtId="0" fontId="30" fillId="0" borderId="122" xfId="41" applyBorder="1" applyAlignment="1">
      <alignment horizontal="center"/>
    </xf>
    <xf numFmtId="0" fontId="111" fillId="0" borderId="121" xfId="37" applyNumberFormat="1" applyFont="1" applyBorder="1" applyAlignment="1">
      <alignment horizontal="center" vertical="center"/>
    </xf>
    <xf numFmtId="0" fontId="111" fillId="0" borderId="75" xfId="37" applyNumberFormat="1" applyFont="1" applyBorder="1" applyAlignment="1">
      <alignment horizontal="center" vertical="center"/>
    </xf>
    <xf numFmtId="0" fontId="111" fillId="0" borderId="82" xfId="37" applyNumberFormat="1" applyFont="1" applyBorder="1" applyAlignment="1">
      <alignment horizontal="center" vertical="center"/>
    </xf>
    <xf numFmtId="0" fontId="30" fillId="0" borderId="111" xfId="41" applyBorder="1" applyAlignment="1">
      <alignment horizontal="center" vertical="center"/>
    </xf>
    <xf numFmtId="0" fontId="30" fillId="0" borderId="84" xfId="41" applyBorder="1" applyAlignment="1">
      <alignment horizontal="center" vertical="center"/>
    </xf>
    <xf numFmtId="0" fontId="14" fillId="0" borderId="123" xfId="41" applyFont="1" applyBorder="1" applyAlignment="1">
      <alignment horizontal="center" vertical="center"/>
    </xf>
    <xf numFmtId="0" fontId="97" fillId="0" borderId="32" xfId="37" applyBorder="1"/>
    <xf numFmtId="0" fontId="14" fillId="0" borderId="115" xfId="41" applyFont="1" applyBorder="1" applyAlignment="1">
      <alignment horizontal="center" vertical="center" wrapText="1"/>
    </xf>
    <xf numFmtId="0" fontId="14" fillId="0" borderId="22" xfId="41" applyFont="1" applyBorder="1" applyAlignment="1">
      <alignment horizontal="center" vertical="center" wrapText="1"/>
    </xf>
    <xf numFmtId="0" fontId="30" fillId="0" borderId="109" xfId="41" applyBorder="1" applyAlignment="1">
      <alignment horizontal="center"/>
    </xf>
    <xf numFmtId="0" fontId="30" fillId="0" borderId="85" xfId="41" applyBorder="1" applyAlignment="1">
      <alignment horizontal="center"/>
    </xf>
    <xf numFmtId="0" fontId="30" fillId="0" borderId="77" xfId="41" applyBorder="1" applyAlignment="1">
      <alignment horizontal="center"/>
    </xf>
    <xf numFmtId="0" fontId="14" fillId="0" borderId="78" xfId="41" applyFont="1" applyBorder="1" applyAlignment="1">
      <alignment horizontal="center" vertical="center"/>
    </xf>
    <xf numFmtId="0" fontId="14" fillId="0" borderId="91" xfId="41" applyFont="1" applyBorder="1" applyAlignment="1">
      <alignment horizontal="center" vertical="center"/>
    </xf>
    <xf numFmtId="0" fontId="14" fillId="0" borderId="19" xfId="41" applyFont="1" applyBorder="1" applyAlignment="1">
      <alignment horizontal="center" vertical="center"/>
    </xf>
    <xf numFmtId="0" fontId="14" fillId="0" borderId="110" xfId="41" applyFont="1" applyBorder="1" applyAlignment="1">
      <alignment horizontal="center" vertical="center"/>
    </xf>
    <xf numFmtId="0" fontId="14" fillId="0" borderId="111" xfId="41" applyFont="1" applyBorder="1" applyAlignment="1">
      <alignment horizontal="center"/>
    </xf>
    <xf numFmtId="0" fontId="14" fillId="0" borderId="112" xfId="41" applyFont="1" applyBorder="1" applyAlignment="1">
      <alignment horizontal="center"/>
    </xf>
    <xf numFmtId="0" fontId="16" fillId="0" borderId="112" xfId="41" applyFont="1" applyBorder="1" applyAlignment="1">
      <alignment horizontal="center"/>
    </xf>
    <xf numFmtId="0" fontId="16" fillId="0" borderId="113" xfId="41" applyFont="1" applyBorder="1" applyAlignment="1">
      <alignment horizontal="center"/>
    </xf>
    <xf numFmtId="0" fontId="82" fillId="0" borderId="17" xfId="41" applyFont="1" applyBorder="1" applyAlignment="1">
      <alignment horizontal="center" vertical="center"/>
    </xf>
    <xf numFmtId="0" fontId="82" fillId="0" borderId="78" xfId="41" applyFont="1" applyBorder="1" applyAlignment="1">
      <alignment horizontal="center" vertical="center"/>
    </xf>
    <xf numFmtId="0" fontId="82" fillId="0" borderId="91" xfId="41" applyFont="1" applyBorder="1" applyAlignment="1">
      <alignment horizontal="center" vertical="center"/>
    </xf>
    <xf numFmtId="0" fontId="82" fillId="0" borderId="110" xfId="41" applyFont="1" applyBorder="1" applyAlignment="1">
      <alignment horizontal="center" vertical="center"/>
    </xf>
    <xf numFmtId="0" fontId="14" fillId="0" borderId="16" xfId="41" applyFont="1" applyBorder="1" applyAlignment="1">
      <alignment horizontal="center" vertical="center" wrapText="1"/>
    </xf>
    <xf numFmtId="0" fontId="14" fillId="0" borderId="0" xfId="41" applyFont="1" applyBorder="1" applyAlignment="1">
      <alignment horizontal="center" vertical="center" wrapText="1"/>
    </xf>
    <xf numFmtId="0" fontId="14" fillId="0" borderId="99" xfId="41" applyFont="1" applyBorder="1" applyAlignment="1">
      <alignment horizontal="center" vertical="center" wrapText="1"/>
    </xf>
    <xf numFmtId="0" fontId="81" fillId="0" borderId="119" xfId="41" applyFont="1" applyBorder="1" applyAlignment="1">
      <alignment horizontal="center" vertical="center"/>
    </xf>
    <xf numFmtId="0" fontId="30" fillId="0" borderId="39" xfId="41" applyBorder="1" applyAlignment="1">
      <alignment horizontal="center"/>
    </xf>
    <xf numFmtId="0" fontId="30" fillId="0" borderId="16" xfId="41" applyBorder="1" applyAlignment="1">
      <alignment horizontal="center"/>
    </xf>
    <xf numFmtId="0" fontId="30" fillId="0" borderId="126" xfId="41" applyBorder="1" applyAlignment="1">
      <alignment horizontal="center"/>
    </xf>
    <xf numFmtId="0" fontId="30" fillId="0" borderId="81" xfId="41" applyBorder="1" applyAlignment="1">
      <alignment horizontal="center"/>
    </xf>
    <xf numFmtId="0" fontId="30" fillId="0" borderId="127" xfId="41" applyBorder="1" applyAlignment="1">
      <alignment horizontal="center"/>
    </xf>
    <xf numFmtId="0" fontId="111" fillId="0" borderId="78" xfId="37" applyNumberFormat="1" applyFont="1" applyBorder="1" applyAlignment="1">
      <alignment horizontal="center" vertical="center"/>
    </xf>
    <xf numFmtId="0" fontId="111" fillId="0" borderId="91" xfId="37" applyNumberFormat="1" applyFont="1" applyBorder="1" applyAlignment="1">
      <alignment horizontal="center" vertical="center"/>
    </xf>
    <xf numFmtId="0" fontId="111" fillId="0" borderId="19" xfId="37" applyNumberFormat="1" applyFont="1" applyBorder="1" applyAlignment="1">
      <alignment horizontal="center" vertical="center"/>
    </xf>
    <xf numFmtId="0" fontId="30" fillId="0" borderId="124" xfId="41" applyBorder="1" applyAlignment="1">
      <alignment horizontal="center" vertical="center"/>
    </xf>
    <xf numFmtId="0" fontId="14" fillId="0" borderId="39" xfId="41" applyFont="1" applyBorder="1" applyAlignment="1">
      <alignment horizontal="center" vertical="center"/>
    </xf>
    <xf numFmtId="0" fontId="14" fillId="0" borderId="75" xfId="41" applyFont="1" applyBorder="1" applyAlignment="1">
      <alignment horizontal="center" vertical="center"/>
    </xf>
    <xf numFmtId="0" fontId="14" fillId="0" borderId="82" xfId="41" applyFont="1" applyBorder="1" applyAlignment="1">
      <alignment horizontal="center" vertical="center"/>
    </xf>
    <xf numFmtId="0" fontId="16" fillId="0" borderId="125" xfId="41" applyFont="1" applyBorder="1" applyAlignment="1">
      <alignment horizontal="center"/>
    </xf>
    <xf numFmtId="0" fontId="82" fillId="0" borderId="19" xfId="41" applyFont="1" applyBorder="1" applyAlignment="1">
      <alignment horizontal="center" vertical="center"/>
    </xf>
    <xf numFmtId="0" fontId="82" fillId="0" borderId="76" xfId="41" applyFont="1" applyBorder="1" applyAlignment="1">
      <alignment horizontal="center" vertical="center"/>
    </xf>
    <xf numFmtId="0" fontId="82" fillId="0" borderId="75" xfId="41" applyFont="1" applyBorder="1" applyAlignment="1">
      <alignment horizontal="center" vertical="center"/>
    </xf>
    <xf numFmtId="0" fontId="82" fillId="0" borderId="122" xfId="41" applyFont="1" applyBorder="1" applyAlignment="1">
      <alignment horizontal="center" vertical="center"/>
    </xf>
    <xf numFmtId="0" fontId="81" fillId="0" borderId="24" xfId="41" applyFont="1" applyBorder="1" applyAlignment="1">
      <alignment horizontal="center" vertical="center"/>
    </xf>
    <xf numFmtId="0" fontId="111" fillId="0" borderId="97" xfId="37" applyNumberFormat="1" applyFont="1" applyBorder="1" applyAlignment="1">
      <alignment horizontal="center" vertical="center"/>
    </xf>
    <xf numFmtId="0" fontId="30" fillId="0" borderId="10" xfId="41" applyBorder="1" applyAlignment="1">
      <alignment horizontal="center"/>
    </xf>
    <xf numFmtId="0" fontId="30" fillId="0" borderId="31" xfId="41" applyBorder="1" applyAlignment="1">
      <alignment horizontal="center"/>
    </xf>
    <xf numFmtId="0" fontId="14" fillId="0" borderId="10" xfId="41" applyFont="1" applyBorder="1" applyAlignment="1">
      <alignment horizontal="center"/>
    </xf>
    <xf numFmtId="0" fontId="14" fillId="0" borderId="32" xfId="41" applyFont="1" applyBorder="1" applyAlignment="1">
      <alignment horizontal="center"/>
    </xf>
    <xf numFmtId="0" fontId="30" fillId="0" borderId="0" xfId="41" applyBorder="1" applyAlignment="1">
      <alignment horizontal="center"/>
    </xf>
    <xf numFmtId="0" fontId="30" fillId="0" borderId="99" xfId="41" applyBorder="1" applyAlignment="1">
      <alignment horizontal="center"/>
    </xf>
    <xf numFmtId="0" fontId="82" fillId="0" borderId="114" xfId="41" applyFont="1" applyBorder="1" applyAlignment="1">
      <alignment horizontal="center" vertical="center"/>
    </xf>
    <xf numFmtId="0" fontId="82" fillId="0" borderId="18" xfId="41" applyFont="1" applyBorder="1" applyAlignment="1">
      <alignment horizontal="center" vertical="center"/>
    </xf>
    <xf numFmtId="0" fontId="82" fillId="0" borderId="115" xfId="41" applyFont="1" applyBorder="1" applyAlignment="1">
      <alignment horizontal="center" vertical="center"/>
    </xf>
    <xf numFmtId="0" fontId="82" fillId="0" borderId="116" xfId="41" applyFont="1" applyBorder="1" applyAlignment="1">
      <alignment horizontal="center" vertical="center"/>
    </xf>
    <xf numFmtId="0" fontId="82" fillId="0" borderId="0" xfId="41" applyFont="1" applyBorder="1" applyAlignment="1">
      <alignment horizontal="center" vertical="center"/>
    </xf>
    <xf numFmtId="0" fontId="82" fillId="0" borderId="86" xfId="41" applyFont="1" applyBorder="1" applyAlignment="1">
      <alignment horizontal="center" vertical="center"/>
    </xf>
    <xf numFmtId="0" fontId="124" fillId="0" borderId="0" xfId="37" applyFont="1" applyAlignment="1">
      <alignment horizontal="center"/>
    </xf>
    <xf numFmtId="0" fontId="114" fillId="0" borderId="0" xfId="37" applyFont="1" applyAlignment="1">
      <alignment horizontal="center"/>
    </xf>
    <xf numFmtId="0" fontId="114" fillId="0" borderId="0" xfId="37" applyFont="1" applyAlignment="1">
      <alignment horizontal="left"/>
    </xf>
    <xf numFmtId="0" fontId="14" fillId="0" borderId="0" xfId="36" applyFont="1" applyAlignment="1"/>
    <xf numFmtId="0" fontId="77" fillId="0" borderId="0" xfId="36" applyFont="1" applyBorder="1" applyAlignment="1">
      <alignment horizontal="center"/>
    </xf>
    <xf numFmtId="0" fontId="15" fillId="0" borderId="0" xfId="36" applyFont="1" applyBorder="1" applyAlignment="1">
      <alignment horizontal="center" vertical="center"/>
    </xf>
    <xf numFmtId="0" fontId="13" fillId="0" borderId="0" xfId="36" applyFont="1" applyAlignment="1"/>
    <xf numFmtId="0" fontId="29" fillId="0" borderId="0" xfId="36" applyFont="1" applyAlignment="1">
      <alignment horizontal="center" vertical="center"/>
    </xf>
    <xf numFmtId="0" fontId="29" fillId="0" borderId="0" xfId="36" applyFont="1" applyAlignment="1">
      <alignment horizontal="center"/>
    </xf>
    <xf numFmtId="0" fontId="14" fillId="0" borderId="0" xfId="36" applyFont="1" applyBorder="1" applyAlignment="1">
      <alignment horizontal="right" vertical="center"/>
    </xf>
    <xf numFmtId="0" fontId="66" fillId="0" borderId="0" xfId="40" applyFont="1" applyBorder="1" applyAlignment="1">
      <alignment horizontal="center" vertical="center"/>
    </xf>
    <xf numFmtId="0" fontId="30" fillId="0" borderId="0" xfId="40" applyBorder="1" applyAlignment="1">
      <alignment vertical="center"/>
    </xf>
    <xf numFmtId="0" fontId="66" fillId="0" borderId="13" xfId="40" applyFont="1" applyBorder="1" applyAlignment="1">
      <alignment horizontal="center" vertical="center"/>
    </xf>
    <xf numFmtId="0" fontId="30" fillId="0" borderId="13" xfId="40" applyBorder="1" applyAlignment="1">
      <alignment vertical="center"/>
    </xf>
    <xf numFmtId="0" fontId="14" fillId="0" borderId="0" xfId="36" applyFont="1" applyBorder="1" applyAlignment="1">
      <alignment horizontal="center" vertical="center" textRotation="90"/>
    </xf>
    <xf numFmtId="0" fontId="68" fillId="0" borderId="0" xfId="38" applyNumberFormat="1" applyFont="1" applyAlignment="1" applyProtection="1">
      <alignment horizontal="center" vertical="center" wrapText="1"/>
      <protection locked="0"/>
    </xf>
    <xf numFmtId="0" fontId="83" fillId="0" borderId="0" xfId="38" applyNumberFormat="1" applyFont="1" applyAlignment="1" applyProtection="1">
      <alignment horizontal="center" vertical="center" wrapText="1"/>
      <protection locked="0"/>
    </xf>
    <xf numFmtId="0" fontId="73" fillId="0" borderId="32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3" fillId="0" borderId="39" xfId="0" applyFont="1" applyBorder="1" applyAlignment="1">
      <alignment horizontal="center" vertical="center"/>
    </xf>
    <xf numFmtId="0" fontId="73" fillId="0" borderId="32" xfId="0" applyFont="1" applyBorder="1" applyAlignment="1">
      <alignment horizontal="center" vertical="center"/>
    </xf>
    <xf numFmtId="0" fontId="128" fillId="0" borderId="16" xfId="0" applyFont="1" applyBorder="1" applyAlignment="1">
      <alignment horizontal="center" vertical="center"/>
    </xf>
    <xf numFmtId="0" fontId="128" fillId="0" borderId="34" xfId="0" applyFont="1" applyBorder="1" applyAlignment="1">
      <alignment horizontal="center" vertical="center"/>
    </xf>
    <xf numFmtId="0" fontId="130" fillId="0" borderId="67" xfId="0" applyFont="1" applyBorder="1" applyAlignment="1">
      <alignment horizontal="center" vertical="center"/>
    </xf>
    <xf numFmtId="0" fontId="130" fillId="0" borderId="68" xfId="0" applyFont="1" applyBorder="1" applyAlignment="1">
      <alignment horizontal="center" vertical="center"/>
    </xf>
    <xf numFmtId="0" fontId="128" fillId="0" borderId="63" xfId="0" applyFont="1" applyBorder="1" applyAlignment="1">
      <alignment horizontal="center" vertical="center" wrapText="1"/>
    </xf>
    <xf numFmtId="0" fontId="128" fillId="0" borderId="52" xfId="0" applyFont="1" applyBorder="1" applyAlignment="1">
      <alignment horizontal="center" vertical="center" wrapText="1"/>
    </xf>
    <xf numFmtId="0" fontId="128" fillId="0" borderId="108" xfId="0" applyFont="1" applyBorder="1" applyAlignment="1">
      <alignment horizontal="center" vertical="center" wrapText="1"/>
    </xf>
    <xf numFmtId="0" fontId="77" fillId="0" borderId="72" xfId="0" applyFont="1" applyBorder="1" applyAlignment="1">
      <alignment horizontal="center" vertical="center" wrapText="1"/>
    </xf>
    <xf numFmtId="0" fontId="77" fillId="0" borderId="60" xfId="0" applyFont="1" applyBorder="1" applyAlignment="1">
      <alignment horizontal="center" vertical="center" wrapText="1"/>
    </xf>
    <xf numFmtId="0" fontId="77" fillId="0" borderId="128" xfId="0" applyFont="1" applyBorder="1" applyAlignment="1">
      <alignment horizontal="center" vertical="center" wrapText="1"/>
    </xf>
    <xf numFmtId="0" fontId="96" fillId="0" borderId="129" xfId="0" applyFont="1" applyBorder="1" applyAlignment="1">
      <alignment horizontal="center" vertical="center"/>
    </xf>
    <xf numFmtId="0" fontId="96" fillId="0" borderId="107" xfId="0" applyFont="1" applyBorder="1" applyAlignment="1">
      <alignment horizontal="center" vertical="center"/>
    </xf>
    <xf numFmtId="0" fontId="96" fillId="0" borderId="131" xfId="0" applyFont="1" applyBorder="1" applyAlignment="1">
      <alignment horizontal="center" vertical="center"/>
    </xf>
    <xf numFmtId="0" fontId="73" fillId="0" borderId="52" xfId="0" applyFont="1" applyBorder="1" applyAlignment="1">
      <alignment horizontal="center" vertical="center"/>
    </xf>
    <xf numFmtId="0" fontId="73" fillId="0" borderId="108" xfId="0" applyFont="1" applyBorder="1" applyAlignment="1">
      <alignment horizontal="center" vertical="center"/>
    </xf>
    <xf numFmtId="0" fontId="73" fillId="0" borderId="63" xfId="0" applyFont="1" applyBorder="1" applyAlignment="1">
      <alignment horizontal="center" vertical="center" wrapText="1"/>
    </xf>
    <xf numFmtId="0" fontId="73" fillId="0" borderId="52" xfId="0" applyFont="1" applyBorder="1" applyAlignment="1">
      <alignment horizontal="center" vertical="center" wrapText="1"/>
    </xf>
    <xf numFmtId="0" fontId="73" fillId="0" borderId="108" xfId="0" applyFont="1" applyBorder="1" applyAlignment="1">
      <alignment horizontal="center" vertical="center" wrapText="1"/>
    </xf>
    <xf numFmtId="0" fontId="73" fillId="0" borderId="130" xfId="0" applyFont="1" applyBorder="1" applyAlignment="1">
      <alignment horizontal="center" vertical="center" wrapText="1"/>
    </xf>
    <xf numFmtId="0" fontId="128" fillId="0" borderId="60" xfId="0" applyFont="1" applyBorder="1" applyAlignment="1">
      <alignment horizontal="center" vertical="center"/>
    </xf>
    <xf numFmtId="0" fontId="128" fillId="0" borderId="128" xfId="0" applyFont="1" applyBorder="1" applyAlignment="1">
      <alignment horizontal="center" vertical="center"/>
    </xf>
    <xf numFmtId="0" fontId="73" fillId="0" borderId="103" xfId="0" applyFont="1" applyBorder="1" applyAlignment="1">
      <alignment horizontal="center" vertical="center"/>
    </xf>
    <xf numFmtId="0" fontId="73" fillId="0" borderId="105" xfId="0" applyFont="1" applyBorder="1" applyAlignment="1">
      <alignment horizontal="center" vertical="center"/>
    </xf>
    <xf numFmtId="0" fontId="73" fillId="0" borderId="72" xfId="0" applyFont="1" applyBorder="1" applyAlignment="1">
      <alignment horizontal="center" vertical="center" wrapText="1"/>
    </xf>
    <xf numFmtId="0" fontId="73" fillId="0" borderId="128" xfId="0" applyFont="1" applyBorder="1" applyAlignment="1">
      <alignment horizontal="center" vertical="center" wrapText="1"/>
    </xf>
    <xf numFmtId="0" fontId="73" fillId="0" borderId="103" xfId="0" applyFont="1" applyBorder="1" applyAlignment="1">
      <alignment horizontal="center" vertical="center" wrapText="1"/>
    </xf>
    <xf numFmtId="0" fontId="73" fillId="0" borderId="105" xfId="0" applyFont="1" applyBorder="1" applyAlignment="1">
      <alignment horizontal="center" vertical="center" wrapText="1"/>
    </xf>
    <xf numFmtId="0" fontId="132" fillId="0" borderId="60" xfId="0" applyFont="1" applyBorder="1" applyAlignment="1">
      <alignment horizontal="center" vertical="center"/>
    </xf>
    <xf numFmtId="0" fontId="132" fillId="0" borderId="128" xfId="0" applyFont="1" applyBorder="1" applyAlignment="1">
      <alignment horizontal="center" vertical="center"/>
    </xf>
    <xf numFmtId="0" fontId="133" fillId="0" borderId="0" xfId="0" applyFont="1" applyBorder="1" applyAlignment="1">
      <alignment horizontal="center" vertical="center"/>
    </xf>
    <xf numFmtId="0" fontId="133" fillId="0" borderId="15" xfId="0" applyFont="1" applyBorder="1" applyAlignment="1">
      <alignment horizontal="center" vertical="center"/>
    </xf>
    <xf numFmtId="0" fontId="133" fillId="0" borderId="13" xfId="0" applyFont="1" applyBorder="1" applyAlignment="1">
      <alignment horizontal="center" vertical="center"/>
    </xf>
    <xf numFmtId="0" fontId="133" fillId="0" borderId="14" xfId="0" applyFont="1" applyBorder="1" applyAlignment="1">
      <alignment horizontal="center" vertical="center"/>
    </xf>
    <xf numFmtId="0" fontId="80" fillId="37" borderId="20" xfId="0" applyFont="1" applyFill="1" applyBorder="1" applyAlignment="1">
      <alignment horizontal="center"/>
    </xf>
    <xf numFmtId="0" fontId="129" fillId="0" borderId="29" xfId="0" applyFont="1" applyBorder="1" applyAlignment="1">
      <alignment horizontal="center" vertical="center"/>
    </xf>
    <xf numFmtId="0" fontId="129" fillId="0" borderId="33" xfId="0" applyFont="1" applyBorder="1" applyAlignment="1">
      <alignment horizontal="center" vertical="center"/>
    </xf>
    <xf numFmtId="0" fontId="129" fillId="0" borderId="20" xfId="0" applyFont="1" applyBorder="1" applyAlignment="1">
      <alignment horizontal="center" vertical="center"/>
    </xf>
    <xf numFmtId="0" fontId="81" fillId="0" borderId="37" xfId="0" applyFont="1" applyBorder="1" applyAlignment="1">
      <alignment horizontal="center" vertical="center"/>
    </xf>
    <xf numFmtId="0" fontId="81" fillId="0" borderId="13" xfId="0" applyFont="1" applyBorder="1" applyAlignment="1">
      <alignment horizontal="center" vertical="center"/>
    </xf>
    <xf numFmtId="0" fontId="129" fillId="0" borderId="42" xfId="0" applyFont="1" applyBorder="1" applyAlignment="1">
      <alignment horizontal="center" vertical="center"/>
    </xf>
    <xf numFmtId="0" fontId="129" fillId="0" borderId="37" xfId="0" applyFont="1" applyBorder="1" applyAlignment="1">
      <alignment horizontal="center" vertical="center"/>
    </xf>
    <xf numFmtId="0" fontId="129" fillId="0" borderId="13" xfId="0" applyFont="1" applyBorder="1" applyAlignment="1">
      <alignment horizontal="center" vertical="center"/>
    </xf>
    <xf numFmtId="1" fontId="78" fillId="0" borderId="0" xfId="0" applyNumberFormat="1" applyFont="1" applyBorder="1" applyAlignment="1">
      <alignment horizontal="center" vertical="center"/>
    </xf>
    <xf numFmtId="1" fontId="78" fillId="0" borderId="13" xfId="0" applyNumberFormat="1" applyFont="1" applyBorder="1" applyAlignment="1">
      <alignment horizontal="center" vertical="center"/>
    </xf>
    <xf numFmtId="0" fontId="80" fillId="37" borderId="0" xfId="0" applyFont="1" applyFill="1" applyAlignment="1">
      <alignment horizontal="center" vertical="center"/>
    </xf>
    <xf numFmtId="0" fontId="73" fillId="0" borderId="106" xfId="0" applyFont="1" applyBorder="1" applyAlignment="1">
      <alignment horizontal="center" vertical="center" wrapText="1"/>
    </xf>
    <xf numFmtId="0" fontId="73" fillId="0" borderId="107" xfId="0" applyFont="1" applyBorder="1" applyAlignment="1">
      <alignment horizontal="center" vertical="center" wrapText="1"/>
    </xf>
    <xf numFmtId="0" fontId="78" fillId="0" borderId="0" xfId="0" applyFont="1" applyAlignment="1">
      <alignment horizontal="center" vertical="center"/>
    </xf>
    <xf numFmtId="0" fontId="131" fillId="0" borderId="37" xfId="0" applyFont="1" applyBorder="1" applyAlignment="1">
      <alignment horizontal="center" vertical="center"/>
    </xf>
    <xf numFmtId="0" fontId="131" fillId="0" borderId="13" xfId="0" applyFont="1" applyBorder="1" applyAlignment="1">
      <alignment horizontal="center" vertical="center"/>
    </xf>
  </cellXfs>
  <cellStyles count="5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 3 2" xfId="38"/>
    <cellStyle name="Обычный 3 3" xfId="50"/>
    <cellStyle name="Обычный 3 3 2 3 2" xfId="51"/>
    <cellStyle name="Обычный 4" xfId="39"/>
    <cellStyle name="Обычный_заготовка на 32" xfId="40"/>
    <cellStyle name="Обычный_Книга1" xfId="41"/>
    <cellStyle name="Обычный_Лист1" xfId="42"/>
    <cellStyle name="Плохой" xfId="43" builtinId="27" customBuiltin="1"/>
    <cellStyle name="Пояснение" xfId="44" builtinId="53" customBuiltin="1"/>
    <cellStyle name="Примечание" xfId="45" builtinId="10" customBuiltin="1"/>
    <cellStyle name="Связанная ячейка" xfId="46" builtinId="24" customBuiltin="1"/>
    <cellStyle name="Стиль 1" xfId="47"/>
    <cellStyle name="Текст предупреждения" xfId="48" builtinId="11" customBuiltin="1"/>
    <cellStyle name="Хороший" xfId="49" builtinId="26" customBuiltin="1"/>
  </cellStyles>
  <dxfs count="504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ill>
        <gradientFill degree="90">
          <stop position="0">
            <color theme="0"/>
          </stop>
          <stop position="1">
            <color theme="1" tint="0.34900967436750391"/>
          </stop>
        </gradientFill>
      </fill>
    </dxf>
  </dxfs>
  <tableStyles count="0" defaultTableStyle="TableStyleMedium9" defaultPivotStyle="PivotStyleLight16"/>
  <colors>
    <mruColors>
      <color rgb="FFFF684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1.xml"/><Relationship Id="rId50" Type="http://schemas.openxmlformats.org/officeDocument/2006/relationships/externalLink" Target="externalLinks/externalLink4.xml"/><Relationship Id="rId55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7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2.xml"/><Relationship Id="rId56" Type="http://schemas.openxmlformats.org/officeDocument/2006/relationships/externalLink" Target="externalLinks/externalLink10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3.xml"/><Relationship Id="rId57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6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&#1057;&#1086;&#1088;&#1077;&#1074;&#1085;&#1086;&#1074;&#1072;&#1085;&#1080;&#1103;\&#1056;&#1077;&#1079;&#1091;&#1083;&#1100;&#1090;&#1072;&#1090;&#1099;\&#1056;&#1086;&#1089;&#1089;&#1080;&#1081;&#1089;&#1082;&#1080;&#1077;\&#1042;%20Excel\2015%20&#1075;\&#1053;&#1056;_2004\&#1070;&#1053;_2004_&#1088;&#1077;&#1081;&#1090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&#1057;&#1086;&#1088;&#1077;&#1074;&#1085;&#1086;&#1074;&#1072;&#1085;&#1080;&#1103;\&#1056;&#1077;&#1079;&#1091;&#1083;&#1100;&#1090;&#1072;&#1090;&#1099;\&#1053;&#1080;&#1078;&#1077;&#1075;&#1086;&#1088;&#1086;&#1076;&#1089;&#1082;&#1080;&#1077;\Excel\2013\&#1052;&#1086;&#1080;%20&#1076;&#1086;&#1082;&#1091;&#1084;&#1077;&#1085;&#1090;&#1099;\&#1057;&#1086;&#1088;&#1077;&#1074;&#1085;&#1086;&#1074;&#1072;&#1085;&#1080;&#1103;\&#1056;&#1077;&#1079;&#1091;&#1083;&#1100;&#1090;&#1072;&#1090;&#1099;\&#1056;&#1086;&#1089;&#1089;&#1080;&#1081;&#1089;&#1082;&#1080;&#1077;\&#1042;%20Excel\2012%20&#1075;\&#1053;&#1056;2000\&#1070;&#1085;&#1086;&#1096;&#1080;%20&#1053;&#1056;200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&#1057;&#1086;&#1088;&#1077;&#1074;&#1085;&#1086;&#1074;&#1072;&#1085;&#1080;&#1103;\&#1044;&#1083;&#1103;%20&#1087;&#1088;&#1086;&#1074;&#1077;&#1076;&#1077;&#1085;&#1080;&#1103;%20&#1089;&#1086;&#1088;&#1077;&#1074;&#1085;&#1086;&#1074;&#1072;&#1080;&#1081;\&#1054;&#1073;&#1088;&#1072;&#1079;&#1077;&#1094;%20&#1076;&#1083;&#1103;%20&#1087;&#1088;&#1086;&#1074;&#1077;&#1076;&#1077;&#1085;&#1080;&#1103;\&#1044;&#1083;&#1103;%20&#1088;&#1072;&#1073;&#1086;&#1090;&#1099;\&#1053;&#1054;&#1042;_6\&#1070;&#1053;&#1054;&#1064;&#104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&#1057;&#1086;&#1088;&#1077;&#1074;&#1085;&#1086;&#1074;&#1072;&#1085;&#1080;&#1103;\&#1056;&#1077;&#1079;&#1091;&#1083;&#1100;&#1090;&#1072;&#1090;&#1099;\&#1053;&#1080;&#1078;&#1077;&#1075;&#1086;&#1088;&#1086;&#1076;&#1089;&#1082;&#1080;&#1077;\Excel\2013\&#1054;&#1073;&#1088;&#1072;&#1079;&#1077;&#1094;%20&#1076;&#1083;&#1103;%20&#1087;&#1088;&#1086;&#1074;&#1077;&#1076;&#1077;&#1085;&#1080;&#1103;\&#1044;&#1083;&#1103;%20&#1088;&#1072;&#1073;&#1086;&#1090;&#1099;\&#1044;&#1077;&#1074;&#1091;&#1096;&#1082;&#1080;%20&#1076;&#1083;&#1103;%20&#1088;&#1072;&#1073;&#1086;&#1090;&#1099;%20&#1087;&#1088;&#1086;&#1073;&#1085;&#1099;&#108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&#1057;&#1086;&#1088;&#1077;&#1074;&#1085;&#1086;&#1074;&#1072;&#1085;&#1080;&#1103;\&#1056;&#1077;&#1079;&#1091;&#1083;&#1100;&#1090;&#1072;&#1090;&#1099;\&#1053;&#1080;&#1078;&#1077;&#1075;&#1086;&#1088;&#1086;&#1076;&#1089;&#1082;&#1080;&#1077;\Excel\2013\&#1057;&#1086;&#1088;&#1077;&#1074;\&#1070;&#1085;&#1086;&#1096;&#1080;%20&#1087;&#1086;&#1089;&#1083;&#1077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ban/Desktop/&#1053;&#1056;_2004/&#1042;&#1057;_&#1053;&#1056;_&#1070;&#1053;_1811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&#1057;&#1086;&#1088;&#1077;&#1074;&#1085;&#1086;&#1074;&#1072;&#1085;&#1080;&#1103;\&#1044;&#1083;&#1103;%20&#1087;&#1088;&#1086;&#1074;&#1077;&#1076;&#1077;&#1085;&#1080;&#1103;%20&#1089;&#1086;&#1088;&#1077;&#1074;&#1085;&#1086;&#1074;&#1072;&#1080;&#1081;\&#1054;&#1073;&#1088;&#1072;&#1079;&#1077;&#1094;%20&#1076;&#1083;&#1103;%20&#1087;&#1088;&#1086;&#1074;&#1077;&#1076;&#1077;&#1085;&#1080;&#1103;\&#1044;&#1083;&#1103;%20&#1088;&#1072;&#1073;&#1086;&#1090;&#1099;\&#1044;&#1083;&#1103;%20&#1087;&#1088;&#1086;&#1074;&#1077;&#1076;&#1077;&#1085;&#1080;&#1103;\&#1070;&#1085;_&#1088;&#1072;&#1073;_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nte%20und%20Einstellungen\FINK\Lokale%20Einstellungen\Temporary%20Internet%20Files\OLK28\Final%20Entires\G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1&#1025;\Desktop\&#1053;&#1056;%201998\&#1070;&#1085;&#1086;&#1096;&#1080;%209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&#1057;&#1086;&#1088;&#1077;&#1074;&#1085;&#1086;&#1074;&#1072;&#1085;&#1080;&#1103;\&#1044;&#1083;&#1103;%20&#1087;&#1088;&#1086;&#1074;&#1077;&#1076;&#1077;&#1085;&#1080;&#1103;%20&#1089;&#1086;&#1088;&#1077;&#1074;&#1085;&#1086;&#1074;&#1072;&#1080;&#1081;\&#1054;&#1073;&#1088;&#1072;&#1079;&#1077;&#1094;%20&#1076;&#1083;&#1103;%20&#1087;&#1088;&#1086;&#1074;&#1077;&#1076;&#1077;&#1085;&#1080;&#1103;\&#1044;&#1083;&#1103;%20&#1088;&#1072;&#1073;&#1086;&#1090;&#1099;\&#1044;&#1083;&#1103;%20&#1087;&#1088;&#1086;&#1074;&#1077;&#1076;&#1077;&#1085;&#1080;&#1103;\&#1044;&#1077;&#1074;&#1091;&#1096;&#1082;&#1080;%20&#1076;&#1083;&#1103;%20&#1088;&#1072;&#1073;&#1086;&#1090;&#1099;%20&#1087;&#1088;&#1086;&#1073;&#1085;&#1099;&#1081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&#1057;&#1086;&#1088;&#1077;&#1074;&#1085;&#1086;&#1074;&#1072;&#1085;&#1080;&#1103;\&#1056;&#1077;&#1079;&#1091;&#1083;&#1100;&#1090;&#1072;&#1090;&#1099;\&#1056;&#1086;&#1089;&#1089;&#1080;&#1081;&#1089;&#1082;&#1080;&#1077;\&#1042;%20Excel\2012%20&#1075;\&#1053;&#1056;2000\&#1070;&#1085;&#1086;&#1096;&#1080;%20&#1053;&#1056;2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-Муж"/>
      <sheetName val="Жеребьевка"/>
      <sheetName val="Для судей"/>
      <sheetName val="Списки участников"/>
      <sheetName val="гр (1-8)"/>
      <sheetName val="гр (9-16)"/>
      <sheetName val="гр (17-24)"/>
      <sheetName val="гр (25-32)"/>
      <sheetName val="ПФ1(1-8)"/>
      <sheetName val="ПФ1(9-16)"/>
      <sheetName val="ПФ2(1-8)"/>
      <sheetName val="ПФ2(9-16)"/>
      <sheetName val="1Ф КРУГ"/>
      <sheetName val="2Ф КРУГ"/>
      <sheetName val="3Ф КРУГ"/>
      <sheetName val="4Ф КРУГ"/>
      <sheetName val="Ф-л(-32)"/>
      <sheetName val="5Ф"/>
      <sheetName val="Ф-л(16)"/>
      <sheetName val="Ф-л(-16)"/>
      <sheetName val="5Ф-проба"/>
      <sheetName val="6Ф"/>
      <sheetName val="св.прот 1ф"/>
      <sheetName val="св.прот 2ф"/>
      <sheetName val="св.прот 3ф"/>
      <sheetName val="св.прот 4ф"/>
      <sheetName val="Пр(-32)"/>
      <sheetName val="ПР5Ф"/>
      <sheetName val="Пр(16)"/>
      <sheetName val="Пр(-16)"/>
      <sheetName val="Порядок встреч 1Ф"/>
      <sheetName val="Порядок встреч 2Ф"/>
      <sheetName val="Порядок встреч 3Ф"/>
      <sheetName val="Порядок встреч 4Ф"/>
      <sheetName val="ПР5Ф_проба"/>
      <sheetName val="ПР6Ф"/>
      <sheetName val="Бегунки 1Ф"/>
      <sheetName val="Лист1"/>
      <sheetName val="Бегунки 2Ф"/>
      <sheetName val="Бегунки 3Ф"/>
      <sheetName val="Бегунки 4Ф"/>
      <sheetName val="Плейофф"/>
      <sheetName val="ОФП"/>
      <sheetName val="ОФП и СФП"/>
      <sheetName val="Места в группе"/>
      <sheetName val="Расчет"/>
    </sheetNames>
    <sheetDataSet>
      <sheetData sheetId="0"/>
      <sheetData sheetId="1"/>
      <sheetData sheetId="2"/>
      <sheetData sheetId="3">
        <row r="1">
          <cell r="A1" t="str">
            <v>Всероссийский турнир "Надежды России"</v>
          </cell>
        </row>
      </sheetData>
      <sheetData sheetId="4">
        <row r="5">
          <cell r="AP5">
            <v>6</v>
          </cell>
          <cell r="AQ5">
            <v>0</v>
          </cell>
        </row>
        <row r="6">
          <cell r="AP6">
            <v>0</v>
          </cell>
          <cell r="AQ6">
            <v>0</v>
          </cell>
        </row>
        <row r="7">
          <cell r="AP7">
            <v>5</v>
          </cell>
          <cell r="AQ7">
            <v>0</v>
          </cell>
        </row>
        <row r="8">
          <cell r="AP8">
            <v>0</v>
          </cell>
          <cell r="AQ8">
            <v>0</v>
          </cell>
        </row>
        <row r="9">
          <cell r="AP9">
            <v>4</v>
          </cell>
          <cell r="AQ9">
            <v>0</v>
          </cell>
        </row>
        <row r="10">
          <cell r="AP10">
            <v>0</v>
          </cell>
          <cell r="AQ10">
            <v>0</v>
          </cell>
        </row>
        <row r="11">
          <cell r="AP11">
            <v>3</v>
          </cell>
          <cell r="AQ11">
            <v>0</v>
          </cell>
        </row>
        <row r="12">
          <cell r="AP12">
            <v>0</v>
          </cell>
          <cell r="AQ12">
            <v>0</v>
          </cell>
        </row>
        <row r="13">
          <cell r="AP13" t="str">
            <v/>
          </cell>
          <cell r="AQ13">
            <v>0</v>
          </cell>
        </row>
        <row r="14">
          <cell r="AP14">
            <v>0</v>
          </cell>
          <cell r="AQ14">
            <v>0</v>
          </cell>
        </row>
        <row r="17">
          <cell r="AP17">
            <v>6</v>
          </cell>
          <cell r="AQ17">
            <v>0</v>
          </cell>
        </row>
        <row r="18">
          <cell r="AP18">
            <v>0</v>
          </cell>
          <cell r="AQ18">
            <v>0</v>
          </cell>
        </row>
        <row r="19">
          <cell r="AP19">
            <v>4</v>
          </cell>
          <cell r="AQ19">
            <v>0</v>
          </cell>
        </row>
        <row r="20">
          <cell r="AP20">
            <v>0</v>
          </cell>
          <cell r="AQ20">
            <v>0</v>
          </cell>
        </row>
        <row r="21">
          <cell r="AP21">
            <v>5</v>
          </cell>
          <cell r="AQ21">
            <v>0</v>
          </cell>
        </row>
        <row r="22">
          <cell r="AP22">
            <v>0</v>
          </cell>
          <cell r="AQ22">
            <v>0</v>
          </cell>
        </row>
        <row r="23">
          <cell r="AP23">
            <v>3</v>
          </cell>
          <cell r="AQ23">
            <v>0</v>
          </cell>
        </row>
        <row r="24">
          <cell r="AP24">
            <v>0</v>
          </cell>
          <cell r="AQ24">
            <v>0</v>
          </cell>
        </row>
        <row r="25">
          <cell r="AP25" t="str">
            <v/>
          </cell>
          <cell r="AQ25">
            <v>0</v>
          </cell>
        </row>
        <row r="26">
          <cell r="AP26">
            <v>0</v>
          </cell>
          <cell r="AQ26">
            <v>0</v>
          </cell>
        </row>
        <row r="29">
          <cell r="AP29">
            <v>6</v>
          </cell>
          <cell r="AQ29">
            <v>0</v>
          </cell>
        </row>
        <row r="30">
          <cell r="AP30">
            <v>0</v>
          </cell>
          <cell r="AQ30">
            <v>0</v>
          </cell>
        </row>
        <row r="31">
          <cell r="AP31">
            <v>4</v>
          </cell>
          <cell r="AQ31">
            <v>0</v>
          </cell>
        </row>
        <row r="32">
          <cell r="AP32">
            <v>0</v>
          </cell>
          <cell r="AQ32">
            <v>0</v>
          </cell>
        </row>
        <row r="33">
          <cell r="AP33">
            <v>5</v>
          </cell>
          <cell r="AQ33">
            <v>0</v>
          </cell>
        </row>
        <row r="34">
          <cell r="AP34">
            <v>0</v>
          </cell>
          <cell r="AQ34">
            <v>0</v>
          </cell>
        </row>
        <row r="35">
          <cell r="AP35">
            <v>3</v>
          </cell>
          <cell r="AQ35">
            <v>0</v>
          </cell>
        </row>
        <row r="36">
          <cell r="AP36">
            <v>0</v>
          </cell>
          <cell r="AQ36">
            <v>0</v>
          </cell>
        </row>
        <row r="37">
          <cell r="AP37" t="str">
            <v/>
          </cell>
          <cell r="AQ37">
            <v>0</v>
          </cell>
        </row>
        <row r="38">
          <cell r="AP38">
            <v>0</v>
          </cell>
          <cell r="AQ38">
            <v>0</v>
          </cell>
        </row>
        <row r="41">
          <cell r="AP41">
            <v>6</v>
          </cell>
          <cell r="AQ41">
            <v>0</v>
          </cell>
        </row>
        <row r="42">
          <cell r="AP42">
            <v>0</v>
          </cell>
          <cell r="AQ42">
            <v>0</v>
          </cell>
        </row>
        <row r="43">
          <cell r="AP43">
            <v>5</v>
          </cell>
          <cell r="AQ43">
            <v>0</v>
          </cell>
        </row>
        <row r="44">
          <cell r="AP44">
            <v>0</v>
          </cell>
          <cell r="AQ44">
            <v>0</v>
          </cell>
        </row>
        <row r="45">
          <cell r="AP45">
            <v>4</v>
          </cell>
          <cell r="AQ45">
            <v>0</v>
          </cell>
        </row>
        <row r="46">
          <cell r="AP46">
            <v>0</v>
          </cell>
          <cell r="AQ46">
            <v>0</v>
          </cell>
        </row>
        <row r="47">
          <cell r="AP47">
            <v>3</v>
          </cell>
          <cell r="AQ47">
            <v>0</v>
          </cell>
        </row>
        <row r="48">
          <cell r="AP48">
            <v>0</v>
          </cell>
          <cell r="AQ48">
            <v>0</v>
          </cell>
        </row>
        <row r="49">
          <cell r="AP49" t="str">
            <v/>
          </cell>
          <cell r="AQ49">
            <v>0</v>
          </cell>
        </row>
        <row r="50">
          <cell r="AP50">
            <v>0</v>
          </cell>
          <cell r="AQ50">
            <v>0</v>
          </cell>
        </row>
      </sheetData>
      <sheetData sheetId="5">
        <row r="5">
          <cell r="S5">
            <v>6</v>
          </cell>
          <cell r="T5">
            <v>0</v>
          </cell>
          <cell r="AP5">
            <v>6</v>
          </cell>
          <cell r="AQ5">
            <v>0</v>
          </cell>
        </row>
        <row r="6">
          <cell r="S6">
            <v>0</v>
          </cell>
          <cell r="T6">
            <v>0</v>
          </cell>
          <cell r="AP6">
            <v>0</v>
          </cell>
          <cell r="AQ6">
            <v>0</v>
          </cell>
        </row>
        <row r="7">
          <cell r="S7">
            <v>5</v>
          </cell>
          <cell r="T7">
            <v>0</v>
          </cell>
          <cell r="AP7">
            <v>5</v>
          </cell>
          <cell r="AQ7">
            <v>0</v>
          </cell>
        </row>
        <row r="8">
          <cell r="S8">
            <v>0</v>
          </cell>
          <cell r="T8">
            <v>0</v>
          </cell>
          <cell r="AP8">
            <v>0</v>
          </cell>
          <cell r="AQ8">
            <v>0</v>
          </cell>
        </row>
        <row r="9">
          <cell r="S9">
            <v>4</v>
          </cell>
          <cell r="T9">
            <v>0</v>
          </cell>
          <cell r="AP9">
            <v>4</v>
          </cell>
          <cell r="AQ9">
            <v>0</v>
          </cell>
        </row>
        <row r="10">
          <cell r="S10">
            <v>0</v>
          </cell>
          <cell r="T10">
            <v>0</v>
          </cell>
          <cell r="AP10">
            <v>0</v>
          </cell>
          <cell r="AQ10">
            <v>0</v>
          </cell>
        </row>
        <row r="11">
          <cell r="S11">
            <v>3</v>
          </cell>
          <cell r="T11">
            <v>0</v>
          </cell>
          <cell r="AP11">
            <v>3</v>
          </cell>
          <cell r="AQ11">
            <v>0</v>
          </cell>
        </row>
        <row r="12">
          <cell r="S12">
            <v>0</v>
          </cell>
          <cell r="T12">
            <v>0</v>
          </cell>
          <cell r="AP12">
            <v>0</v>
          </cell>
          <cell r="AQ12">
            <v>0</v>
          </cell>
        </row>
        <row r="13">
          <cell r="S13" t="str">
            <v/>
          </cell>
          <cell r="T13">
            <v>0</v>
          </cell>
          <cell r="AP13" t="str">
            <v/>
          </cell>
          <cell r="AQ13">
            <v>0</v>
          </cell>
        </row>
        <row r="14">
          <cell r="S14">
            <v>0</v>
          </cell>
          <cell r="T14">
            <v>0</v>
          </cell>
          <cell r="AP14">
            <v>0</v>
          </cell>
          <cell r="AQ14">
            <v>0</v>
          </cell>
        </row>
        <row r="17">
          <cell r="S17">
            <v>6</v>
          </cell>
          <cell r="T17">
            <v>0</v>
          </cell>
          <cell r="AP17">
            <v>6</v>
          </cell>
          <cell r="AQ17">
            <v>0</v>
          </cell>
        </row>
        <row r="18">
          <cell r="S18">
            <v>0</v>
          </cell>
          <cell r="T18">
            <v>0</v>
          </cell>
          <cell r="AP18">
            <v>0</v>
          </cell>
          <cell r="AQ18">
            <v>0</v>
          </cell>
        </row>
        <row r="19">
          <cell r="S19">
            <v>5</v>
          </cell>
          <cell r="T19">
            <v>0</v>
          </cell>
          <cell r="AP19">
            <v>5</v>
          </cell>
          <cell r="AQ19">
            <v>0</v>
          </cell>
        </row>
        <row r="20">
          <cell r="S20">
            <v>0</v>
          </cell>
          <cell r="T20">
            <v>0</v>
          </cell>
          <cell r="AP20">
            <v>0</v>
          </cell>
          <cell r="AQ20">
            <v>0</v>
          </cell>
        </row>
        <row r="21">
          <cell r="S21">
            <v>4</v>
          </cell>
          <cell r="T21">
            <v>0</v>
          </cell>
          <cell r="AP21">
            <v>4</v>
          </cell>
          <cell r="AQ21">
            <v>0</v>
          </cell>
        </row>
        <row r="22">
          <cell r="S22">
            <v>0</v>
          </cell>
          <cell r="T22">
            <v>0</v>
          </cell>
          <cell r="AP22">
            <v>0</v>
          </cell>
          <cell r="AQ22">
            <v>0</v>
          </cell>
        </row>
        <row r="23">
          <cell r="S23">
            <v>3</v>
          </cell>
          <cell r="T23">
            <v>0</v>
          </cell>
          <cell r="AP23">
            <v>3</v>
          </cell>
          <cell r="AQ23">
            <v>0</v>
          </cell>
        </row>
        <row r="24">
          <cell r="S24">
            <v>0</v>
          </cell>
          <cell r="T24">
            <v>0</v>
          </cell>
          <cell r="AP24">
            <v>0</v>
          </cell>
          <cell r="AQ24">
            <v>0</v>
          </cell>
        </row>
        <row r="25">
          <cell r="S25" t="str">
            <v/>
          </cell>
          <cell r="T25">
            <v>0</v>
          </cell>
          <cell r="AP25" t="str">
            <v/>
          </cell>
          <cell r="AQ25">
            <v>0</v>
          </cell>
        </row>
        <row r="26">
          <cell r="S26">
            <v>0</v>
          </cell>
          <cell r="T26">
            <v>0</v>
          </cell>
          <cell r="AP26">
            <v>0</v>
          </cell>
          <cell r="AQ26">
            <v>0</v>
          </cell>
        </row>
        <row r="29">
          <cell r="S29">
            <v>6</v>
          </cell>
          <cell r="T29">
            <v>0</v>
          </cell>
          <cell r="AP29">
            <v>5</v>
          </cell>
          <cell r="AQ29">
            <v>0</v>
          </cell>
        </row>
        <row r="30">
          <cell r="S30">
            <v>0</v>
          </cell>
          <cell r="T30">
            <v>0</v>
          </cell>
          <cell r="AP30">
            <v>0</v>
          </cell>
          <cell r="AQ30">
            <v>0</v>
          </cell>
        </row>
        <row r="31">
          <cell r="S31">
            <v>4</v>
          </cell>
          <cell r="T31">
            <v>0</v>
          </cell>
          <cell r="AP31">
            <v>6</v>
          </cell>
          <cell r="AQ31">
            <v>0</v>
          </cell>
        </row>
        <row r="32">
          <cell r="S32">
            <v>0</v>
          </cell>
          <cell r="T32">
            <v>0</v>
          </cell>
          <cell r="AP32">
            <v>0</v>
          </cell>
          <cell r="AQ32">
            <v>0</v>
          </cell>
        </row>
        <row r="33">
          <cell r="S33">
            <v>5</v>
          </cell>
          <cell r="T33">
            <v>0</v>
          </cell>
          <cell r="AP33">
            <v>4</v>
          </cell>
          <cell r="AQ33">
            <v>0</v>
          </cell>
        </row>
        <row r="34">
          <cell r="S34">
            <v>0</v>
          </cell>
          <cell r="T34">
            <v>0</v>
          </cell>
          <cell r="AP34">
            <v>0</v>
          </cell>
          <cell r="AQ34">
            <v>0</v>
          </cell>
        </row>
        <row r="35">
          <cell r="S35">
            <v>3</v>
          </cell>
          <cell r="T35">
            <v>0</v>
          </cell>
          <cell r="AP35">
            <v>3</v>
          </cell>
          <cell r="AQ35">
            <v>0</v>
          </cell>
        </row>
        <row r="36">
          <cell r="S36">
            <v>0</v>
          </cell>
          <cell r="T36">
            <v>0</v>
          </cell>
          <cell r="AP36">
            <v>0</v>
          </cell>
          <cell r="AQ36">
            <v>0</v>
          </cell>
        </row>
        <row r="37">
          <cell r="S37" t="str">
            <v/>
          </cell>
          <cell r="T37">
            <v>0</v>
          </cell>
          <cell r="AP37" t="str">
            <v/>
          </cell>
          <cell r="AQ37">
            <v>0</v>
          </cell>
        </row>
        <row r="38">
          <cell r="S38">
            <v>0</v>
          </cell>
          <cell r="T38">
            <v>0</v>
          </cell>
          <cell r="AP38">
            <v>0</v>
          </cell>
          <cell r="AQ38">
            <v>0</v>
          </cell>
        </row>
        <row r="41">
          <cell r="S41">
            <v>6</v>
          </cell>
          <cell r="T41">
            <v>0</v>
          </cell>
          <cell r="AP41">
            <v>6</v>
          </cell>
          <cell r="AQ41">
            <v>0</v>
          </cell>
        </row>
        <row r="42">
          <cell r="S42">
            <v>0</v>
          </cell>
          <cell r="T42">
            <v>0</v>
          </cell>
          <cell r="AP42">
            <v>0</v>
          </cell>
          <cell r="AQ42">
            <v>0</v>
          </cell>
        </row>
        <row r="43">
          <cell r="S43">
            <v>5</v>
          </cell>
          <cell r="T43">
            <v>0</v>
          </cell>
          <cell r="AP43">
            <v>5</v>
          </cell>
          <cell r="AQ43">
            <v>0</v>
          </cell>
        </row>
        <row r="44">
          <cell r="S44">
            <v>0</v>
          </cell>
          <cell r="T44">
            <v>0</v>
          </cell>
          <cell r="AP44">
            <v>0</v>
          </cell>
          <cell r="AQ44">
            <v>0</v>
          </cell>
        </row>
        <row r="45">
          <cell r="S45">
            <v>4</v>
          </cell>
          <cell r="T45">
            <v>0</v>
          </cell>
          <cell r="AP45">
            <v>4</v>
          </cell>
          <cell r="AQ45">
            <v>0</v>
          </cell>
        </row>
        <row r="46">
          <cell r="S46">
            <v>0</v>
          </cell>
          <cell r="T46">
            <v>0</v>
          </cell>
          <cell r="AP46">
            <v>0</v>
          </cell>
          <cell r="AQ46">
            <v>0</v>
          </cell>
        </row>
        <row r="47">
          <cell r="S47">
            <v>3</v>
          </cell>
          <cell r="T47">
            <v>0</v>
          </cell>
          <cell r="AP47">
            <v>3</v>
          </cell>
          <cell r="AQ47">
            <v>0</v>
          </cell>
        </row>
        <row r="48">
          <cell r="S48">
            <v>0</v>
          </cell>
          <cell r="T48">
            <v>0</v>
          </cell>
          <cell r="AP48">
            <v>0</v>
          </cell>
          <cell r="AQ48">
            <v>0</v>
          </cell>
        </row>
        <row r="49">
          <cell r="S49" t="str">
            <v/>
          </cell>
          <cell r="T49">
            <v>0</v>
          </cell>
          <cell r="AP49" t="str">
            <v/>
          </cell>
          <cell r="AQ49">
            <v>0</v>
          </cell>
        </row>
        <row r="50">
          <cell r="S50">
            <v>0</v>
          </cell>
          <cell r="T50">
            <v>0</v>
          </cell>
          <cell r="AP50">
            <v>0</v>
          </cell>
          <cell r="AQ50">
            <v>0</v>
          </cell>
        </row>
      </sheetData>
      <sheetData sheetId="6">
        <row r="5">
          <cell r="S5">
            <v>5</v>
          </cell>
          <cell r="T5">
            <v>0</v>
          </cell>
          <cell r="AP5">
            <v>5</v>
          </cell>
          <cell r="AQ5">
            <v>0</v>
          </cell>
        </row>
        <row r="6">
          <cell r="S6">
            <v>0</v>
          </cell>
          <cell r="T6">
            <v>0</v>
          </cell>
          <cell r="AP6">
            <v>0</v>
          </cell>
          <cell r="AQ6">
            <v>0</v>
          </cell>
        </row>
        <row r="7">
          <cell r="S7">
            <v>6</v>
          </cell>
          <cell r="T7">
            <v>0</v>
          </cell>
          <cell r="AP7">
            <v>6</v>
          </cell>
          <cell r="AQ7">
            <v>0</v>
          </cell>
        </row>
        <row r="8">
          <cell r="S8">
            <v>0</v>
          </cell>
          <cell r="T8">
            <v>0</v>
          </cell>
          <cell r="AP8">
            <v>0</v>
          </cell>
          <cell r="AQ8">
            <v>0</v>
          </cell>
        </row>
        <row r="9">
          <cell r="S9">
            <v>4</v>
          </cell>
          <cell r="T9">
            <v>0</v>
          </cell>
          <cell r="AP9">
            <v>3</v>
          </cell>
          <cell r="AQ9">
            <v>0</v>
          </cell>
        </row>
        <row r="10">
          <cell r="S10">
            <v>0</v>
          </cell>
          <cell r="T10">
            <v>0</v>
          </cell>
          <cell r="AP10">
            <v>0</v>
          </cell>
          <cell r="AQ10">
            <v>0</v>
          </cell>
        </row>
        <row r="11">
          <cell r="S11">
            <v>3</v>
          </cell>
          <cell r="T11">
            <v>0</v>
          </cell>
          <cell r="AP11">
            <v>4</v>
          </cell>
          <cell r="AQ11">
            <v>0</v>
          </cell>
        </row>
        <row r="12">
          <cell r="S12">
            <v>0</v>
          </cell>
          <cell r="T12">
            <v>0</v>
          </cell>
          <cell r="AP12">
            <v>0</v>
          </cell>
          <cell r="AQ12">
            <v>0</v>
          </cell>
        </row>
        <row r="13">
          <cell r="S13" t="str">
            <v/>
          </cell>
          <cell r="T13">
            <v>0</v>
          </cell>
          <cell r="AP13" t="str">
            <v/>
          </cell>
          <cell r="AQ13">
            <v>0</v>
          </cell>
        </row>
        <row r="14">
          <cell r="S14">
            <v>0</v>
          </cell>
          <cell r="T14">
            <v>0</v>
          </cell>
          <cell r="AP14">
            <v>0</v>
          </cell>
          <cell r="AQ14">
            <v>0</v>
          </cell>
        </row>
        <row r="17">
          <cell r="S17">
            <v>6</v>
          </cell>
          <cell r="T17">
            <v>0</v>
          </cell>
          <cell r="AP17">
            <v>6</v>
          </cell>
          <cell r="AQ17">
            <v>0</v>
          </cell>
        </row>
        <row r="18">
          <cell r="S18">
            <v>0</v>
          </cell>
          <cell r="T18">
            <v>0</v>
          </cell>
          <cell r="AP18">
            <v>0</v>
          </cell>
          <cell r="AQ18">
            <v>0</v>
          </cell>
        </row>
        <row r="19">
          <cell r="S19">
            <v>5</v>
          </cell>
          <cell r="T19">
            <v>0</v>
          </cell>
          <cell r="AP19">
            <v>5</v>
          </cell>
          <cell r="AQ19">
            <v>0</v>
          </cell>
        </row>
        <row r="20">
          <cell r="S20">
            <v>0</v>
          </cell>
          <cell r="T20">
            <v>0</v>
          </cell>
          <cell r="AP20">
            <v>0</v>
          </cell>
          <cell r="AQ20">
            <v>0</v>
          </cell>
        </row>
        <row r="21">
          <cell r="S21">
            <v>4</v>
          </cell>
          <cell r="T21">
            <v>0</v>
          </cell>
          <cell r="AP21">
            <v>3</v>
          </cell>
          <cell r="AQ21">
            <v>0</v>
          </cell>
        </row>
        <row r="22">
          <cell r="S22">
            <v>0</v>
          </cell>
          <cell r="T22">
            <v>0</v>
          </cell>
          <cell r="AP22">
            <v>0</v>
          </cell>
          <cell r="AQ22">
            <v>0</v>
          </cell>
        </row>
        <row r="23">
          <cell r="S23">
            <v>3</v>
          </cell>
          <cell r="T23">
            <v>0</v>
          </cell>
          <cell r="AP23">
            <v>4</v>
          </cell>
          <cell r="AQ23">
            <v>0</v>
          </cell>
        </row>
        <row r="24">
          <cell r="S24">
            <v>0</v>
          </cell>
          <cell r="T24">
            <v>0</v>
          </cell>
          <cell r="AP24">
            <v>0</v>
          </cell>
          <cell r="AQ24">
            <v>0</v>
          </cell>
        </row>
        <row r="25">
          <cell r="S25" t="str">
            <v/>
          </cell>
          <cell r="T25">
            <v>0</v>
          </cell>
          <cell r="AP25" t="str">
            <v/>
          </cell>
          <cell r="AQ25">
            <v>0</v>
          </cell>
        </row>
        <row r="26">
          <cell r="S26">
            <v>0</v>
          </cell>
          <cell r="T26">
            <v>0</v>
          </cell>
          <cell r="AP26">
            <v>0</v>
          </cell>
          <cell r="AQ26">
            <v>0</v>
          </cell>
        </row>
        <row r="29">
          <cell r="S29">
            <v>6</v>
          </cell>
          <cell r="T29">
            <v>0</v>
          </cell>
          <cell r="AP29">
            <v>5</v>
          </cell>
          <cell r="AQ29">
            <v>0</v>
          </cell>
        </row>
        <row r="30">
          <cell r="S30">
            <v>0</v>
          </cell>
          <cell r="T30">
            <v>0</v>
          </cell>
          <cell r="AP30">
            <v>0</v>
          </cell>
          <cell r="AQ30">
            <v>0</v>
          </cell>
        </row>
        <row r="31">
          <cell r="S31">
            <v>5</v>
          </cell>
          <cell r="T31">
            <v>0</v>
          </cell>
          <cell r="AP31">
            <v>5</v>
          </cell>
          <cell r="AQ31">
            <v>0</v>
          </cell>
        </row>
        <row r="32">
          <cell r="S32">
            <v>0</v>
          </cell>
          <cell r="T32">
            <v>0</v>
          </cell>
          <cell r="AP32">
            <v>0</v>
          </cell>
          <cell r="AQ32">
            <v>0</v>
          </cell>
        </row>
        <row r="33">
          <cell r="S33">
            <v>4</v>
          </cell>
          <cell r="T33">
            <v>0</v>
          </cell>
          <cell r="AP33">
            <v>5</v>
          </cell>
          <cell r="AQ33">
            <v>0</v>
          </cell>
        </row>
        <row r="34">
          <cell r="S34">
            <v>0</v>
          </cell>
          <cell r="T34">
            <v>0</v>
          </cell>
          <cell r="AP34">
            <v>0</v>
          </cell>
          <cell r="AQ34">
            <v>0</v>
          </cell>
        </row>
        <row r="35">
          <cell r="S35">
            <v>3</v>
          </cell>
          <cell r="T35">
            <v>0</v>
          </cell>
          <cell r="AP35">
            <v>3</v>
          </cell>
          <cell r="AQ35">
            <v>0</v>
          </cell>
        </row>
        <row r="36">
          <cell r="S36">
            <v>0</v>
          </cell>
          <cell r="T36">
            <v>0</v>
          </cell>
          <cell r="AP36">
            <v>0</v>
          </cell>
          <cell r="AQ36">
            <v>0</v>
          </cell>
        </row>
        <row r="37">
          <cell r="S37" t="str">
            <v/>
          </cell>
          <cell r="T37">
            <v>0</v>
          </cell>
          <cell r="AP37" t="str">
            <v/>
          </cell>
          <cell r="AQ37">
            <v>0</v>
          </cell>
        </row>
        <row r="38">
          <cell r="S38">
            <v>0</v>
          </cell>
          <cell r="T38">
            <v>0</v>
          </cell>
          <cell r="AP38">
            <v>0</v>
          </cell>
          <cell r="AQ38">
            <v>0</v>
          </cell>
        </row>
        <row r="41">
          <cell r="S41">
            <v>5</v>
          </cell>
          <cell r="T41">
            <v>0</v>
          </cell>
          <cell r="AP41">
            <v>6</v>
          </cell>
          <cell r="AQ41">
            <v>0</v>
          </cell>
        </row>
        <row r="42">
          <cell r="S42">
            <v>0</v>
          </cell>
          <cell r="T42">
            <v>0</v>
          </cell>
          <cell r="AP42">
            <v>0</v>
          </cell>
          <cell r="AQ42">
            <v>0</v>
          </cell>
        </row>
        <row r="43">
          <cell r="S43">
            <v>6</v>
          </cell>
          <cell r="T43">
            <v>0</v>
          </cell>
          <cell r="AP43">
            <v>5</v>
          </cell>
          <cell r="AQ43">
            <v>0</v>
          </cell>
        </row>
        <row r="44">
          <cell r="S44">
            <v>0</v>
          </cell>
          <cell r="T44">
            <v>0</v>
          </cell>
          <cell r="AP44">
            <v>0</v>
          </cell>
          <cell r="AQ44">
            <v>0</v>
          </cell>
        </row>
        <row r="45">
          <cell r="S45">
            <v>4</v>
          </cell>
          <cell r="T45">
            <v>0</v>
          </cell>
          <cell r="AP45">
            <v>4</v>
          </cell>
          <cell r="AQ45">
            <v>0</v>
          </cell>
        </row>
        <row r="46">
          <cell r="S46">
            <v>0</v>
          </cell>
          <cell r="T46">
            <v>0</v>
          </cell>
          <cell r="AP46">
            <v>0</v>
          </cell>
          <cell r="AQ46">
            <v>0</v>
          </cell>
        </row>
        <row r="47">
          <cell r="S47">
            <v>3</v>
          </cell>
          <cell r="T47">
            <v>0</v>
          </cell>
          <cell r="AP47">
            <v>3</v>
          </cell>
          <cell r="AQ47">
            <v>0</v>
          </cell>
        </row>
        <row r="48">
          <cell r="S48">
            <v>0</v>
          </cell>
          <cell r="T48">
            <v>0</v>
          </cell>
          <cell r="AP48">
            <v>0</v>
          </cell>
          <cell r="AQ48">
            <v>0</v>
          </cell>
        </row>
        <row r="49">
          <cell r="S49" t="str">
            <v/>
          </cell>
          <cell r="T49">
            <v>0</v>
          </cell>
          <cell r="AP49" t="str">
            <v/>
          </cell>
          <cell r="AQ49">
            <v>0</v>
          </cell>
        </row>
        <row r="50">
          <cell r="S50">
            <v>0</v>
          </cell>
          <cell r="T50">
            <v>0</v>
          </cell>
          <cell r="AP50">
            <v>0</v>
          </cell>
          <cell r="AQ50">
            <v>0</v>
          </cell>
        </row>
      </sheetData>
      <sheetData sheetId="7">
        <row r="5">
          <cell r="S5">
            <v>5</v>
          </cell>
          <cell r="T5">
            <v>0</v>
          </cell>
          <cell r="AP5">
            <v>6</v>
          </cell>
          <cell r="AQ5">
            <v>0</v>
          </cell>
        </row>
        <row r="6">
          <cell r="S6">
            <v>0</v>
          </cell>
          <cell r="T6">
            <v>0</v>
          </cell>
          <cell r="AP6">
            <v>0</v>
          </cell>
          <cell r="AQ6">
            <v>0</v>
          </cell>
        </row>
        <row r="7">
          <cell r="S7">
            <v>6</v>
          </cell>
          <cell r="T7">
            <v>0</v>
          </cell>
          <cell r="AP7">
            <v>5</v>
          </cell>
          <cell r="AQ7">
            <v>0</v>
          </cell>
        </row>
        <row r="8">
          <cell r="S8">
            <v>0</v>
          </cell>
          <cell r="T8">
            <v>0</v>
          </cell>
          <cell r="AP8">
            <v>0</v>
          </cell>
          <cell r="AQ8">
            <v>0</v>
          </cell>
        </row>
        <row r="9">
          <cell r="S9">
            <v>3</v>
          </cell>
          <cell r="T9">
            <v>0</v>
          </cell>
          <cell r="AP9">
            <v>3</v>
          </cell>
          <cell r="AQ9">
            <v>0</v>
          </cell>
        </row>
        <row r="10">
          <cell r="S10">
            <v>0</v>
          </cell>
          <cell r="T10">
            <v>0</v>
          </cell>
          <cell r="AP10">
            <v>0</v>
          </cell>
          <cell r="AQ10">
            <v>0</v>
          </cell>
        </row>
        <row r="11">
          <cell r="S11">
            <v>4</v>
          </cell>
          <cell r="T11">
            <v>0</v>
          </cell>
          <cell r="AP11">
            <v>4</v>
          </cell>
          <cell r="AQ11">
            <v>0</v>
          </cell>
        </row>
        <row r="12">
          <cell r="S12">
            <v>0</v>
          </cell>
          <cell r="T12">
            <v>0</v>
          </cell>
          <cell r="AP12">
            <v>0</v>
          </cell>
          <cell r="AQ12">
            <v>0</v>
          </cell>
        </row>
        <row r="13">
          <cell r="S13" t="str">
            <v/>
          </cell>
          <cell r="T13">
            <v>0</v>
          </cell>
          <cell r="AP13" t="str">
            <v/>
          </cell>
          <cell r="AQ13">
            <v>0</v>
          </cell>
        </row>
        <row r="14">
          <cell r="S14">
            <v>0</v>
          </cell>
          <cell r="T14">
            <v>0</v>
          </cell>
          <cell r="AP14">
            <v>0</v>
          </cell>
          <cell r="AQ14">
            <v>0</v>
          </cell>
        </row>
        <row r="17">
          <cell r="S17">
            <v>6</v>
          </cell>
          <cell r="T17">
            <v>0</v>
          </cell>
          <cell r="AP17">
            <v>6</v>
          </cell>
          <cell r="AQ17">
            <v>0</v>
          </cell>
        </row>
        <row r="18">
          <cell r="S18">
            <v>0</v>
          </cell>
          <cell r="T18">
            <v>0</v>
          </cell>
          <cell r="AP18">
            <v>0</v>
          </cell>
          <cell r="AQ18">
            <v>0</v>
          </cell>
        </row>
        <row r="19">
          <cell r="S19">
            <v>5</v>
          </cell>
          <cell r="T19">
            <v>0</v>
          </cell>
          <cell r="AP19">
            <v>5</v>
          </cell>
          <cell r="AQ19">
            <v>0</v>
          </cell>
        </row>
        <row r="20">
          <cell r="S20">
            <v>0</v>
          </cell>
          <cell r="T20">
            <v>0</v>
          </cell>
          <cell r="AP20">
            <v>0</v>
          </cell>
          <cell r="AQ20">
            <v>0</v>
          </cell>
        </row>
        <row r="21">
          <cell r="S21">
            <v>3</v>
          </cell>
          <cell r="T21">
            <v>0</v>
          </cell>
          <cell r="AP21">
            <v>3</v>
          </cell>
          <cell r="AQ21">
            <v>0</v>
          </cell>
        </row>
        <row r="22">
          <cell r="S22">
            <v>0</v>
          </cell>
          <cell r="T22">
            <v>0</v>
          </cell>
          <cell r="AP22">
            <v>0</v>
          </cell>
          <cell r="AQ22">
            <v>0</v>
          </cell>
        </row>
        <row r="23">
          <cell r="S23">
            <v>4</v>
          </cell>
          <cell r="T23">
            <v>0</v>
          </cell>
          <cell r="AP23">
            <v>4</v>
          </cell>
          <cell r="AQ23">
            <v>0</v>
          </cell>
        </row>
        <row r="24">
          <cell r="S24">
            <v>0</v>
          </cell>
          <cell r="T24">
            <v>0</v>
          </cell>
          <cell r="AP24">
            <v>0</v>
          </cell>
          <cell r="AQ24">
            <v>0</v>
          </cell>
        </row>
        <row r="25">
          <cell r="S25" t="str">
            <v/>
          </cell>
          <cell r="T25">
            <v>0</v>
          </cell>
          <cell r="AP25" t="str">
            <v/>
          </cell>
          <cell r="AQ25">
            <v>0</v>
          </cell>
        </row>
        <row r="26">
          <cell r="S26">
            <v>0</v>
          </cell>
          <cell r="T26">
            <v>0</v>
          </cell>
          <cell r="AP26">
            <v>0</v>
          </cell>
          <cell r="AQ26">
            <v>0</v>
          </cell>
        </row>
        <row r="29">
          <cell r="S29">
            <v>6</v>
          </cell>
          <cell r="T29">
            <v>0</v>
          </cell>
          <cell r="AP29">
            <v>6</v>
          </cell>
          <cell r="AQ29">
            <v>0</v>
          </cell>
        </row>
        <row r="30">
          <cell r="S30">
            <v>0</v>
          </cell>
          <cell r="T30">
            <v>0</v>
          </cell>
          <cell r="AP30">
            <v>0</v>
          </cell>
          <cell r="AQ30">
            <v>0</v>
          </cell>
        </row>
        <row r="31">
          <cell r="S31">
            <v>5</v>
          </cell>
          <cell r="T31">
            <v>0</v>
          </cell>
          <cell r="AP31">
            <v>5</v>
          </cell>
          <cell r="AQ31">
            <v>0</v>
          </cell>
        </row>
        <row r="32">
          <cell r="S32">
            <v>0</v>
          </cell>
          <cell r="T32">
            <v>0</v>
          </cell>
          <cell r="AP32">
            <v>0</v>
          </cell>
          <cell r="AQ32">
            <v>0</v>
          </cell>
        </row>
        <row r="33">
          <cell r="S33">
            <v>3</v>
          </cell>
          <cell r="T33">
            <v>0</v>
          </cell>
          <cell r="AP33">
            <v>4</v>
          </cell>
          <cell r="AQ33">
            <v>0</v>
          </cell>
        </row>
        <row r="34">
          <cell r="S34">
            <v>0</v>
          </cell>
          <cell r="T34">
            <v>0</v>
          </cell>
          <cell r="AP34">
            <v>0</v>
          </cell>
          <cell r="AQ34">
            <v>0</v>
          </cell>
        </row>
        <row r="35">
          <cell r="S35">
            <v>4</v>
          </cell>
          <cell r="T35">
            <v>0</v>
          </cell>
          <cell r="AP35">
            <v>3</v>
          </cell>
          <cell r="AQ35">
            <v>0</v>
          </cell>
        </row>
        <row r="36">
          <cell r="S36">
            <v>0</v>
          </cell>
          <cell r="T36">
            <v>0</v>
          </cell>
          <cell r="AP36">
            <v>0</v>
          </cell>
          <cell r="AQ36">
            <v>0</v>
          </cell>
        </row>
        <row r="37">
          <cell r="S37" t="str">
            <v/>
          </cell>
          <cell r="T37">
            <v>0</v>
          </cell>
          <cell r="AP37" t="str">
            <v/>
          </cell>
          <cell r="AQ37">
            <v>0</v>
          </cell>
        </row>
        <row r="38">
          <cell r="S38">
            <v>0</v>
          </cell>
          <cell r="T38">
            <v>0</v>
          </cell>
          <cell r="AP38">
            <v>0</v>
          </cell>
          <cell r="AQ38">
            <v>0</v>
          </cell>
        </row>
        <row r="41">
          <cell r="S41">
            <v>4</v>
          </cell>
          <cell r="T41">
            <v>0</v>
          </cell>
          <cell r="AP41">
            <v>4</v>
          </cell>
          <cell r="AQ41">
            <v>0</v>
          </cell>
        </row>
        <row r="42">
          <cell r="S42">
            <v>0</v>
          </cell>
          <cell r="T42">
            <v>0</v>
          </cell>
          <cell r="AP42">
            <v>0</v>
          </cell>
          <cell r="AQ42">
            <v>0</v>
          </cell>
        </row>
        <row r="43">
          <cell r="S43">
            <v>6</v>
          </cell>
          <cell r="T43">
            <v>0</v>
          </cell>
          <cell r="AP43">
            <v>3</v>
          </cell>
          <cell r="AQ43">
            <v>0</v>
          </cell>
        </row>
        <row r="44">
          <cell r="S44">
            <v>0</v>
          </cell>
          <cell r="T44">
            <v>0</v>
          </cell>
          <cell r="AP44">
            <v>0</v>
          </cell>
          <cell r="AQ44">
            <v>0</v>
          </cell>
        </row>
        <row r="45">
          <cell r="S45">
            <v>3</v>
          </cell>
          <cell r="T45">
            <v>0</v>
          </cell>
          <cell r="AP45">
            <v>2</v>
          </cell>
          <cell r="AQ45">
            <v>0</v>
          </cell>
        </row>
        <row r="46">
          <cell r="S46">
            <v>0</v>
          </cell>
          <cell r="T46">
            <v>0</v>
          </cell>
          <cell r="AP46">
            <v>0</v>
          </cell>
          <cell r="AQ46">
            <v>0</v>
          </cell>
        </row>
        <row r="47">
          <cell r="S47">
            <v>5</v>
          </cell>
          <cell r="T47">
            <v>0</v>
          </cell>
          <cell r="AP47" t="str">
            <v/>
          </cell>
          <cell r="AQ47">
            <v>0</v>
          </cell>
        </row>
        <row r="48">
          <cell r="S48">
            <v>0</v>
          </cell>
          <cell r="T48">
            <v>0</v>
          </cell>
          <cell r="AP48">
            <v>0</v>
          </cell>
          <cell r="AQ48">
            <v>0</v>
          </cell>
        </row>
        <row r="49">
          <cell r="S49" t="str">
            <v/>
          </cell>
          <cell r="T49">
            <v>0</v>
          </cell>
          <cell r="AP49" t="str">
            <v/>
          </cell>
          <cell r="AQ49">
            <v>0</v>
          </cell>
        </row>
        <row r="50">
          <cell r="S50">
            <v>0</v>
          </cell>
          <cell r="T50">
            <v>0</v>
          </cell>
          <cell r="AP50">
            <v>0</v>
          </cell>
          <cell r="AQ50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 участников"/>
      <sheetName val="Жеребьевка"/>
      <sheetName val="Списки участников по алф"/>
      <sheetName val="гр (1-4)"/>
      <sheetName val="гр (5-8)"/>
      <sheetName val="гр (9-12)"/>
      <sheetName val="гр (13-16)"/>
      <sheetName val="Юноши 1ф"/>
      <sheetName val="Юноши 2ф"/>
      <sheetName val="Юноши 3ф"/>
      <sheetName val="Юноши 4ф"/>
      <sheetName val="1ф"/>
      <sheetName val="2ф"/>
      <sheetName val="3ф"/>
      <sheetName val="4ф"/>
      <sheetName val="5ф"/>
      <sheetName val="3ф-л"/>
      <sheetName val="4ф-л"/>
      <sheetName val="5ф-л"/>
      <sheetName val="протокол 1ф-л"/>
      <sheetName val="протокол 2ф-л"/>
      <sheetName val="Протокол 3ф-л"/>
      <sheetName val="протокол 4ф-л"/>
      <sheetName val="протокол 5ф-л"/>
      <sheetName val="16 с розыг"/>
      <sheetName val="16 (-2)"/>
      <sheetName val="Порядок встреч 1Ф"/>
      <sheetName val="Порядок встреч 2Ф"/>
      <sheetName val="Порядок встреч 3Ф"/>
      <sheetName val="Порядок встреч 4Ф"/>
      <sheetName val="св.прот дев 1ф"/>
      <sheetName val="Бегунки 1Ф"/>
      <sheetName val="Бегунки 2Ф"/>
      <sheetName val="Бегунки 3Ф"/>
      <sheetName val="Бегунки 4Ф"/>
      <sheetName val="Лист1"/>
      <sheetName val="Плейофф"/>
      <sheetName val="Протокол 3ф"/>
      <sheetName val="Протокол 4ф"/>
      <sheetName val="Протокол 5ф"/>
      <sheetName val="ОФП и СФП"/>
      <sheetName val="Места в группе"/>
      <sheetName val="R-Муж"/>
      <sheetName val="Лист2"/>
    </sheetNames>
    <sheetDataSet>
      <sheetData sheetId="0">
        <row r="1">
          <cell r="A1" t="str">
            <v>Всероссийский турнир "Надежды России"</v>
          </cell>
        </row>
      </sheetData>
      <sheetData sheetId="1"/>
      <sheetData sheetId="2"/>
      <sheetData sheetId="3">
        <row r="5">
          <cell r="B5">
            <v>1</v>
          </cell>
          <cell r="AH5">
            <v>16</v>
          </cell>
        </row>
        <row r="7">
          <cell r="AH7">
            <v>15</v>
          </cell>
        </row>
        <row r="9">
          <cell r="AH9">
            <v>14</v>
          </cell>
        </row>
        <row r="11">
          <cell r="AH11">
            <v>10</v>
          </cell>
        </row>
        <row r="13">
          <cell r="AH13">
            <v>11</v>
          </cell>
        </row>
        <row r="15">
          <cell r="AH15">
            <v>12</v>
          </cell>
        </row>
        <row r="17">
          <cell r="AH17">
            <v>12</v>
          </cell>
        </row>
        <row r="19">
          <cell r="AH19">
            <v>10</v>
          </cell>
        </row>
        <row r="21">
          <cell r="AH21">
            <v>8</v>
          </cell>
        </row>
        <row r="23">
          <cell r="AH23" t="str">
            <v/>
          </cell>
        </row>
        <row r="27">
          <cell r="AH27">
            <v>18</v>
          </cell>
        </row>
        <row r="29">
          <cell r="AH29">
            <v>16</v>
          </cell>
        </row>
        <row r="31">
          <cell r="AH31">
            <v>16</v>
          </cell>
        </row>
        <row r="33">
          <cell r="AH33">
            <v>15</v>
          </cell>
        </row>
        <row r="35">
          <cell r="AH35">
            <v>13</v>
          </cell>
        </row>
        <row r="37">
          <cell r="AH37">
            <v>14</v>
          </cell>
        </row>
        <row r="39">
          <cell r="AH39">
            <v>11</v>
          </cell>
        </row>
        <row r="41">
          <cell r="AH41">
            <v>10</v>
          </cell>
        </row>
        <row r="43">
          <cell r="AH43">
            <v>9</v>
          </cell>
        </row>
        <row r="45">
          <cell r="AH45">
            <v>13</v>
          </cell>
        </row>
        <row r="49">
          <cell r="AH49">
            <v>18</v>
          </cell>
        </row>
        <row r="51">
          <cell r="AH51">
            <v>15</v>
          </cell>
        </row>
        <row r="53">
          <cell r="AH53">
            <v>17</v>
          </cell>
        </row>
        <row r="55">
          <cell r="AH55">
            <v>14</v>
          </cell>
        </row>
        <row r="57">
          <cell r="AH57">
            <v>15</v>
          </cell>
        </row>
        <row r="59">
          <cell r="AH59">
            <v>12</v>
          </cell>
        </row>
        <row r="61">
          <cell r="AH61">
            <v>13</v>
          </cell>
        </row>
        <row r="63">
          <cell r="AH63">
            <v>9</v>
          </cell>
        </row>
        <row r="65">
          <cell r="AH65">
            <v>12</v>
          </cell>
        </row>
        <row r="67">
          <cell r="AH67">
            <v>10</v>
          </cell>
        </row>
        <row r="71">
          <cell r="AH71">
            <v>16</v>
          </cell>
        </row>
        <row r="73">
          <cell r="AH73">
            <v>14</v>
          </cell>
        </row>
        <row r="75">
          <cell r="AH75">
            <v>14</v>
          </cell>
        </row>
        <row r="77">
          <cell r="AH77">
            <v>13</v>
          </cell>
        </row>
        <row r="79">
          <cell r="AH79">
            <v>12</v>
          </cell>
        </row>
        <row r="81">
          <cell r="AH81">
            <v>11</v>
          </cell>
        </row>
        <row r="83">
          <cell r="AH83">
            <v>8</v>
          </cell>
        </row>
        <row r="85">
          <cell r="AH85">
            <v>8</v>
          </cell>
        </row>
        <row r="87">
          <cell r="AH87">
            <v>11</v>
          </cell>
        </row>
        <row r="89">
          <cell r="AH89" t="str">
            <v/>
          </cell>
        </row>
      </sheetData>
      <sheetData sheetId="4">
        <row r="5">
          <cell r="B5">
            <v>5</v>
          </cell>
        </row>
      </sheetData>
      <sheetData sheetId="5">
        <row r="5">
          <cell r="B5">
            <v>9</v>
          </cell>
        </row>
      </sheetData>
      <sheetData sheetId="6">
        <row r="5">
          <cell r="B5">
            <v>13</v>
          </cell>
        </row>
      </sheetData>
      <sheetData sheetId="7">
        <row r="5">
          <cell r="AZ5" t="str">
            <v/>
          </cell>
        </row>
      </sheetData>
      <sheetData sheetId="8">
        <row r="5">
          <cell r="AZ5" t="str">
            <v/>
          </cell>
        </row>
        <row r="7">
          <cell r="AZ7" t="str">
            <v/>
          </cell>
        </row>
        <row r="9">
          <cell r="AZ9" t="str">
            <v/>
          </cell>
        </row>
        <row r="11">
          <cell r="AZ11" t="str">
            <v/>
          </cell>
        </row>
        <row r="13">
          <cell r="AZ13" t="str">
            <v/>
          </cell>
        </row>
        <row r="15">
          <cell r="AZ15" t="str">
            <v/>
          </cell>
        </row>
        <row r="17">
          <cell r="AZ17" t="str">
            <v/>
          </cell>
        </row>
        <row r="19">
          <cell r="AZ19" t="str">
            <v/>
          </cell>
        </row>
        <row r="21">
          <cell r="AZ21" t="str">
            <v/>
          </cell>
        </row>
        <row r="23">
          <cell r="AZ23" t="str">
            <v/>
          </cell>
        </row>
        <row r="25">
          <cell r="AZ25" t="str">
            <v/>
          </cell>
        </row>
        <row r="27">
          <cell r="AZ27" t="str">
            <v/>
          </cell>
        </row>
        <row r="29">
          <cell r="AZ29" t="str">
            <v/>
          </cell>
        </row>
        <row r="31">
          <cell r="AZ31" t="str">
            <v/>
          </cell>
        </row>
        <row r="33">
          <cell r="AZ33" t="str">
            <v/>
          </cell>
        </row>
        <row r="35">
          <cell r="AZ35" t="str">
            <v/>
          </cell>
        </row>
      </sheetData>
      <sheetData sheetId="9">
        <row r="5">
          <cell r="AZ5" t="str">
            <v/>
          </cell>
        </row>
        <row r="7">
          <cell r="AZ7" t="str">
            <v/>
          </cell>
        </row>
        <row r="9">
          <cell r="AZ9" t="str">
            <v/>
          </cell>
        </row>
        <row r="11">
          <cell r="AZ11" t="str">
            <v/>
          </cell>
        </row>
        <row r="13">
          <cell r="AZ13" t="str">
            <v/>
          </cell>
        </row>
        <row r="15">
          <cell r="AZ15" t="str">
            <v/>
          </cell>
        </row>
        <row r="17">
          <cell r="AZ17" t="str">
            <v/>
          </cell>
        </row>
        <row r="19">
          <cell r="AZ19" t="str">
            <v/>
          </cell>
        </row>
        <row r="21">
          <cell r="AZ21" t="str">
            <v/>
          </cell>
        </row>
        <row r="23">
          <cell r="AZ23" t="str">
            <v/>
          </cell>
        </row>
        <row r="25">
          <cell r="AZ25" t="str">
            <v/>
          </cell>
        </row>
        <row r="27">
          <cell r="AZ27" t="str">
            <v/>
          </cell>
        </row>
        <row r="29">
          <cell r="AZ29" t="str">
            <v/>
          </cell>
        </row>
        <row r="31">
          <cell r="AZ31" t="str">
            <v/>
          </cell>
        </row>
        <row r="33">
          <cell r="AZ33" t="str">
            <v/>
          </cell>
        </row>
        <row r="35">
          <cell r="AZ35" t="str">
            <v/>
          </cell>
        </row>
      </sheetData>
      <sheetData sheetId="10">
        <row r="5">
          <cell r="AZ5" t="str">
            <v/>
          </cell>
        </row>
        <row r="7">
          <cell r="AZ7" t="str">
            <v/>
          </cell>
        </row>
        <row r="9">
          <cell r="AZ9" t="str">
            <v/>
          </cell>
        </row>
        <row r="11">
          <cell r="AZ11" t="str">
            <v/>
          </cell>
        </row>
        <row r="13">
          <cell r="AZ13" t="str">
            <v/>
          </cell>
        </row>
        <row r="15">
          <cell r="AZ15" t="str">
            <v/>
          </cell>
        </row>
        <row r="17">
          <cell r="AZ17" t="str">
            <v/>
          </cell>
        </row>
        <row r="19">
          <cell r="AZ19" t="str">
            <v/>
          </cell>
        </row>
        <row r="21">
          <cell r="AZ21" t="str">
            <v/>
          </cell>
        </row>
        <row r="23">
          <cell r="AZ23" t="str">
            <v/>
          </cell>
        </row>
        <row r="25">
          <cell r="AZ25" t="str">
            <v/>
          </cell>
        </row>
        <row r="27">
          <cell r="AZ27" t="str">
            <v/>
          </cell>
        </row>
        <row r="29">
          <cell r="AZ29" t="str">
            <v/>
          </cell>
        </row>
        <row r="31">
          <cell r="AZ31" t="str">
            <v/>
          </cell>
        </row>
        <row r="33">
          <cell r="AZ33" t="str">
            <v/>
          </cell>
        </row>
        <row r="35">
          <cell r="AZ35" t="str">
            <v/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8">
          <cell r="L8">
            <v>152</v>
          </cell>
        </row>
      </sheetData>
      <sheetData sheetId="41"/>
      <sheetData sheetId="42"/>
      <sheetData sheetId="4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еребьевка_9"/>
      <sheetName val="Жеребьевка_6"/>
      <sheetName val="Списки участников"/>
      <sheetName val="гр (1-4)"/>
      <sheetName val="гр (5-8)"/>
      <sheetName val="гр (9-12)"/>
      <sheetName val="гр (13-16)"/>
      <sheetName val="гр (1-8)"/>
      <sheetName val="гр (9-16)"/>
      <sheetName val="гр (17-24)"/>
      <sheetName val="гр (25-32)"/>
      <sheetName val="1Ф КРУГ"/>
      <sheetName val="2Ф КРУГ"/>
      <sheetName val="3Ф КРУГ"/>
      <sheetName val="4Ф КРУГ"/>
      <sheetName val="Ф(-32)"/>
      <sheetName val="Ф(32)"/>
      <sheetName val="Ф(-16)"/>
      <sheetName val="Ф(16)"/>
      <sheetName val="KR (1)"/>
      <sheetName val="св.прот 1ф"/>
      <sheetName val="св.прот 2ф"/>
      <sheetName val="св.прот 3ф"/>
      <sheetName val="св.прот 4ф"/>
      <sheetName val="ПРФ(-32)"/>
      <sheetName val="ПРФ(32)"/>
      <sheetName val="ПРФ(-16)"/>
      <sheetName val="Пр(-16)"/>
      <sheetName val="ПРФ(16)"/>
      <sheetName val="Порядок встреч 1Ф"/>
      <sheetName val="Порядок встреч 2Ф"/>
      <sheetName val="Порядок встреч 3Ф"/>
      <sheetName val="Порядок встреч 4Ф"/>
      <sheetName val="Бегунки 1Ф"/>
      <sheetName val="Лист1"/>
      <sheetName val="Бегунки 2Ф"/>
      <sheetName val="Бегунки 3Ф"/>
      <sheetName val="Бегунки 4Ф"/>
      <sheetName val="Плейофф"/>
      <sheetName val="ОФП и СФП"/>
      <sheetName val="Места в группе"/>
      <sheetName val="R-Муж"/>
      <sheetName val="R-Муж_1"/>
      <sheetName val="Расче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9">
          <cell r="L9">
            <v>0</v>
          </cell>
          <cell r="T9" t="str">
            <v/>
          </cell>
        </row>
        <row r="10">
          <cell r="L10">
            <v>0</v>
          </cell>
          <cell r="T10" t="str">
            <v/>
          </cell>
        </row>
        <row r="11">
          <cell r="L11">
            <v>0</v>
          </cell>
          <cell r="T11" t="str">
            <v/>
          </cell>
        </row>
        <row r="12">
          <cell r="L12">
            <v>0</v>
          </cell>
          <cell r="T12" t="str">
            <v/>
          </cell>
        </row>
        <row r="13">
          <cell r="L13">
            <v>0</v>
          </cell>
          <cell r="T13" t="str">
            <v/>
          </cell>
        </row>
        <row r="14">
          <cell r="L14">
            <v>0</v>
          </cell>
          <cell r="T14" t="str">
            <v/>
          </cell>
        </row>
        <row r="15">
          <cell r="L15">
            <v>0</v>
          </cell>
          <cell r="T15" t="str">
            <v/>
          </cell>
        </row>
        <row r="16">
          <cell r="L16">
            <v>0</v>
          </cell>
          <cell r="T16" t="str">
            <v/>
          </cell>
        </row>
        <row r="17">
          <cell r="L17">
            <v>0</v>
          </cell>
          <cell r="T17" t="str">
            <v/>
          </cell>
        </row>
        <row r="18">
          <cell r="L18">
            <v>0</v>
          </cell>
          <cell r="T18" t="str">
            <v/>
          </cell>
        </row>
        <row r="19">
          <cell r="L19">
            <v>0</v>
          </cell>
          <cell r="T19" t="str">
            <v/>
          </cell>
        </row>
        <row r="20">
          <cell r="L20">
            <v>0</v>
          </cell>
          <cell r="T20" t="str">
            <v/>
          </cell>
        </row>
        <row r="21">
          <cell r="L21">
            <v>0</v>
          </cell>
          <cell r="T21" t="str">
            <v/>
          </cell>
        </row>
        <row r="22">
          <cell r="L22">
            <v>0</v>
          </cell>
          <cell r="T22" t="str">
            <v/>
          </cell>
        </row>
        <row r="23">
          <cell r="L23">
            <v>0</v>
          </cell>
          <cell r="T23" t="str">
            <v/>
          </cell>
        </row>
        <row r="24">
          <cell r="L24">
            <v>0</v>
          </cell>
          <cell r="T24" t="str">
            <v/>
          </cell>
        </row>
        <row r="25">
          <cell r="L25">
            <v>0</v>
          </cell>
          <cell r="T25" t="str">
            <v/>
          </cell>
        </row>
        <row r="26">
          <cell r="L26">
            <v>0</v>
          </cell>
          <cell r="T26" t="str">
            <v/>
          </cell>
        </row>
        <row r="27">
          <cell r="L27">
            <v>0</v>
          </cell>
          <cell r="T27" t="str">
            <v/>
          </cell>
        </row>
        <row r="28">
          <cell r="L28">
            <v>0</v>
          </cell>
          <cell r="T28" t="str">
            <v/>
          </cell>
        </row>
        <row r="29">
          <cell r="L29">
            <v>0</v>
          </cell>
          <cell r="T29" t="str">
            <v/>
          </cell>
        </row>
        <row r="30">
          <cell r="L30">
            <v>0</v>
          </cell>
          <cell r="T30" t="str">
            <v/>
          </cell>
        </row>
        <row r="31">
          <cell r="L31">
            <v>0</v>
          </cell>
          <cell r="T31" t="str">
            <v/>
          </cell>
        </row>
        <row r="32">
          <cell r="L32">
            <v>0</v>
          </cell>
          <cell r="T32" t="str">
            <v/>
          </cell>
        </row>
        <row r="33">
          <cell r="L33">
            <v>0</v>
          </cell>
          <cell r="T33" t="str">
            <v/>
          </cell>
        </row>
        <row r="34">
          <cell r="L34">
            <v>0</v>
          </cell>
          <cell r="T34" t="str">
            <v/>
          </cell>
        </row>
        <row r="35">
          <cell r="L35">
            <v>0</v>
          </cell>
          <cell r="T35" t="str">
            <v/>
          </cell>
        </row>
        <row r="36">
          <cell r="L36">
            <v>0</v>
          </cell>
          <cell r="T36" t="str">
            <v/>
          </cell>
        </row>
        <row r="37">
          <cell r="L37">
            <v>0</v>
          </cell>
          <cell r="T37" t="str">
            <v/>
          </cell>
        </row>
        <row r="38">
          <cell r="L38">
            <v>0</v>
          </cell>
          <cell r="T38" t="str">
            <v/>
          </cell>
        </row>
        <row r="39">
          <cell r="L39">
            <v>0</v>
          </cell>
          <cell r="T39" t="str">
            <v/>
          </cell>
        </row>
        <row r="40">
          <cell r="L40">
            <v>0</v>
          </cell>
          <cell r="T40" t="str">
            <v/>
          </cell>
        </row>
        <row r="41">
          <cell r="L41">
            <v>0</v>
          </cell>
          <cell r="T41" t="str">
            <v/>
          </cell>
        </row>
        <row r="42">
          <cell r="L42">
            <v>0</v>
          </cell>
          <cell r="T42" t="str">
            <v/>
          </cell>
        </row>
        <row r="43">
          <cell r="L43">
            <v>0</v>
          </cell>
          <cell r="T43" t="str">
            <v/>
          </cell>
        </row>
        <row r="44">
          <cell r="L44">
            <v>0</v>
          </cell>
          <cell r="T44" t="str">
            <v/>
          </cell>
        </row>
        <row r="45">
          <cell r="L45">
            <v>0</v>
          </cell>
          <cell r="T45" t="str">
            <v/>
          </cell>
        </row>
        <row r="46">
          <cell r="L46">
            <v>0</v>
          </cell>
          <cell r="T46" t="str">
            <v/>
          </cell>
        </row>
        <row r="47">
          <cell r="L47">
            <v>0</v>
          </cell>
          <cell r="T47" t="str">
            <v/>
          </cell>
        </row>
        <row r="48">
          <cell r="L48">
            <v>0</v>
          </cell>
          <cell r="T48" t="str">
            <v/>
          </cell>
        </row>
        <row r="49">
          <cell r="L49">
            <v>0</v>
          </cell>
          <cell r="T49" t="str">
            <v/>
          </cell>
        </row>
        <row r="50">
          <cell r="L50">
            <v>0</v>
          </cell>
          <cell r="T50" t="str">
            <v/>
          </cell>
        </row>
        <row r="51">
          <cell r="L51">
            <v>0</v>
          </cell>
          <cell r="T51" t="str">
            <v/>
          </cell>
        </row>
        <row r="52">
          <cell r="L52">
            <v>0</v>
          </cell>
          <cell r="T52" t="str">
            <v/>
          </cell>
        </row>
        <row r="53">
          <cell r="L53">
            <v>0</v>
          </cell>
          <cell r="T53" t="str">
            <v/>
          </cell>
        </row>
        <row r="54">
          <cell r="L54">
            <v>0</v>
          </cell>
          <cell r="T54" t="str">
            <v/>
          </cell>
        </row>
        <row r="55">
          <cell r="L55">
            <v>0</v>
          </cell>
          <cell r="T55" t="str">
            <v/>
          </cell>
        </row>
        <row r="56">
          <cell r="L56">
            <v>0</v>
          </cell>
          <cell r="T56" t="str">
            <v/>
          </cell>
        </row>
        <row r="57">
          <cell r="L57">
            <v>0</v>
          </cell>
          <cell r="T57" t="str">
            <v/>
          </cell>
        </row>
        <row r="58">
          <cell r="L58">
            <v>0</v>
          </cell>
          <cell r="T58" t="str">
            <v/>
          </cell>
        </row>
        <row r="59">
          <cell r="L59">
            <v>0</v>
          </cell>
          <cell r="T59" t="str">
            <v/>
          </cell>
        </row>
        <row r="60">
          <cell r="L60">
            <v>0</v>
          </cell>
          <cell r="T60" t="str">
            <v/>
          </cell>
        </row>
        <row r="61">
          <cell r="L61">
            <v>0</v>
          </cell>
          <cell r="T61" t="str">
            <v/>
          </cell>
        </row>
        <row r="62">
          <cell r="L62">
            <v>0</v>
          </cell>
          <cell r="T62" t="str">
            <v/>
          </cell>
        </row>
        <row r="63">
          <cell r="L63">
            <v>0</v>
          </cell>
          <cell r="T63" t="str">
            <v/>
          </cell>
        </row>
        <row r="64">
          <cell r="L64">
            <v>0</v>
          </cell>
          <cell r="T64" t="str">
            <v/>
          </cell>
        </row>
        <row r="65">
          <cell r="L65">
            <v>0</v>
          </cell>
          <cell r="T65" t="str">
            <v/>
          </cell>
        </row>
        <row r="66">
          <cell r="L66">
            <v>0</v>
          </cell>
          <cell r="T66" t="str">
            <v/>
          </cell>
        </row>
        <row r="67">
          <cell r="L67">
            <v>0</v>
          </cell>
          <cell r="T67" t="str">
            <v/>
          </cell>
        </row>
        <row r="68">
          <cell r="L68">
            <v>0</v>
          </cell>
          <cell r="T68" t="str">
            <v/>
          </cell>
        </row>
        <row r="69">
          <cell r="L69">
            <v>0</v>
          </cell>
          <cell r="T69" t="str">
            <v/>
          </cell>
        </row>
        <row r="70">
          <cell r="L70">
            <v>0</v>
          </cell>
          <cell r="T70" t="str">
            <v/>
          </cell>
        </row>
        <row r="71">
          <cell r="L71">
            <v>0</v>
          </cell>
          <cell r="T71" t="str">
            <v/>
          </cell>
        </row>
        <row r="72">
          <cell r="L72">
            <v>0</v>
          </cell>
          <cell r="T72" t="str">
            <v/>
          </cell>
        </row>
        <row r="73">
          <cell r="L73">
            <v>0</v>
          </cell>
          <cell r="T73" t="str">
            <v/>
          </cell>
        </row>
        <row r="74">
          <cell r="L74">
            <v>0</v>
          </cell>
          <cell r="T74" t="str">
            <v/>
          </cell>
        </row>
        <row r="75">
          <cell r="L75">
            <v>0</v>
          </cell>
          <cell r="T75" t="str">
            <v/>
          </cell>
        </row>
        <row r="76">
          <cell r="L76">
            <v>0</v>
          </cell>
          <cell r="T76" t="str">
            <v/>
          </cell>
        </row>
        <row r="77">
          <cell r="L77">
            <v>0</v>
          </cell>
          <cell r="T77" t="str">
            <v/>
          </cell>
        </row>
        <row r="78">
          <cell r="L78">
            <v>0</v>
          </cell>
          <cell r="T78" t="str">
            <v/>
          </cell>
        </row>
        <row r="79">
          <cell r="L79">
            <v>0</v>
          </cell>
          <cell r="T79" t="str">
            <v/>
          </cell>
        </row>
        <row r="80">
          <cell r="L80">
            <v>0</v>
          </cell>
          <cell r="T80" t="str">
            <v/>
          </cell>
        </row>
        <row r="81">
          <cell r="L81">
            <v>0</v>
          </cell>
          <cell r="T81" t="str">
            <v/>
          </cell>
        </row>
        <row r="82">
          <cell r="L82">
            <v>0</v>
          </cell>
          <cell r="T82" t="str">
            <v/>
          </cell>
        </row>
        <row r="83">
          <cell r="L83">
            <v>0</v>
          </cell>
          <cell r="T83" t="str">
            <v/>
          </cell>
        </row>
        <row r="84">
          <cell r="L84">
            <v>0</v>
          </cell>
          <cell r="T84" t="str">
            <v/>
          </cell>
        </row>
        <row r="85">
          <cell r="L85">
            <v>0</v>
          </cell>
          <cell r="T85" t="str">
            <v/>
          </cell>
        </row>
        <row r="86">
          <cell r="L86">
            <v>0</v>
          </cell>
          <cell r="T86" t="str">
            <v/>
          </cell>
        </row>
        <row r="87">
          <cell r="L87">
            <v>0</v>
          </cell>
          <cell r="T87" t="str">
            <v/>
          </cell>
        </row>
        <row r="88">
          <cell r="L88">
            <v>0</v>
          </cell>
          <cell r="T88" t="str">
            <v/>
          </cell>
        </row>
        <row r="89">
          <cell r="L89">
            <v>0</v>
          </cell>
          <cell r="T89" t="str">
            <v/>
          </cell>
        </row>
        <row r="90">
          <cell r="L90">
            <v>0</v>
          </cell>
          <cell r="T90" t="str">
            <v/>
          </cell>
        </row>
        <row r="91">
          <cell r="L91">
            <v>0</v>
          </cell>
          <cell r="T91" t="str">
            <v/>
          </cell>
        </row>
        <row r="92">
          <cell r="L92">
            <v>0</v>
          </cell>
          <cell r="T92" t="str">
            <v/>
          </cell>
        </row>
        <row r="93">
          <cell r="L93">
            <v>0</v>
          </cell>
          <cell r="T93" t="str">
            <v/>
          </cell>
        </row>
        <row r="94">
          <cell r="L94">
            <v>0</v>
          </cell>
          <cell r="T94" t="str">
            <v/>
          </cell>
        </row>
        <row r="95">
          <cell r="L95">
            <v>0</v>
          </cell>
          <cell r="T95" t="str">
            <v/>
          </cell>
        </row>
        <row r="96">
          <cell r="L96">
            <v>0</v>
          </cell>
          <cell r="T96" t="str">
            <v/>
          </cell>
        </row>
        <row r="97">
          <cell r="L97">
            <v>0</v>
          </cell>
          <cell r="T97" t="str">
            <v/>
          </cell>
        </row>
        <row r="98">
          <cell r="L98">
            <v>0</v>
          </cell>
          <cell r="T98" t="str">
            <v/>
          </cell>
        </row>
        <row r="99">
          <cell r="L99">
            <v>0</v>
          </cell>
          <cell r="T99" t="str">
            <v/>
          </cell>
        </row>
        <row r="100">
          <cell r="L100">
            <v>0</v>
          </cell>
          <cell r="T100" t="str">
            <v/>
          </cell>
        </row>
        <row r="101">
          <cell r="L101">
            <v>0</v>
          </cell>
          <cell r="T101" t="str">
            <v/>
          </cell>
        </row>
        <row r="102">
          <cell r="L102">
            <v>0</v>
          </cell>
          <cell r="T102" t="str">
            <v/>
          </cell>
        </row>
        <row r="103">
          <cell r="L103">
            <v>0</v>
          </cell>
          <cell r="T103" t="str">
            <v/>
          </cell>
        </row>
        <row r="104">
          <cell r="L104">
            <v>0</v>
          </cell>
          <cell r="T104" t="str">
            <v/>
          </cell>
        </row>
        <row r="105">
          <cell r="L105">
            <v>0</v>
          </cell>
          <cell r="T105" t="str">
            <v/>
          </cell>
        </row>
        <row r="106">
          <cell r="T106" t="str">
            <v/>
          </cell>
        </row>
        <row r="107">
          <cell r="T107" t="str">
            <v/>
          </cell>
        </row>
        <row r="108">
          <cell r="T108" t="str">
            <v/>
          </cell>
        </row>
        <row r="109">
          <cell r="T109" t="str">
            <v/>
          </cell>
        </row>
        <row r="110">
          <cell r="T110" t="str">
            <v/>
          </cell>
        </row>
        <row r="111">
          <cell r="T111" t="str">
            <v/>
          </cell>
        </row>
        <row r="112">
          <cell r="T112" t="str">
            <v/>
          </cell>
        </row>
        <row r="113">
          <cell r="T113" t="str">
            <v/>
          </cell>
        </row>
        <row r="114">
          <cell r="T114" t="str">
            <v/>
          </cell>
        </row>
        <row r="115">
          <cell r="T115" t="str">
            <v/>
          </cell>
        </row>
        <row r="116">
          <cell r="T116" t="str">
            <v/>
          </cell>
        </row>
        <row r="117">
          <cell r="T117" t="str">
            <v/>
          </cell>
        </row>
        <row r="118">
          <cell r="T118" t="str">
            <v/>
          </cell>
        </row>
        <row r="119">
          <cell r="T119" t="str">
            <v/>
          </cell>
        </row>
        <row r="120">
          <cell r="T120" t="str">
            <v/>
          </cell>
        </row>
        <row r="121">
          <cell r="T121" t="str">
            <v/>
          </cell>
        </row>
        <row r="122">
          <cell r="T122" t="str">
            <v/>
          </cell>
        </row>
        <row r="123">
          <cell r="T123" t="str">
            <v/>
          </cell>
        </row>
        <row r="124">
          <cell r="T124" t="str">
            <v/>
          </cell>
        </row>
        <row r="125">
          <cell r="T125" t="str">
            <v/>
          </cell>
        </row>
        <row r="126">
          <cell r="T126" t="str">
            <v/>
          </cell>
        </row>
        <row r="127">
          <cell r="T127" t="str">
            <v/>
          </cell>
        </row>
        <row r="128">
          <cell r="T128" t="str">
            <v/>
          </cell>
        </row>
        <row r="129">
          <cell r="T129" t="str">
            <v/>
          </cell>
        </row>
        <row r="130">
          <cell r="T130" t="str">
            <v/>
          </cell>
        </row>
        <row r="131">
          <cell r="T131" t="str">
            <v/>
          </cell>
        </row>
        <row r="132">
          <cell r="T132" t="str">
            <v/>
          </cell>
        </row>
        <row r="133">
          <cell r="T133" t="str">
            <v/>
          </cell>
        </row>
        <row r="134">
          <cell r="T134" t="str">
            <v/>
          </cell>
        </row>
        <row r="135">
          <cell r="T135" t="str">
            <v/>
          </cell>
        </row>
        <row r="136">
          <cell r="T136" t="str">
            <v/>
          </cell>
        </row>
        <row r="137">
          <cell r="T137" t="str">
            <v/>
          </cell>
        </row>
        <row r="138">
          <cell r="T138" t="str">
            <v/>
          </cell>
        </row>
        <row r="139">
          <cell r="T139" t="str">
            <v/>
          </cell>
        </row>
        <row r="140">
          <cell r="T140" t="str">
            <v/>
          </cell>
        </row>
        <row r="141">
          <cell r="T141" t="str">
            <v/>
          </cell>
        </row>
        <row r="142">
          <cell r="T142" t="str">
            <v/>
          </cell>
        </row>
        <row r="143">
          <cell r="T143" t="str">
            <v/>
          </cell>
        </row>
        <row r="144">
          <cell r="T144" t="str">
            <v/>
          </cell>
        </row>
        <row r="145">
          <cell r="T145" t="str">
            <v/>
          </cell>
        </row>
        <row r="146">
          <cell r="T146" t="str">
            <v/>
          </cell>
        </row>
        <row r="147">
          <cell r="T147" t="str">
            <v/>
          </cell>
        </row>
        <row r="148">
          <cell r="T148" t="str">
            <v/>
          </cell>
        </row>
        <row r="149">
          <cell r="T149" t="str">
            <v/>
          </cell>
        </row>
        <row r="150">
          <cell r="T150" t="str">
            <v/>
          </cell>
        </row>
        <row r="151">
          <cell r="T151" t="str">
            <v/>
          </cell>
        </row>
        <row r="152">
          <cell r="T152" t="str">
            <v/>
          </cell>
        </row>
        <row r="153">
          <cell r="T153" t="str">
            <v/>
          </cell>
        </row>
        <row r="154">
          <cell r="T154" t="str">
            <v/>
          </cell>
        </row>
        <row r="155">
          <cell r="T155" t="str">
            <v/>
          </cell>
        </row>
        <row r="156">
          <cell r="T156" t="str">
            <v/>
          </cell>
        </row>
        <row r="157">
          <cell r="T157" t="str">
            <v/>
          </cell>
        </row>
        <row r="158">
          <cell r="T158" t="str">
            <v/>
          </cell>
        </row>
      </sheetData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 участников"/>
      <sheetName val="гр (1-4)"/>
      <sheetName val="гр (5-8)"/>
      <sheetName val="гр (9-12)"/>
      <sheetName val="гр (13-16)"/>
      <sheetName val="1Ф КРУГ"/>
      <sheetName val="2Ф КРУГ"/>
      <sheetName val="3Ф КРУГ"/>
      <sheetName val="4Ф КРУГ"/>
      <sheetName val="2Ф(-32)"/>
      <sheetName val="2Ф(32)"/>
      <sheetName val="16 "/>
      <sheetName val="16 (-2)"/>
      <sheetName val="св.прот 1ф"/>
      <sheetName val="св.прот 2ф"/>
      <sheetName val="св.прот 3ф"/>
      <sheetName val="св.прот 4ф"/>
      <sheetName val="Протокол (32)"/>
      <sheetName val="Протокол (-32)"/>
      <sheetName val="Порядок встреч 1Ф"/>
      <sheetName val="Порядок встреч 2Ф"/>
      <sheetName val="Порядок встреч 3Ф"/>
      <sheetName val="Порядок встреч 4Ф"/>
      <sheetName val="Бегунки 1Ф"/>
      <sheetName val="Лист1"/>
      <sheetName val="Бегунки 2Ф"/>
      <sheetName val="Бегунки 3Ф"/>
      <sheetName val="Бегунки 4Ф"/>
      <sheetName val="Плейофф"/>
      <sheetName val="ОФП и СФП"/>
      <sheetName val="Места в группе"/>
      <sheetName val="R-Жен"/>
    </sheetNames>
    <sheetDataSet>
      <sheetData sheetId="0"/>
      <sheetData sheetId="1">
        <row r="5">
          <cell r="AH5" t="str">
            <v/>
          </cell>
        </row>
        <row r="7">
          <cell r="AH7" t="str">
            <v/>
          </cell>
        </row>
        <row r="9">
          <cell r="AH9" t="str">
            <v/>
          </cell>
        </row>
        <row r="11">
          <cell r="AH11" t="str">
            <v/>
          </cell>
        </row>
        <row r="13">
          <cell r="AH13" t="str">
            <v/>
          </cell>
        </row>
        <row r="15">
          <cell r="AH15" t="str">
            <v/>
          </cell>
        </row>
        <row r="17">
          <cell r="AH17" t="str">
            <v/>
          </cell>
        </row>
        <row r="19">
          <cell r="AH19" t="str">
            <v/>
          </cell>
        </row>
        <row r="21">
          <cell r="AH21" t="str">
            <v/>
          </cell>
        </row>
        <row r="25">
          <cell r="AH25" t="str">
            <v/>
          </cell>
        </row>
        <row r="27">
          <cell r="AH27" t="str">
            <v/>
          </cell>
        </row>
        <row r="29">
          <cell r="AH29" t="str">
            <v/>
          </cell>
        </row>
        <row r="31">
          <cell r="AH31" t="str">
            <v/>
          </cell>
        </row>
        <row r="33">
          <cell r="AH33" t="str">
            <v/>
          </cell>
        </row>
        <row r="35">
          <cell r="AH35" t="str">
            <v/>
          </cell>
        </row>
        <row r="37">
          <cell r="AH37" t="str">
            <v/>
          </cell>
        </row>
        <row r="39">
          <cell r="AH39" t="str">
            <v/>
          </cell>
        </row>
        <row r="41">
          <cell r="AH41" t="str">
            <v/>
          </cell>
        </row>
        <row r="45">
          <cell r="AH45" t="str">
            <v/>
          </cell>
        </row>
        <row r="47">
          <cell r="AH47" t="str">
            <v/>
          </cell>
        </row>
        <row r="49">
          <cell r="AH49" t="str">
            <v/>
          </cell>
        </row>
        <row r="51">
          <cell r="AH51" t="str">
            <v/>
          </cell>
        </row>
        <row r="53">
          <cell r="AH53" t="str">
            <v/>
          </cell>
        </row>
        <row r="55">
          <cell r="AH55" t="str">
            <v/>
          </cell>
        </row>
        <row r="57">
          <cell r="AH57" t="str">
            <v/>
          </cell>
        </row>
        <row r="59">
          <cell r="AH59" t="str">
            <v/>
          </cell>
        </row>
        <row r="61">
          <cell r="AH61" t="str">
            <v/>
          </cell>
        </row>
        <row r="65">
          <cell r="AH65" t="str">
            <v/>
          </cell>
        </row>
        <row r="67">
          <cell r="AH67" t="str">
            <v/>
          </cell>
        </row>
        <row r="69">
          <cell r="AH69" t="str">
            <v/>
          </cell>
        </row>
        <row r="71">
          <cell r="AH71" t="str">
            <v/>
          </cell>
        </row>
        <row r="73">
          <cell r="AH73" t="str">
            <v/>
          </cell>
        </row>
        <row r="75">
          <cell r="AH75" t="str">
            <v/>
          </cell>
        </row>
        <row r="77">
          <cell r="AH77" t="str">
            <v/>
          </cell>
        </row>
        <row r="79">
          <cell r="AH79" t="str">
            <v/>
          </cell>
        </row>
        <row r="81">
          <cell r="AH81" t="str">
            <v/>
          </cell>
        </row>
      </sheetData>
      <sheetData sheetId="2">
        <row r="5">
          <cell r="AE5" t="str">
            <v/>
          </cell>
          <cell r="AH5" t="str">
            <v/>
          </cell>
        </row>
        <row r="7">
          <cell r="AE7" t="str">
            <v/>
          </cell>
          <cell r="AH7" t="str">
            <v/>
          </cell>
        </row>
        <row r="9">
          <cell r="AE9" t="str">
            <v/>
          </cell>
          <cell r="AH9" t="str">
            <v/>
          </cell>
        </row>
        <row r="11">
          <cell r="AE11" t="str">
            <v/>
          </cell>
          <cell r="AH11" t="str">
            <v/>
          </cell>
        </row>
        <row r="13">
          <cell r="AE13" t="str">
            <v/>
          </cell>
          <cell r="AH13" t="str">
            <v/>
          </cell>
        </row>
        <row r="15">
          <cell r="AE15" t="str">
            <v/>
          </cell>
          <cell r="AH15" t="str">
            <v/>
          </cell>
        </row>
        <row r="17">
          <cell r="AE17" t="str">
            <v/>
          </cell>
          <cell r="AH17" t="str">
            <v/>
          </cell>
        </row>
        <row r="19">
          <cell r="AE19" t="str">
            <v/>
          </cell>
          <cell r="AH19" t="str">
            <v/>
          </cell>
        </row>
        <row r="21">
          <cell r="AE21" t="str">
            <v/>
          </cell>
          <cell r="AH21" t="str">
            <v/>
          </cell>
        </row>
        <row r="25">
          <cell r="AE25" t="str">
            <v/>
          </cell>
          <cell r="AH25" t="str">
            <v/>
          </cell>
        </row>
        <row r="27">
          <cell r="AE27" t="str">
            <v/>
          </cell>
          <cell r="AH27" t="str">
            <v/>
          </cell>
        </row>
        <row r="29">
          <cell r="AE29" t="str">
            <v/>
          </cell>
          <cell r="AH29" t="str">
            <v/>
          </cell>
        </row>
        <row r="31">
          <cell r="AE31" t="str">
            <v/>
          </cell>
          <cell r="AH31" t="str">
            <v/>
          </cell>
        </row>
        <row r="33">
          <cell r="AE33" t="str">
            <v/>
          </cell>
          <cell r="AH33" t="str">
            <v/>
          </cell>
        </row>
        <row r="35">
          <cell r="AE35" t="str">
            <v/>
          </cell>
          <cell r="AH35" t="str">
            <v/>
          </cell>
        </row>
        <row r="37">
          <cell r="AE37" t="str">
            <v/>
          </cell>
          <cell r="AH37" t="str">
            <v/>
          </cell>
        </row>
        <row r="39">
          <cell r="AE39" t="str">
            <v/>
          </cell>
          <cell r="AH39" t="str">
            <v/>
          </cell>
        </row>
        <row r="41">
          <cell r="AE41" t="str">
            <v/>
          </cell>
          <cell r="AH41" t="str">
            <v/>
          </cell>
        </row>
        <row r="45">
          <cell r="AE45" t="str">
            <v/>
          </cell>
          <cell r="AH45" t="str">
            <v/>
          </cell>
        </row>
        <row r="47">
          <cell r="AE47" t="str">
            <v/>
          </cell>
          <cell r="AH47" t="str">
            <v/>
          </cell>
        </row>
        <row r="49">
          <cell r="AE49" t="str">
            <v/>
          </cell>
          <cell r="AH49" t="str">
            <v/>
          </cell>
        </row>
        <row r="51">
          <cell r="AE51" t="str">
            <v/>
          </cell>
          <cell r="AH51" t="str">
            <v/>
          </cell>
        </row>
        <row r="53">
          <cell r="AE53" t="str">
            <v/>
          </cell>
          <cell r="AH53" t="str">
            <v/>
          </cell>
        </row>
        <row r="55">
          <cell r="AE55" t="str">
            <v/>
          </cell>
          <cell r="AH55" t="str">
            <v/>
          </cell>
        </row>
        <row r="57">
          <cell r="AE57" t="str">
            <v/>
          </cell>
          <cell r="AH57" t="str">
            <v/>
          </cell>
        </row>
        <row r="59">
          <cell r="AE59" t="str">
            <v/>
          </cell>
          <cell r="AH59" t="str">
            <v/>
          </cell>
        </row>
        <row r="61">
          <cell r="AE61" t="str">
            <v/>
          </cell>
          <cell r="AH61" t="str">
            <v/>
          </cell>
        </row>
        <row r="65">
          <cell r="AE65" t="str">
            <v/>
          </cell>
          <cell r="AH65" t="str">
            <v/>
          </cell>
        </row>
        <row r="67">
          <cell r="AE67" t="str">
            <v/>
          </cell>
          <cell r="AH67" t="str">
            <v/>
          </cell>
        </row>
        <row r="69">
          <cell r="AE69" t="str">
            <v/>
          </cell>
          <cell r="AH69" t="str">
            <v/>
          </cell>
        </row>
        <row r="71">
          <cell r="AE71" t="str">
            <v/>
          </cell>
          <cell r="AH71" t="str">
            <v/>
          </cell>
        </row>
        <row r="73">
          <cell r="AE73" t="str">
            <v/>
          </cell>
          <cell r="AH73" t="str">
            <v/>
          </cell>
        </row>
        <row r="75">
          <cell r="AE75" t="str">
            <v/>
          </cell>
          <cell r="AH75" t="str">
            <v/>
          </cell>
        </row>
        <row r="77">
          <cell r="AE77" t="str">
            <v/>
          </cell>
          <cell r="AH77" t="str">
            <v/>
          </cell>
        </row>
        <row r="79">
          <cell r="AE79" t="str">
            <v/>
          </cell>
          <cell r="AH79" t="str">
            <v/>
          </cell>
        </row>
        <row r="81">
          <cell r="AE81" t="str">
            <v/>
          </cell>
          <cell r="AH81" t="str">
            <v/>
          </cell>
        </row>
      </sheetData>
      <sheetData sheetId="3">
        <row r="5">
          <cell r="AE5" t="str">
            <v/>
          </cell>
          <cell r="AH5" t="str">
            <v/>
          </cell>
        </row>
        <row r="7">
          <cell r="AE7" t="str">
            <v/>
          </cell>
          <cell r="AH7" t="str">
            <v/>
          </cell>
        </row>
        <row r="9">
          <cell r="AE9" t="str">
            <v/>
          </cell>
          <cell r="AH9" t="str">
            <v/>
          </cell>
        </row>
        <row r="11">
          <cell r="AE11" t="str">
            <v/>
          </cell>
          <cell r="AH11" t="str">
            <v/>
          </cell>
        </row>
        <row r="13">
          <cell r="AE13" t="str">
            <v/>
          </cell>
          <cell r="AH13" t="str">
            <v/>
          </cell>
        </row>
        <row r="15">
          <cell r="AE15" t="str">
            <v/>
          </cell>
          <cell r="AH15" t="str">
            <v/>
          </cell>
        </row>
        <row r="17">
          <cell r="AE17" t="str">
            <v/>
          </cell>
          <cell r="AH17" t="str">
            <v/>
          </cell>
        </row>
        <row r="19">
          <cell r="AE19" t="str">
            <v/>
          </cell>
          <cell r="AH19" t="str">
            <v/>
          </cell>
        </row>
        <row r="21">
          <cell r="AE21" t="str">
            <v/>
          </cell>
          <cell r="AH21" t="str">
            <v/>
          </cell>
        </row>
        <row r="25">
          <cell r="AE25" t="str">
            <v/>
          </cell>
          <cell r="AH25" t="str">
            <v/>
          </cell>
        </row>
        <row r="27">
          <cell r="AE27" t="str">
            <v/>
          </cell>
          <cell r="AH27" t="str">
            <v/>
          </cell>
        </row>
        <row r="29">
          <cell r="AE29" t="str">
            <v/>
          </cell>
          <cell r="AH29" t="str">
            <v/>
          </cell>
        </row>
        <row r="31">
          <cell r="AE31" t="str">
            <v/>
          </cell>
          <cell r="AH31">
            <v>5</v>
          </cell>
        </row>
        <row r="33">
          <cell r="AE33" t="str">
            <v/>
          </cell>
          <cell r="AH33">
            <v>4</v>
          </cell>
        </row>
        <row r="35">
          <cell r="AE35" t="str">
            <v/>
          </cell>
          <cell r="AH35" t="str">
            <v/>
          </cell>
        </row>
        <row r="37">
          <cell r="AE37" t="str">
            <v/>
          </cell>
          <cell r="AH37" t="str">
            <v/>
          </cell>
        </row>
        <row r="39">
          <cell r="AE39" t="str">
            <v/>
          </cell>
          <cell r="AH39" t="str">
            <v/>
          </cell>
        </row>
        <row r="41">
          <cell r="AE41" t="str">
            <v/>
          </cell>
          <cell r="AH41" t="str">
            <v/>
          </cell>
        </row>
        <row r="45">
          <cell r="AE45" t="str">
            <v/>
          </cell>
          <cell r="AH45" t="str">
            <v/>
          </cell>
        </row>
        <row r="47">
          <cell r="AE47" t="str">
            <v/>
          </cell>
          <cell r="AH47" t="str">
            <v/>
          </cell>
        </row>
        <row r="49">
          <cell r="AE49" t="str">
            <v/>
          </cell>
          <cell r="AH49" t="str">
            <v/>
          </cell>
        </row>
        <row r="51">
          <cell r="AE51" t="str">
            <v/>
          </cell>
          <cell r="AH51" t="str">
            <v/>
          </cell>
        </row>
        <row r="53">
          <cell r="AE53" t="str">
            <v/>
          </cell>
          <cell r="AH53" t="str">
            <v/>
          </cell>
        </row>
        <row r="55">
          <cell r="AE55" t="str">
            <v/>
          </cell>
          <cell r="AH55" t="str">
            <v/>
          </cell>
        </row>
        <row r="57">
          <cell r="AE57" t="str">
            <v/>
          </cell>
          <cell r="AH57" t="str">
            <v/>
          </cell>
        </row>
        <row r="59">
          <cell r="AE59" t="str">
            <v/>
          </cell>
          <cell r="AH59" t="str">
            <v/>
          </cell>
        </row>
        <row r="61">
          <cell r="AE61" t="str">
            <v/>
          </cell>
          <cell r="AH61" t="str">
            <v/>
          </cell>
        </row>
        <row r="65">
          <cell r="AE65" t="str">
            <v/>
          </cell>
          <cell r="AH65" t="str">
            <v/>
          </cell>
        </row>
        <row r="67">
          <cell r="AE67" t="str">
            <v/>
          </cell>
          <cell r="AH67" t="str">
            <v/>
          </cell>
        </row>
        <row r="69">
          <cell r="AE69" t="str">
            <v/>
          </cell>
          <cell r="AH69" t="str">
            <v/>
          </cell>
        </row>
        <row r="71">
          <cell r="AE71" t="str">
            <v/>
          </cell>
          <cell r="AH71" t="str">
            <v/>
          </cell>
        </row>
        <row r="73">
          <cell r="AE73" t="str">
            <v/>
          </cell>
          <cell r="AH73" t="str">
            <v/>
          </cell>
        </row>
        <row r="75">
          <cell r="AE75" t="str">
            <v/>
          </cell>
          <cell r="AH75" t="str">
            <v/>
          </cell>
        </row>
        <row r="77">
          <cell r="AE77" t="str">
            <v/>
          </cell>
          <cell r="AH77" t="str">
            <v/>
          </cell>
        </row>
        <row r="79">
          <cell r="AE79" t="str">
            <v/>
          </cell>
          <cell r="AH79" t="str">
            <v/>
          </cell>
        </row>
        <row r="81">
          <cell r="AE81" t="str">
            <v/>
          </cell>
          <cell r="AH81" t="str">
            <v/>
          </cell>
        </row>
      </sheetData>
      <sheetData sheetId="4">
        <row r="5">
          <cell r="AE5" t="str">
            <v/>
          </cell>
          <cell r="AH5" t="str">
            <v/>
          </cell>
        </row>
        <row r="7">
          <cell r="AE7" t="str">
            <v/>
          </cell>
          <cell r="AH7" t="str">
            <v/>
          </cell>
        </row>
        <row r="9">
          <cell r="AE9" t="str">
            <v/>
          </cell>
          <cell r="AH9" t="str">
            <v/>
          </cell>
        </row>
        <row r="11">
          <cell r="AE11" t="str">
            <v/>
          </cell>
          <cell r="AH11" t="str">
            <v/>
          </cell>
        </row>
        <row r="13">
          <cell r="AE13" t="str">
            <v/>
          </cell>
          <cell r="AH13" t="str">
            <v/>
          </cell>
        </row>
        <row r="15">
          <cell r="AE15" t="str">
            <v/>
          </cell>
          <cell r="AH15" t="str">
            <v/>
          </cell>
        </row>
        <row r="17">
          <cell r="AE17" t="str">
            <v/>
          </cell>
          <cell r="AH17" t="str">
            <v/>
          </cell>
        </row>
        <row r="19">
          <cell r="AE19" t="str">
            <v/>
          </cell>
          <cell r="AH19" t="str">
            <v/>
          </cell>
        </row>
        <row r="21">
          <cell r="AE21" t="str">
            <v/>
          </cell>
          <cell r="AH21" t="str">
            <v/>
          </cell>
        </row>
        <row r="25">
          <cell r="AE25" t="str">
            <v/>
          </cell>
          <cell r="AH25" t="str">
            <v/>
          </cell>
        </row>
        <row r="27">
          <cell r="AE27" t="str">
            <v/>
          </cell>
          <cell r="AH27" t="str">
            <v/>
          </cell>
        </row>
        <row r="29">
          <cell r="AE29" t="str">
            <v/>
          </cell>
          <cell r="AH29" t="str">
            <v/>
          </cell>
        </row>
        <row r="31">
          <cell r="AE31" t="str">
            <v/>
          </cell>
          <cell r="AH31" t="str">
            <v/>
          </cell>
        </row>
        <row r="33">
          <cell r="AE33" t="str">
            <v/>
          </cell>
          <cell r="AH33" t="str">
            <v/>
          </cell>
        </row>
        <row r="35">
          <cell r="AE35" t="str">
            <v/>
          </cell>
          <cell r="AH35" t="str">
            <v/>
          </cell>
        </row>
        <row r="37">
          <cell r="AE37" t="str">
            <v/>
          </cell>
          <cell r="AH37" t="str">
            <v/>
          </cell>
        </row>
        <row r="39">
          <cell r="AE39" t="str">
            <v/>
          </cell>
          <cell r="AH39" t="str">
            <v/>
          </cell>
        </row>
        <row r="41">
          <cell r="AE41" t="str">
            <v/>
          </cell>
          <cell r="AH41" t="str">
            <v/>
          </cell>
        </row>
        <row r="45">
          <cell r="AE45" t="str">
            <v/>
          </cell>
          <cell r="AH45" t="str">
            <v/>
          </cell>
        </row>
        <row r="47">
          <cell r="AE47" t="str">
            <v/>
          </cell>
          <cell r="AH47" t="str">
            <v/>
          </cell>
        </row>
        <row r="49">
          <cell r="AE49" t="str">
            <v/>
          </cell>
          <cell r="AH49" t="str">
            <v/>
          </cell>
        </row>
        <row r="51">
          <cell r="AE51" t="str">
            <v/>
          </cell>
          <cell r="AH51" t="str">
            <v/>
          </cell>
        </row>
        <row r="53">
          <cell r="AE53" t="str">
            <v/>
          </cell>
          <cell r="AH53" t="str">
            <v/>
          </cell>
        </row>
        <row r="55">
          <cell r="AE55" t="str">
            <v/>
          </cell>
          <cell r="AH55" t="str">
            <v/>
          </cell>
        </row>
        <row r="57">
          <cell r="AE57" t="str">
            <v/>
          </cell>
          <cell r="AH57" t="str">
            <v/>
          </cell>
        </row>
        <row r="59">
          <cell r="AE59" t="str">
            <v/>
          </cell>
          <cell r="AH59" t="str">
            <v/>
          </cell>
        </row>
        <row r="61">
          <cell r="AE61" t="str">
            <v/>
          </cell>
          <cell r="AH61" t="str">
            <v/>
          </cell>
        </row>
        <row r="65">
          <cell r="AE65" t="str">
            <v/>
          </cell>
          <cell r="AH65" t="str">
            <v/>
          </cell>
        </row>
        <row r="67">
          <cell r="AE67" t="str">
            <v/>
          </cell>
          <cell r="AH67" t="str">
            <v/>
          </cell>
        </row>
        <row r="69">
          <cell r="AE69" t="str">
            <v/>
          </cell>
          <cell r="AH69" t="str">
            <v/>
          </cell>
        </row>
        <row r="71">
          <cell r="AE71" t="str">
            <v/>
          </cell>
          <cell r="AH71">
            <v>5</v>
          </cell>
        </row>
        <row r="73">
          <cell r="AE73" t="str">
            <v/>
          </cell>
          <cell r="AH73">
            <v>4</v>
          </cell>
        </row>
        <row r="75">
          <cell r="AE75" t="str">
            <v/>
          </cell>
          <cell r="AH75" t="str">
            <v/>
          </cell>
        </row>
        <row r="77">
          <cell r="AE77" t="str">
            <v/>
          </cell>
          <cell r="AH77" t="str">
            <v/>
          </cell>
        </row>
        <row r="79">
          <cell r="AE79" t="str">
            <v/>
          </cell>
          <cell r="AH79" t="str">
            <v/>
          </cell>
        </row>
        <row r="81">
          <cell r="AE81" t="str">
            <v/>
          </cell>
          <cell r="AH81" t="str">
            <v/>
          </cell>
        </row>
      </sheetData>
      <sheetData sheetId="5">
        <row r="5">
          <cell r="AZ5" t="str">
            <v/>
          </cell>
        </row>
        <row r="7">
          <cell r="AZ7" t="str">
            <v/>
          </cell>
        </row>
        <row r="9">
          <cell r="AZ9" t="str">
            <v/>
          </cell>
        </row>
        <row r="11">
          <cell r="AZ11" t="str">
            <v/>
          </cell>
        </row>
        <row r="13">
          <cell r="AZ13" t="str">
            <v/>
          </cell>
        </row>
        <row r="15">
          <cell r="AZ15" t="str">
            <v/>
          </cell>
        </row>
        <row r="17">
          <cell r="AZ17" t="str">
            <v/>
          </cell>
        </row>
        <row r="19">
          <cell r="AZ19" t="str">
            <v/>
          </cell>
        </row>
        <row r="21">
          <cell r="AZ21" t="str">
            <v/>
          </cell>
        </row>
        <row r="23">
          <cell r="AZ23" t="str">
            <v/>
          </cell>
        </row>
        <row r="25">
          <cell r="AZ25" t="str">
            <v/>
          </cell>
        </row>
        <row r="27">
          <cell r="AZ27" t="str">
            <v/>
          </cell>
        </row>
        <row r="29">
          <cell r="AZ29" t="str">
            <v/>
          </cell>
        </row>
        <row r="31">
          <cell r="AZ31" t="str">
            <v/>
          </cell>
        </row>
        <row r="33">
          <cell r="AZ33" t="str">
            <v/>
          </cell>
        </row>
        <row r="35">
          <cell r="AZ35" t="str">
            <v/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">
          <cell r="R4" t="str">
            <v/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9">
          <cell r="T9" t="str">
            <v/>
          </cell>
        </row>
        <row r="10">
          <cell r="T10" t="str">
            <v/>
          </cell>
        </row>
        <row r="11">
          <cell r="T11" t="str">
            <v/>
          </cell>
        </row>
        <row r="12">
          <cell r="T12" t="str">
            <v/>
          </cell>
        </row>
        <row r="13">
          <cell r="T13" t="str">
            <v/>
          </cell>
        </row>
        <row r="14">
          <cell r="T14" t="str">
            <v/>
          </cell>
        </row>
        <row r="15">
          <cell r="T15" t="str">
            <v/>
          </cell>
        </row>
        <row r="16">
          <cell r="T16" t="str">
            <v/>
          </cell>
        </row>
        <row r="17">
          <cell r="T17" t="str">
            <v/>
          </cell>
        </row>
        <row r="18">
          <cell r="T18" t="str">
            <v/>
          </cell>
        </row>
        <row r="19">
          <cell r="T19" t="str">
            <v/>
          </cell>
        </row>
        <row r="20">
          <cell r="T20" t="str">
            <v/>
          </cell>
        </row>
        <row r="21">
          <cell r="T21" t="str">
            <v/>
          </cell>
        </row>
        <row r="22">
          <cell r="T22" t="str">
            <v/>
          </cell>
        </row>
        <row r="23">
          <cell r="T23" t="str">
            <v/>
          </cell>
        </row>
        <row r="24">
          <cell r="T24" t="str">
            <v/>
          </cell>
        </row>
        <row r="25">
          <cell r="T25" t="str">
            <v/>
          </cell>
        </row>
        <row r="26">
          <cell r="T26" t="str">
            <v/>
          </cell>
        </row>
        <row r="27">
          <cell r="T27" t="str">
            <v/>
          </cell>
        </row>
        <row r="28">
          <cell r="T28" t="str">
            <v/>
          </cell>
        </row>
        <row r="29">
          <cell r="T29" t="str">
            <v/>
          </cell>
        </row>
        <row r="30">
          <cell r="T30" t="str">
            <v/>
          </cell>
        </row>
        <row r="31">
          <cell r="T31" t="str">
            <v/>
          </cell>
        </row>
        <row r="32">
          <cell r="T32" t="str">
            <v/>
          </cell>
        </row>
        <row r="33">
          <cell r="T33" t="str">
            <v/>
          </cell>
        </row>
        <row r="34">
          <cell r="T34" t="str">
            <v/>
          </cell>
        </row>
        <row r="35">
          <cell r="T35" t="str">
            <v/>
          </cell>
        </row>
        <row r="36">
          <cell r="T36" t="str">
            <v/>
          </cell>
        </row>
        <row r="37">
          <cell r="T37" t="str">
            <v/>
          </cell>
        </row>
        <row r="38">
          <cell r="T38" t="str">
            <v/>
          </cell>
        </row>
        <row r="39">
          <cell r="T39" t="str">
            <v/>
          </cell>
        </row>
        <row r="40">
          <cell r="T40" t="str">
            <v/>
          </cell>
        </row>
        <row r="41">
          <cell r="T41" t="str">
            <v/>
          </cell>
        </row>
        <row r="42">
          <cell r="T42" t="str">
            <v/>
          </cell>
        </row>
        <row r="43">
          <cell r="T43" t="str">
            <v/>
          </cell>
        </row>
        <row r="44">
          <cell r="T44" t="str">
            <v/>
          </cell>
        </row>
        <row r="45">
          <cell r="T45" t="str">
            <v/>
          </cell>
        </row>
        <row r="46">
          <cell r="T46" t="str">
            <v/>
          </cell>
        </row>
        <row r="47">
          <cell r="T47" t="str">
            <v/>
          </cell>
        </row>
        <row r="48">
          <cell r="T48" t="str">
            <v/>
          </cell>
        </row>
        <row r="49">
          <cell r="T49" t="str">
            <v/>
          </cell>
        </row>
        <row r="50">
          <cell r="T50" t="str">
            <v/>
          </cell>
        </row>
        <row r="51">
          <cell r="T51" t="str">
            <v/>
          </cell>
        </row>
        <row r="52">
          <cell r="T52" t="str">
            <v/>
          </cell>
        </row>
        <row r="53">
          <cell r="T53" t="str">
            <v/>
          </cell>
        </row>
        <row r="54">
          <cell r="T54" t="str">
            <v/>
          </cell>
        </row>
        <row r="55">
          <cell r="T55" t="str">
            <v/>
          </cell>
        </row>
        <row r="56">
          <cell r="T56" t="str">
            <v/>
          </cell>
        </row>
        <row r="57">
          <cell r="T57" t="str">
            <v/>
          </cell>
        </row>
        <row r="58">
          <cell r="T58" t="str">
            <v/>
          </cell>
        </row>
        <row r="59">
          <cell r="T59" t="str">
            <v/>
          </cell>
        </row>
        <row r="60">
          <cell r="T60" t="str">
            <v/>
          </cell>
        </row>
        <row r="61">
          <cell r="T61" t="str">
            <v/>
          </cell>
        </row>
        <row r="62">
          <cell r="T62" t="str">
            <v/>
          </cell>
        </row>
        <row r="63">
          <cell r="T63" t="str">
            <v/>
          </cell>
        </row>
        <row r="64">
          <cell r="T64" t="str">
            <v/>
          </cell>
        </row>
        <row r="65">
          <cell r="T65" t="str">
            <v/>
          </cell>
        </row>
        <row r="66">
          <cell r="T66" t="str">
            <v/>
          </cell>
        </row>
        <row r="67">
          <cell r="T67" t="str">
            <v/>
          </cell>
        </row>
        <row r="68">
          <cell r="T68" t="str">
            <v/>
          </cell>
        </row>
        <row r="69">
          <cell r="T69" t="str">
            <v/>
          </cell>
        </row>
        <row r="70">
          <cell r="T70" t="str">
            <v/>
          </cell>
        </row>
        <row r="71">
          <cell r="T71" t="str">
            <v/>
          </cell>
        </row>
        <row r="72">
          <cell r="T72" t="str">
            <v/>
          </cell>
        </row>
        <row r="73">
          <cell r="T73" t="str">
            <v/>
          </cell>
        </row>
        <row r="74">
          <cell r="T74" t="str">
            <v/>
          </cell>
        </row>
        <row r="75">
          <cell r="T75" t="str">
            <v/>
          </cell>
        </row>
        <row r="76">
          <cell r="T76" t="str">
            <v/>
          </cell>
        </row>
        <row r="77">
          <cell r="T77" t="str">
            <v/>
          </cell>
        </row>
        <row r="78">
          <cell r="T78" t="str">
            <v/>
          </cell>
        </row>
        <row r="79">
          <cell r="T79" t="str">
            <v/>
          </cell>
        </row>
        <row r="80">
          <cell r="T80" t="str">
            <v/>
          </cell>
        </row>
        <row r="81">
          <cell r="T81" t="str">
            <v/>
          </cell>
        </row>
        <row r="82">
          <cell r="T82" t="str">
            <v/>
          </cell>
        </row>
        <row r="83">
          <cell r="T83" t="str">
            <v/>
          </cell>
        </row>
        <row r="84">
          <cell r="T84" t="str">
            <v/>
          </cell>
        </row>
        <row r="85">
          <cell r="T85" t="str">
            <v/>
          </cell>
        </row>
        <row r="86">
          <cell r="T86" t="str">
            <v/>
          </cell>
        </row>
        <row r="87">
          <cell r="T87" t="str">
            <v/>
          </cell>
        </row>
        <row r="88">
          <cell r="T88" t="str">
            <v/>
          </cell>
        </row>
        <row r="89">
          <cell r="T89" t="str">
            <v/>
          </cell>
        </row>
        <row r="90">
          <cell r="T90" t="str">
            <v/>
          </cell>
        </row>
        <row r="91">
          <cell r="T91" t="str">
            <v/>
          </cell>
        </row>
        <row r="92">
          <cell r="T92" t="str">
            <v/>
          </cell>
        </row>
        <row r="93">
          <cell r="T93" t="str">
            <v/>
          </cell>
        </row>
        <row r="94">
          <cell r="T94" t="str">
            <v/>
          </cell>
        </row>
        <row r="95">
          <cell r="T95" t="str">
            <v/>
          </cell>
        </row>
        <row r="96">
          <cell r="T96" t="str">
            <v/>
          </cell>
        </row>
        <row r="97">
          <cell r="T97" t="str">
            <v/>
          </cell>
        </row>
        <row r="98">
          <cell r="T98" t="str">
            <v/>
          </cell>
        </row>
        <row r="99">
          <cell r="T99" t="str">
            <v/>
          </cell>
        </row>
        <row r="100">
          <cell r="T100" t="str">
            <v/>
          </cell>
        </row>
        <row r="101">
          <cell r="T101" t="str">
            <v/>
          </cell>
        </row>
        <row r="102">
          <cell r="T102" t="str">
            <v/>
          </cell>
        </row>
        <row r="103">
          <cell r="T103" t="str">
            <v/>
          </cell>
        </row>
        <row r="104">
          <cell r="T104" t="str">
            <v/>
          </cell>
        </row>
        <row r="105">
          <cell r="T105" t="str">
            <v/>
          </cell>
        </row>
      </sheetData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 участников"/>
      <sheetName val="Жеребьевка"/>
      <sheetName val="гр (1-4)"/>
      <sheetName val="гр (5-8)"/>
      <sheetName val="гр (9-12)"/>
      <sheetName val="гр (13-16)"/>
      <sheetName val="для судей"/>
      <sheetName val="1Ф КРУГ"/>
      <sheetName val="2Ф КРУГ"/>
      <sheetName val="3Ф КРУГ"/>
      <sheetName val="4Ф КРУГ"/>
      <sheetName val="2Ф(-32)"/>
      <sheetName val="2Ф(32)"/>
      <sheetName val="16 "/>
      <sheetName val="16 (-2)"/>
      <sheetName val="4фин(кр)"/>
      <sheetName val="св.прот 1ф"/>
      <sheetName val="св.прот 2ф"/>
      <sheetName val="св.прот 3ф"/>
      <sheetName val="св.прот 4ф"/>
      <sheetName val="Протокол (32)"/>
      <sheetName val="Протокол (-32)"/>
      <sheetName val="Порядок встреч 1Ф"/>
      <sheetName val="Порядок встреч 2Ф"/>
      <sheetName val="Порядок встреч 3Ф"/>
      <sheetName val="Порядок встреч 4Ф"/>
      <sheetName val="Бегунки 1Ф"/>
      <sheetName val="Лист1"/>
      <sheetName val="Бегунки 2Ф"/>
      <sheetName val="Бегунки 3Ф"/>
      <sheetName val="Бегунки 4Ф"/>
      <sheetName val="R-Муж"/>
      <sheetName val="Плейофф"/>
      <sheetName val="ОФП и СФП"/>
      <sheetName val="Места в группе"/>
      <sheetName val="Расчет"/>
    </sheetNames>
    <sheetDataSet>
      <sheetData sheetId="0"/>
      <sheetData sheetId="1" refreshError="1"/>
      <sheetData sheetId="2">
        <row r="5">
          <cell r="AH5" t="str">
            <v/>
          </cell>
        </row>
        <row r="7">
          <cell r="AH7" t="str">
            <v/>
          </cell>
        </row>
        <row r="9">
          <cell r="AH9" t="str">
            <v/>
          </cell>
        </row>
        <row r="11">
          <cell r="AH11" t="str">
            <v/>
          </cell>
        </row>
        <row r="13">
          <cell r="AH13" t="str">
            <v/>
          </cell>
        </row>
        <row r="15">
          <cell r="AH15" t="str">
            <v/>
          </cell>
        </row>
        <row r="17">
          <cell r="AH17" t="str">
            <v/>
          </cell>
        </row>
        <row r="19">
          <cell r="AH19" t="str">
            <v/>
          </cell>
        </row>
        <row r="21">
          <cell r="AH21" t="str">
            <v/>
          </cell>
        </row>
        <row r="25">
          <cell r="B25">
            <v>2</v>
          </cell>
          <cell r="AH25">
            <v>1</v>
          </cell>
        </row>
        <row r="27">
          <cell r="B27">
            <v>29</v>
          </cell>
          <cell r="AH27">
            <v>3</v>
          </cell>
        </row>
        <row r="29">
          <cell r="B29">
            <v>34</v>
          </cell>
          <cell r="AH29">
            <v>2</v>
          </cell>
        </row>
        <row r="31">
          <cell r="B31">
            <v>63</v>
          </cell>
          <cell r="AH31">
            <v>4</v>
          </cell>
        </row>
        <row r="33">
          <cell r="AH33" t="str">
            <v/>
          </cell>
        </row>
        <row r="35">
          <cell r="AH35" t="str">
            <v/>
          </cell>
        </row>
        <row r="37">
          <cell r="AH37" t="str">
            <v/>
          </cell>
        </row>
        <row r="39">
          <cell r="AH39" t="str">
            <v/>
          </cell>
        </row>
        <row r="41">
          <cell r="AH41" t="str">
            <v/>
          </cell>
        </row>
        <row r="45">
          <cell r="B45">
            <v>3</v>
          </cell>
          <cell r="AH45">
            <v>1</v>
          </cell>
        </row>
        <row r="47">
          <cell r="B47">
            <v>32</v>
          </cell>
          <cell r="AH47">
            <v>3</v>
          </cell>
        </row>
        <row r="49">
          <cell r="B49">
            <v>35</v>
          </cell>
          <cell r="AH49">
            <v>2</v>
          </cell>
        </row>
        <row r="51">
          <cell r="B51">
            <v>62</v>
          </cell>
          <cell r="AH51">
            <v>5</v>
          </cell>
        </row>
        <row r="53">
          <cell r="B53">
            <v>67</v>
          </cell>
          <cell r="AH53">
            <v>4</v>
          </cell>
        </row>
        <row r="55">
          <cell r="AH55" t="str">
            <v/>
          </cell>
        </row>
        <row r="57">
          <cell r="AH57" t="str">
            <v/>
          </cell>
        </row>
        <row r="59">
          <cell r="AH59" t="str">
            <v/>
          </cell>
        </row>
        <row r="61">
          <cell r="AH61" t="str">
            <v/>
          </cell>
        </row>
        <row r="65">
          <cell r="B65">
            <v>4</v>
          </cell>
          <cell r="AH65">
            <v>1</v>
          </cell>
        </row>
        <row r="67">
          <cell r="B67">
            <v>31</v>
          </cell>
          <cell r="AH67">
            <v>3</v>
          </cell>
        </row>
        <row r="69">
          <cell r="B69">
            <v>37</v>
          </cell>
          <cell r="AH69">
            <v>2</v>
          </cell>
        </row>
        <row r="71">
          <cell r="B71">
            <v>61</v>
          </cell>
          <cell r="AH71">
            <v>4</v>
          </cell>
        </row>
        <row r="73">
          <cell r="AH73" t="str">
            <v/>
          </cell>
        </row>
        <row r="75">
          <cell r="AH75" t="str">
            <v/>
          </cell>
        </row>
        <row r="77">
          <cell r="AH77" t="str">
            <v/>
          </cell>
        </row>
        <row r="79">
          <cell r="AH79" t="str">
            <v/>
          </cell>
        </row>
        <row r="81">
          <cell r="AH81" t="str">
            <v/>
          </cell>
        </row>
      </sheetData>
      <sheetData sheetId="3">
        <row r="5">
          <cell r="B5">
            <v>5</v>
          </cell>
          <cell r="AE5">
            <v>6</v>
          </cell>
          <cell r="AH5">
            <v>1</v>
          </cell>
        </row>
        <row r="7">
          <cell r="B7">
            <v>28</v>
          </cell>
          <cell r="AE7">
            <v>5</v>
          </cell>
          <cell r="AH7">
            <v>2</v>
          </cell>
        </row>
        <row r="9">
          <cell r="B9">
            <v>38</v>
          </cell>
          <cell r="AE9">
            <v>4</v>
          </cell>
          <cell r="AH9">
            <v>3</v>
          </cell>
        </row>
        <row r="11">
          <cell r="B11">
            <v>60</v>
          </cell>
          <cell r="AE11">
            <v>3</v>
          </cell>
          <cell r="AH11">
            <v>4</v>
          </cell>
        </row>
        <row r="13">
          <cell r="AE13" t="str">
            <v/>
          </cell>
          <cell r="AH13" t="str">
            <v/>
          </cell>
        </row>
        <row r="15">
          <cell r="AE15" t="str">
            <v/>
          </cell>
          <cell r="AH15" t="str">
            <v/>
          </cell>
        </row>
        <row r="17">
          <cell r="AE17" t="str">
            <v/>
          </cell>
          <cell r="AH17" t="str">
            <v/>
          </cell>
        </row>
        <row r="19">
          <cell r="AE19" t="str">
            <v/>
          </cell>
          <cell r="AH19" t="str">
            <v/>
          </cell>
        </row>
        <row r="21">
          <cell r="AE21" t="str">
            <v/>
          </cell>
          <cell r="AH21" t="str">
            <v/>
          </cell>
        </row>
        <row r="25">
          <cell r="B25">
            <v>6</v>
          </cell>
          <cell r="AE25">
            <v>6</v>
          </cell>
          <cell r="AH25">
            <v>1</v>
          </cell>
        </row>
        <row r="27">
          <cell r="B27">
            <v>27</v>
          </cell>
          <cell r="AE27">
            <v>5</v>
          </cell>
          <cell r="AH27">
            <v>2</v>
          </cell>
        </row>
        <row r="29">
          <cell r="B29">
            <v>39</v>
          </cell>
          <cell r="AE29">
            <v>4</v>
          </cell>
          <cell r="AH29">
            <v>3</v>
          </cell>
        </row>
        <row r="31">
          <cell r="B31">
            <v>59</v>
          </cell>
          <cell r="AE31">
            <v>3</v>
          </cell>
          <cell r="AH31">
            <v>4</v>
          </cell>
        </row>
        <row r="33">
          <cell r="AE33" t="str">
            <v/>
          </cell>
          <cell r="AH33" t="str">
            <v/>
          </cell>
        </row>
        <row r="35">
          <cell r="AE35" t="str">
            <v/>
          </cell>
          <cell r="AH35" t="str">
            <v/>
          </cell>
        </row>
        <row r="37">
          <cell r="AE37" t="str">
            <v/>
          </cell>
          <cell r="AH37" t="str">
            <v/>
          </cell>
        </row>
        <row r="39">
          <cell r="AE39" t="str">
            <v/>
          </cell>
          <cell r="AH39" t="str">
            <v/>
          </cell>
        </row>
        <row r="41">
          <cell r="AE41" t="str">
            <v/>
          </cell>
          <cell r="AH41" t="str">
            <v/>
          </cell>
        </row>
        <row r="45">
          <cell r="B45">
            <v>7</v>
          </cell>
          <cell r="AE45">
            <v>6</v>
          </cell>
          <cell r="AH45">
            <v>1</v>
          </cell>
        </row>
        <row r="47">
          <cell r="B47">
            <v>26</v>
          </cell>
          <cell r="AE47">
            <v>5</v>
          </cell>
          <cell r="AH47">
            <v>2</v>
          </cell>
        </row>
        <row r="49">
          <cell r="B49">
            <v>36</v>
          </cell>
          <cell r="AE49">
            <v>4</v>
          </cell>
          <cell r="AH49">
            <v>3</v>
          </cell>
        </row>
        <row r="51">
          <cell r="B51">
            <v>58</v>
          </cell>
          <cell r="AE51">
            <v>3</v>
          </cell>
          <cell r="AH51">
            <v>4</v>
          </cell>
        </row>
        <row r="53">
          <cell r="AE53" t="str">
            <v/>
          </cell>
          <cell r="AH53" t="str">
            <v/>
          </cell>
        </row>
        <row r="55">
          <cell r="AE55" t="str">
            <v/>
          </cell>
          <cell r="AH55" t="str">
            <v/>
          </cell>
        </row>
        <row r="57">
          <cell r="AE57" t="str">
            <v/>
          </cell>
          <cell r="AH57" t="str">
            <v/>
          </cell>
        </row>
        <row r="59">
          <cell r="AE59" t="str">
            <v/>
          </cell>
          <cell r="AH59" t="str">
            <v/>
          </cell>
        </row>
        <row r="61">
          <cell r="AE61" t="str">
            <v/>
          </cell>
          <cell r="AH61" t="str">
            <v/>
          </cell>
        </row>
        <row r="65">
          <cell r="B65">
            <v>8</v>
          </cell>
          <cell r="AE65">
            <v>6</v>
          </cell>
          <cell r="AH65">
            <v>1</v>
          </cell>
        </row>
        <row r="67">
          <cell r="B67">
            <v>25</v>
          </cell>
          <cell r="AE67">
            <v>5</v>
          </cell>
          <cell r="AH67">
            <v>2</v>
          </cell>
        </row>
        <row r="69">
          <cell r="B69">
            <v>40</v>
          </cell>
          <cell r="AE69">
            <v>4</v>
          </cell>
          <cell r="AH69">
            <v>3</v>
          </cell>
        </row>
        <row r="71">
          <cell r="B71">
            <v>57</v>
          </cell>
          <cell r="AE71">
            <v>3</v>
          </cell>
          <cell r="AH71">
            <v>4</v>
          </cell>
        </row>
        <row r="73">
          <cell r="AE73" t="str">
            <v/>
          </cell>
          <cell r="AH73" t="str">
            <v/>
          </cell>
        </row>
        <row r="75">
          <cell r="AE75" t="str">
            <v/>
          </cell>
          <cell r="AH75" t="str">
            <v/>
          </cell>
        </row>
        <row r="77">
          <cell r="AE77" t="str">
            <v/>
          </cell>
          <cell r="AH77" t="str">
            <v/>
          </cell>
        </row>
        <row r="79">
          <cell r="AE79" t="str">
            <v/>
          </cell>
          <cell r="AH79" t="str">
            <v/>
          </cell>
        </row>
        <row r="81">
          <cell r="AE81" t="str">
            <v/>
          </cell>
          <cell r="AH81" t="str">
            <v/>
          </cell>
        </row>
      </sheetData>
      <sheetData sheetId="4">
        <row r="5">
          <cell r="B5">
            <v>9</v>
          </cell>
          <cell r="AE5">
            <v>6</v>
          </cell>
          <cell r="AH5">
            <v>1</v>
          </cell>
        </row>
        <row r="7">
          <cell r="B7">
            <v>24</v>
          </cell>
          <cell r="AE7">
            <v>5</v>
          </cell>
          <cell r="AH7">
            <v>2</v>
          </cell>
        </row>
        <row r="9">
          <cell r="B9">
            <v>45</v>
          </cell>
          <cell r="AE9">
            <v>4</v>
          </cell>
          <cell r="AH9">
            <v>3</v>
          </cell>
        </row>
        <row r="11">
          <cell r="B11">
            <v>56</v>
          </cell>
          <cell r="AE11">
            <v>3</v>
          </cell>
          <cell r="AH11">
            <v>4</v>
          </cell>
        </row>
        <row r="13">
          <cell r="AE13" t="str">
            <v/>
          </cell>
          <cell r="AH13" t="str">
            <v/>
          </cell>
        </row>
        <row r="15">
          <cell r="AE15" t="str">
            <v/>
          </cell>
          <cell r="AH15" t="str">
            <v/>
          </cell>
        </row>
        <row r="17">
          <cell r="AE17" t="str">
            <v/>
          </cell>
          <cell r="AH17" t="str">
            <v/>
          </cell>
        </row>
        <row r="19">
          <cell r="AE19" t="str">
            <v/>
          </cell>
          <cell r="AH19" t="str">
            <v/>
          </cell>
        </row>
        <row r="21">
          <cell r="AE21" t="str">
            <v/>
          </cell>
          <cell r="AH21" t="str">
            <v/>
          </cell>
        </row>
        <row r="25">
          <cell r="B25">
            <v>10</v>
          </cell>
          <cell r="AE25">
            <v>6</v>
          </cell>
          <cell r="AH25">
            <v>1</v>
          </cell>
        </row>
        <row r="27">
          <cell r="B27">
            <v>23</v>
          </cell>
          <cell r="AE27">
            <v>5</v>
          </cell>
          <cell r="AH27">
            <v>2</v>
          </cell>
        </row>
        <row r="29">
          <cell r="B29">
            <v>54</v>
          </cell>
          <cell r="AE29">
            <v>4</v>
          </cell>
          <cell r="AH29">
            <v>3</v>
          </cell>
        </row>
        <row r="31">
          <cell r="B31">
            <v>66</v>
          </cell>
          <cell r="AE31">
            <v>3</v>
          </cell>
          <cell r="AH31">
            <v>4</v>
          </cell>
        </row>
        <row r="33">
          <cell r="AE33" t="str">
            <v/>
          </cell>
          <cell r="AH33" t="str">
            <v/>
          </cell>
        </row>
        <row r="35">
          <cell r="AE35" t="str">
            <v/>
          </cell>
          <cell r="AH35" t="str">
            <v/>
          </cell>
        </row>
        <row r="37">
          <cell r="AE37" t="str">
            <v/>
          </cell>
          <cell r="AH37" t="str">
            <v/>
          </cell>
        </row>
        <row r="39">
          <cell r="AE39" t="str">
            <v/>
          </cell>
          <cell r="AH39" t="str">
            <v/>
          </cell>
        </row>
        <row r="41">
          <cell r="AE41" t="str">
            <v/>
          </cell>
          <cell r="AH41" t="str">
            <v/>
          </cell>
        </row>
        <row r="45">
          <cell r="B45">
            <v>11</v>
          </cell>
          <cell r="AE45">
            <v>6</v>
          </cell>
          <cell r="AH45">
            <v>1</v>
          </cell>
        </row>
        <row r="47">
          <cell r="B47">
            <v>22</v>
          </cell>
          <cell r="AE47">
            <v>5</v>
          </cell>
          <cell r="AH47">
            <v>2</v>
          </cell>
        </row>
        <row r="49">
          <cell r="B49">
            <v>43</v>
          </cell>
          <cell r="AE49">
            <v>4</v>
          </cell>
          <cell r="AH49">
            <v>3</v>
          </cell>
        </row>
        <row r="51">
          <cell r="B51">
            <v>55</v>
          </cell>
          <cell r="AE51">
            <v>3</v>
          </cell>
          <cell r="AH51">
            <v>4</v>
          </cell>
        </row>
        <row r="53">
          <cell r="AE53" t="str">
            <v/>
          </cell>
          <cell r="AH53" t="str">
            <v/>
          </cell>
        </row>
        <row r="55">
          <cell r="AE55" t="str">
            <v/>
          </cell>
          <cell r="AH55" t="str">
            <v/>
          </cell>
        </row>
        <row r="57">
          <cell r="AE57" t="str">
            <v/>
          </cell>
          <cell r="AH57" t="str">
            <v/>
          </cell>
        </row>
        <row r="59">
          <cell r="AE59" t="str">
            <v/>
          </cell>
          <cell r="AH59" t="str">
            <v/>
          </cell>
        </row>
        <row r="61">
          <cell r="AE61" t="str">
            <v/>
          </cell>
          <cell r="AH61" t="str">
            <v/>
          </cell>
        </row>
        <row r="65">
          <cell r="B65">
            <v>12</v>
          </cell>
          <cell r="AE65">
            <v>6</v>
          </cell>
          <cell r="AH65">
            <v>1</v>
          </cell>
        </row>
        <row r="67">
          <cell r="B67">
            <v>21</v>
          </cell>
          <cell r="AE67">
            <v>5</v>
          </cell>
          <cell r="AH67">
            <v>2</v>
          </cell>
        </row>
        <row r="69">
          <cell r="B69">
            <v>46</v>
          </cell>
          <cell r="AE69">
            <v>3</v>
          </cell>
          <cell r="AH69">
            <v>4</v>
          </cell>
        </row>
        <row r="71">
          <cell r="B71">
            <v>53</v>
          </cell>
          <cell r="AE71">
            <v>4</v>
          </cell>
          <cell r="AH71">
            <v>3</v>
          </cell>
        </row>
        <row r="73">
          <cell r="AE73" t="str">
            <v/>
          </cell>
          <cell r="AH73" t="str">
            <v/>
          </cell>
        </row>
        <row r="75">
          <cell r="AE75" t="str">
            <v/>
          </cell>
          <cell r="AH75" t="str">
            <v/>
          </cell>
        </row>
        <row r="77">
          <cell r="AE77" t="str">
            <v/>
          </cell>
          <cell r="AH77" t="str">
            <v/>
          </cell>
        </row>
        <row r="79">
          <cell r="AE79" t="str">
            <v/>
          </cell>
          <cell r="AH79" t="str">
            <v/>
          </cell>
        </row>
        <row r="81">
          <cell r="AE81" t="str">
            <v/>
          </cell>
          <cell r="AH81" t="str">
            <v/>
          </cell>
        </row>
      </sheetData>
      <sheetData sheetId="5">
        <row r="5">
          <cell r="B5">
            <v>13</v>
          </cell>
          <cell r="AE5">
            <v>8</v>
          </cell>
          <cell r="AH5">
            <v>1</v>
          </cell>
        </row>
        <row r="7">
          <cell r="B7">
            <v>20</v>
          </cell>
          <cell r="AE7">
            <v>7</v>
          </cell>
          <cell r="AH7">
            <v>2</v>
          </cell>
        </row>
        <row r="9">
          <cell r="B9">
            <v>47</v>
          </cell>
          <cell r="AE9">
            <v>5</v>
          </cell>
          <cell r="AH9">
            <v>5</v>
          </cell>
        </row>
        <row r="11">
          <cell r="B11">
            <v>52</v>
          </cell>
          <cell r="AE11">
            <v>5</v>
          </cell>
          <cell r="AH11">
            <v>4</v>
          </cell>
        </row>
        <row r="13">
          <cell r="B13">
            <v>68</v>
          </cell>
          <cell r="AE13">
            <v>5</v>
          </cell>
          <cell r="AH13">
            <v>3</v>
          </cell>
        </row>
        <row r="15">
          <cell r="AE15" t="str">
            <v/>
          </cell>
          <cell r="AH15" t="str">
            <v/>
          </cell>
        </row>
        <row r="17">
          <cell r="AE17" t="str">
            <v/>
          </cell>
          <cell r="AH17" t="str">
            <v/>
          </cell>
        </row>
        <row r="19">
          <cell r="AE19" t="str">
            <v/>
          </cell>
          <cell r="AH19" t="str">
            <v/>
          </cell>
        </row>
        <row r="21">
          <cell r="AE21" t="str">
            <v/>
          </cell>
          <cell r="AH21" t="str">
            <v/>
          </cell>
        </row>
        <row r="25">
          <cell r="B25">
            <v>14</v>
          </cell>
          <cell r="AE25">
            <v>6</v>
          </cell>
          <cell r="AH25">
            <v>1</v>
          </cell>
        </row>
        <row r="27">
          <cell r="B27">
            <v>18</v>
          </cell>
          <cell r="AE27">
            <v>5</v>
          </cell>
          <cell r="AH27">
            <v>2</v>
          </cell>
        </row>
        <row r="29">
          <cell r="B29">
            <v>41</v>
          </cell>
          <cell r="AE29">
            <v>3</v>
          </cell>
          <cell r="AH29">
            <v>4</v>
          </cell>
        </row>
        <row r="31">
          <cell r="B31">
            <v>51</v>
          </cell>
          <cell r="AE31">
            <v>4</v>
          </cell>
          <cell r="AH31">
            <v>3</v>
          </cell>
        </row>
        <row r="33">
          <cell r="AE33" t="str">
            <v/>
          </cell>
          <cell r="AH33" t="str">
            <v/>
          </cell>
        </row>
        <row r="35">
          <cell r="AE35" t="str">
            <v/>
          </cell>
          <cell r="AH35" t="str">
            <v/>
          </cell>
        </row>
        <row r="37">
          <cell r="AE37" t="str">
            <v/>
          </cell>
          <cell r="AH37" t="str">
            <v/>
          </cell>
        </row>
        <row r="39">
          <cell r="AE39" t="str">
            <v/>
          </cell>
          <cell r="AH39" t="str">
            <v/>
          </cell>
        </row>
        <row r="41">
          <cell r="AE41" t="str">
            <v/>
          </cell>
          <cell r="AH41" t="str">
            <v/>
          </cell>
        </row>
        <row r="45">
          <cell r="B45">
            <v>15</v>
          </cell>
          <cell r="AE45">
            <v>5</v>
          </cell>
          <cell r="AH45">
            <v>2</v>
          </cell>
        </row>
        <row r="47">
          <cell r="B47">
            <v>17</v>
          </cell>
          <cell r="AE47">
            <v>6</v>
          </cell>
          <cell r="AH47">
            <v>1</v>
          </cell>
        </row>
        <row r="49">
          <cell r="B49">
            <v>44</v>
          </cell>
          <cell r="AE49">
            <v>3</v>
          </cell>
          <cell r="AH49">
            <v>4</v>
          </cell>
        </row>
        <row r="51">
          <cell r="B51">
            <v>50</v>
          </cell>
          <cell r="AE51">
            <v>4</v>
          </cell>
          <cell r="AH51">
            <v>3</v>
          </cell>
        </row>
        <row r="53">
          <cell r="AE53" t="str">
            <v/>
          </cell>
          <cell r="AH53" t="str">
            <v/>
          </cell>
        </row>
        <row r="55">
          <cell r="AE55" t="str">
            <v/>
          </cell>
          <cell r="AH55" t="str">
            <v/>
          </cell>
        </row>
        <row r="57">
          <cell r="AE57" t="str">
            <v/>
          </cell>
          <cell r="AH57" t="str">
            <v/>
          </cell>
        </row>
        <row r="59">
          <cell r="AE59" t="str">
            <v/>
          </cell>
          <cell r="AH59" t="str">
            <v/>
          </cell>
        </row>
        <row r="61">
          <cell r="AE61" t="str">
            <v/>
          </cell>
          <cell r="AH61" t="str">
            <v/>
          </cell>
        </row>
        <row r="65">
          <cell r="B65">
            <v>16</v>
          </cell>
          <cell r="AE65">
            <v>6</v>
          </cell>
          <cell r="AH65">
            <v>1</v>
          </cell>
        </row>
        <row r="67">
          <cell r="B67">
            <v>19</v>
          </cell>
          <cell r="AE67">
            <v>5</v>
          </cell>
          <cell r="AH67">
            <v>2</v>
          </cell>
        </row>
        <row r="69">
          <cell r="B69">
            <v>48</v>
          </cell>
          <cell r="AE69">
            <v>3</v>
          </cell>
          <cell r="AH69">
            <v>4</v>
          </cell>
        </row>
        <row r="71">
          <cell r="B71">
            <v>49</v>
          </cell>
          <cell r="AE71">
            <v>4</v>
          </cell>
          <cell r="AH71">
            <v>3</v>
          </cell>
        </row>
        <row r="73">
          <cell r="AE73" t="str">
            <v/>
          </cell>
          <cell r="AH73" t="str">
            <v/>
          </cell>
        </row>
        <row r="75">
          <cell r="AE75" t="str">
            <v/>
          </cell>
          <cell r="AH75" t="str">
            <v/>
          </cell>
        </row>
        <row r="77">
          <cell r="AE77" t="str">
            <v/>
          </cell>
          <cell r="AH77" t="str">
            <v/>
          </cell>
        </row>
        <row r="79">
          <cell r="AE79" t="str">
            <v/>
          </cell>
          <cell r="AH79" t="str">
            <v/>
          </cell>
        </row>
        <row r="81">
          <cell r="AE81" t="str">
            <v/>
          </cell>
          <cell r="AH81" t="str">
            <v/>
          </cell>
        </row>
      </sheetData>
      <sheetData sheetId="6" refreshError="1"/>
      <sheetData sheetId="7">
        <row r="5">
          <cell r="AZ5">
            <v>25</v>
          </cell>
        </row>
        <row r="7">
          <cell r="AZ7">
            <v>25</v>
          </cell>
        </row>
        <row r="9">
          <cell r="AZ9">
            <v>28</v>
          </cell>
        </row>
        <row r="11">
          <cell r="AZ11">
            <v>30</v>
          </cell>
        </row>
        <row r="13">
          <cell r="AZ13">
            <v>17</v>
          </cell>
        </row>
        <row r="15">
          <cell r="AZ15">
            <v>25</v>
          </cell>
        </row>
        <row r="17">
          <cell r="AZ17">
            <v>24</v>
          </cell>
        </row>
        <row r="19">
          <cell r="AZ19">
            <v>21</v>
          </cell>
        </row>
        <row r="21">
          <cell r="AZ21">
            <v>27</v>
          </cell>
        </row>
        <row r="23">
          <cell r="AZ23">
            <v>19</v>
          </cell>
        </row>
        <row r="25">
          <cell r="AZ25">
            <v>22</v>
          </cell>
        </row>
        <row r="27">
          <cell r="AZ27">
            <v>3</v>
          </cell>
        </row>
        <row r="29">
          <cell r="AZ29">
            <v>21</v>
          </cell>
        </row>
        <row r="31">
          <cell r="AZ31">
            <v>21</v>
          </cell>
        </row>
        <row r="33">
          <cell r="AZ33">
            <v>18</v>
          </cell>
        </row>
        <row r="35">
          <cell r="AZ35">
            <v>21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9">
          <cell r="T9" t="str">
            <v/>
          </cell>
        </row>
        <row r="10">
          <cell r="T10" t="str">
            <v/>
          </cell>
        </row>
        <row r="11">
          <cell r="T11" t="str">
            <v/>
          </cell>
        </row>
        <row r="12">
          <cell r="T12" t="str">
            <v/>
          </cell>
        </row>
        <row r="13">
          <cell r="T13" t="str">
            <v/>
          </cell>
        </row>
        <row r="14">
          <cell r="T14" t="str">
            <v/>
          </cell>
        </row>
        <row r="15">
          <cell r="T15" t="str">
            <v/>
          </cell>
        </row>
        <row r="16">
          <cell r="T16" t="str">
            <v/>
          </cell>
        </row>
        <row r="17">
          <cell r="T17" t="str">
            <v/>
          </cell>
        </row>
        <row r="18">
          <cell r="T18" t="str">
            <v/>
          </cell>
        </row>
        <row r="19">
          <cell r="T19" t="str">
            <v/>
          </cell>
        </row>
        <row r="20">
          <cell r="T20" t="str">
            <v/>
          </cell>
        </row>
        <row r="21">
          <cell r="T21" t="str">
            <v/>
          </cell>
        </row>
        <row r="22">
          <cell r="T22" t="str">
            <v/>
          </cell>
        </row>
        <row r="23">
          <cell r="T23" t="str">
            <v/>
          </cell>
        </row>
        <row r="24">
          <cell r="T24" t="str">
            <v/>
          </cell>
        </row>
        <row r="25">
          <cell r="T25" t="str">
            <v/>
          </cell>
        </row>
        <row r="26">
          <cell r="T26" t="str">
            <v/>
          </cell>
        </row>
        <row r="27">
          <cell r="T27" t="str">
            <v/>
          </cell>
        </row>
        <row r="28">
          <cell r="T28" t="str">
            <v/>
          </cell>
        </row>
        <row r="29">
          <cell r="T29" t="str">
            <v/>
          </cell>
        </row>
        <row r="30">
          <cell r="T30" t="str">
            <v/>
          </cell>
        </row>
        <row r="31">
          <cell r="T31" t="str">
            <v/>
          </cell>
        </row>
        <row r="32">
          <cell r="T32" t="str">
            <v/>
          </cell>
        </row>
        <row r="33">
          <cell r="T33" t="str">
            <v/>
          </cell>
        </row>
        <row r="34">
          <cell r="T34" t="str">
            <v/>
          </cell>
        </row>
        <row r="35">
          <cell r="T35" t="str">
            <v/>
          </cell>
        </row>
        <row r="36">
          <cell r="T36" t="str">
            <v/>
          </cell>
        </row>
        <row r="37">
          <cell r="T37" t="str">
            <v/>
          </cell>
        </row>
        <row r="38">
          <cell r="T38" t="str">
            <v/>
          </cell>
        </row>
        <row r="39">
          <cell r="T39" t="str">
            <v/>
          </cell>
        </row>
        <row r="40">
          <cell r="T40" t="str">
            <v/>
          </cell>
        </row>
        <row r="41">
          <cell r="T41" t="str">
            <v/>
          </cell>
        </row>
        <row r="42">
          <cell r="T42" t="str">
            <v/>
          </cell>
        </row>
        <row r="43">
          <cell r="T43" t="str">
            <v/>
          </cell>
        </row>
        <row r="44">
          <cell r="T44" t="str">
            <v/>
          </cell>
        </row>
        <row r="45">
          <cell r="T45" t="str">
            <v/>
          </cell>
        </row>
        <row r="46">
          <cell r="T46" t="str">
            <v/>
          </cell>
        </row>
        <row r="47">
          <cell r="T47" t="str">
            <v/>
          </cell>
        </row>
        <row r="48">
          <cell r="T48" t="str">
            <v/>
          </cell>
        </row>
        <row r="49">
          <cell r="T49" t="str">
            <v/>
          </cell>
        </row>
        <row r="50">
          <cell r="T50" t="str">
            <v/>
          </cell>
        </row>
        <row r="51">
          <cell r="T51" t="str">
            <v/>
          </cell>
        </row>
        <row r="52">
          <cell r="T52" t="str">
            <v/>
          </cell>
        </row>
        <row r="53">
          <cell r="T53" t="str">
            <v/>
          </cell>
        </row>
        <row r="54">
          <cell r="T54" t="str">
            <v/>
          </cell>
        </row>
        <row r="55">
          <cell r="T55" t="str">
            <v/>
          </cell>
        </row>
        <row r="56">
          <cell r="T56" t="str">
            <v/>
          </cell>
        </row>
        <row r="57">
          <cell r="T57" t="str">
            <v/>
          </cell>
        </row>
        <row r="58">
          <cell r="T58" t="str">
            <v/>
          </cell>
        </row>
        <row r="59">
          <cell r="T59" t="str">
            <v/>
          </cell>
        </row>
        <row r="60">
          <cell r="T60" t="str">
            <v/>
          </cell>
        </row>
        <row r="61">
          <cell r="T61" t="str">
            <v/>
          </cell>
        </row>
        <row r="62">
          <cell r="T62" t="str">
            <v/>
          </cell>
        </row>
        <row r="63">
          <cell r="T63" t="str">
            <v/>
          </cell>
        </row>
        <row r="64">
          <cell r="T64" t="str">
            <v/>
          </cell>
        </row>
        <row r="65">
          <cell r="T65" t="str">
            <v/>
          </cell>
        </row>
        <row r="66">
          <cell r="T66" t="str">
            <v/>
          </cell>
        </row>
        <row r="67">
          <cell r="T67" t="str">
            <v/>
          </cell>
        </row>
        <row r="68">
          <cell r="T68" t="str">
            <v/>
          </cell>
        </row>
        <row r="69">
          <cell r="T69" t="str">
            <v/>
          </cell>
        </row>
        <row r="70">
          <cell r="T70" t="str">
            <v/>
          </cell>
        </row>
        <row r="71">
          <cell r="T71" t="str">
            <v/>
          </cell>
        </row>
        <row r="72">
          <cell r="T72" t="str">
            <v/>
          </cell>
        </row>
        <row r="73">
          <cell r="T73" t="str">
            <v/>
          </cell>
        </row>
        <row r="74">
          <cell r="T74" t="str">
            <v/>
          </cell>
        </row>
        <row r="75">
          <cell r="T75" t="str">
            <v/>
          </cell>
        </row>
        <row r="76">
          <cell r="T76" t="str">
            <v/>
          </cell>
        </row>
        <row r="77">
          <cell r="T77" t="str">
            <v/>
          </cell>
        </row>
        <row r="78">
          <cell r="T78" t="str">
            <v/>
          </cell>
        </row>
        <row r="79">
          <cell r="T79" t="str">
            <v/>
          </cell>
        </row>
        <row r="80">
          <cell r="T80" t="str">
            <v/>
          </cell>
        </row>
        <row r="81">
          <cell r="T81" t="str">
            <v/>
          </cell>
        </row>
        <row r="82">
          <cell r="T82" t="str">
            <v/>
          </cell>
        </row>
        <row r="83">
          <cell r="T83" t="str">
            <v/>
          </cell>
        </row>
        <row r="84">
          <cell r="T84" t="str">
            <v/>
          </cell>
        </row>
        <row r="85">
          <cell r="T85" t="str">
            <v/>
          </cell>
        </row>
        <row r="86">
          <cell r="T86" t="str">
            <v/>
          </cell>
        </row>
        <row r="87">
          <cell r="T87" t="str">
            <v/>
          </cell>
        </row>
        <row r="88">
          <cell r="T88" t="str">
            <v/>
          </cell>
        </row>
        <row r="89">
          <cell r="T89" t="str">
            <v/>
          </cell>
        </row>
        <row r="90">
          <cell r="T90" t="str">
            <v/>
          </cell>
        </row>
        <row r="91">
          <cell r="T91" t="str">
            <v/>
          </cell>
        </row>
        <row r="92">
          <cell r="T92" t="str">
            <v/>
          </cell>
        </row>
        <row r="93">
          <cell r="T93" t="str">
            <v/>
          </cell>
        </row>
        <row r="94">
          <cell r="T94" t="str">
            <v/>
          </cell>
        </row>
        <row r="95">
          <cell r="T95" t="str">
            <v/>
          </cell>
        </row>
        <row r="96">
          <cell r="T96" t="str">
            <v/>
          </cell>
        </row>
        <row r="97">
          <cell r="T97" t="str">
            <v/>
          </cell>
        </row>
        <row r="98">
          <cell r="T98" t="str">
            <v/>
          </cell>
        </row>
        <row r="99">
          <cell r="T99" t="str">
            <v/>
          </cell>
        </row>
        <row r="100">
          <cell r="T100" t="str">
            <v/>
          </cell>
        </row>
        <row r="101">
          <cell r="T101" t="str">
            <v/>
          </cell>
        </row>
        <row r="102">
          <cell r="T102" t="str">
            <v/>
          </cell>
        </row>
        <row r="103">
          <cell r="T103" t="str">
            <v/>
          </cell>
        </row>
        <row r="104">
          <cell r="T104" t="str">
            <v/>
          </cell>
        </row>
        <row r="105">
          <cell r="T105" t="str">
            <v/>
          </cell>
        </row>
      </sheetData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еребьевка_5"/>
      <sheetName val="Для судей"/>
      <sheetName val="Жеребьевка_9"/>
      <sheetName val="Титул"/>
      <sheetName val="Списки участников"/>
      <sheetName val="гр (1-8)"/>
      <sheetName val="гр (1-4)"/>
      <sheetName val="гр (5-8)"/>
      <sheetName val="гр (9-12)"/>
      <sheetName val="гр (13-16)"/>
      <sheetName val="3ФЛ"/>
      <sheetName val="4ФЛ"/>
      <sheetName val="S-32 (3)"/>
      <sheetName val="S32 (3)"/>
      <sheetName val="S-16 (2)"/>
      <sheetName val="S16 (1)"/>
      <sheetName val="Пр1Ф(кр)"/>
      <sheetName val="Пр2Ф(кр)"/>
      <sheetName val="Пр3Ф(кр)"/>
      <sheetName val="Пр4Ф(кр)"/>
      <sheetName val="Пр(-32)"/>
      <sheetName val="Пр(32)"/>
      <sheetName val="Пр(16)"/>
      <sheetName val="Пр(-16)"/>
      <sheetName val="ПВ 1Ф"/>
      <sheetName val="Порядок встреч 2Ф"/>
      <sheetName val="Порядок встреч 3Ф"/>
      <sheetName val="Порядок встреч 4Ф"/>
      <sheetName val="Бегунки 1Ф"/>
      <sheetName val="Лист1"/>
      <sheetName val="Бегунки 2Ф"/>
      <sheetName val="Бегунки 3Ф"/>
      <sheetName val="Бегунки 4Ф"/>
      <sheetName val="Плейофф"/>
      <sheetName val="гр (9-16)"/>
      <sheetName val="гр (17-24)"/>
      <sheetName val="гр (25-32)"/>
      <sheetName val="ОФП и СФП"/>
      <sheetName val="Места в Г9"/>
      <sheetName val="Места в Г5"/>
      <sheetName val="R-Муж"/>
      <sheetName val="Расчет"/>
      <sheetName val="ПФ1 (1-8)"/>
      <sheetName val="ПФ1 (9-16)"/>
      <sheetName val="ПФ2 (1-8)"/>
      <sheetName val="ПФ2 (9-16)"/>
      <sheetName val="KR (1)"/>
      <sheetName val="KR (2)"/>
      <sheetName val="KR (3)"/>
      <sheetName val="KR (4)"/>
      <sheetName val="KR (5)"/>
      <sheetName val="S-32 (1)"/>
      <sheetName val="S-32 (2)"/>
      <sheetName val="S-16 (1)"/>
      <sheetName val="S32 (1)"/>
      <sheetName val="S32 (2)"/>
      <sheetName val="СПГр"/>
      <sheetName val="СППф"/>
      <sheetName val="СПКр"/>
      <sheetName val="СПСет"/>
      <sheetName val="Service"/>
    </sheetNames>
    <sheetDataSet>
      <sheetData sheetId="0"/>
      <sheetData sheetId="1"/>
      <sheetData sheetId="2"/>
      <sheetData sheetId="3"/>
      <sheetData sheetId="4">
        <row r="1">
          <cell r="A1" t="str">
            <v>Всероссийские соревнования "Надежды России"</v>
          </cell>
        </row>
      </sheetData>
      <sheetData sheetId="5">
        <row r="5">
          <cell r="B5">
            <v>1</v>
          </cell>
          <cell r="L5">
            <v>1</v>
          </cell>
          <cell r="O5">
            <v>5</v>
          </cell>
          <cell r="Y5">
            <v>1</v>
          </cell>
        </row>
        <row r="7">
          <cell r="B7">
            <v>63</v>
          </cell>
          <cell r="L7">
            <v>1</v>
          </cell>
          <cell r="O7">
            <v>61</v>
          </cell>
          <cell r="Y7">
            <v>1</v>
          </cell>
        </row>
        <row r="9">
          <cell r="B9">
            <v>65</v>
          </cell>
          <cell r="L9">
            <v>1</v>
          </cell>
          <cell r="O9">
            <v>74</v>
          </cell>
          <cell r="Y9">
            <v>1</v>
          </cell>
        </row>
        <row r="11">
          <cell r="B11">
            <v>128</v>
          </cell>
          <cell r="L11">
            <v>1</v>
          </cell>
          <cell r="O11">
            <v>124</v>
          </cell>
          <cell r="Y11">
            <v>1</v>
          </cell>
        </row>
        <row r="13">
          <cell r="B13">
            <v>129</v>
          </cell>
          <cell r="L13">
            <v>1</v>
          </cell>
          <cell r="O13" t="str">
            <v/>
          </cell>
          <cell r="Y13" t="str">
            <v/>
          </cell>
        </row>
        <row r="17">
          <cell r="B17">
            <v>2</v>
          </cell>
          <cell r="L17">
            <v>1</v>
          </cell>
          <cell r="O17">
            <v>6</v>
          </cell>
          <cell r="Y17">
            <v>1</v>
          </cell>
        </row>
        <row r="19">
          <cell r="B19">
            <v>62</v>
          </cell>
          <cell r="L19">
            <v>1</v>
          </cell>
          <cell r="O19">
            <v>59</v>
          </cell>
          <cell r="Y19">
            <v>1</v>
          </cell>
        </row>
        <row r="21">
          <cell r="B21">
            <v>66</v>
          </cell>
          <cell r="L21">
            <v>1</v>
          </cell>
          <cell r="O21">
            <v>72</v>
          </cell>
          <cell r="Y21">
            <v>1</v>
          </cell>
        </row>
        <row r="23">
          <cell r="B23">
            <v>127</v>
          </cell>
          <cell r="L23">
            <v>1</v>
          </cell>
          <cell r="O23">
            <v>123</v>
          </cell>
          <cell r="Y23">
            <v>1</v>
          </cell>
        </row>
        <row r="25">
          <cell r="B25" t="str">
            <v/>
          </cell>
          <cell r="L25" t="str">
            <v/>
          </cell>
          <cell r="O25" t="str">
            <v/>
          </cell>
          <cell r="Y25" t="str">
            <v/>
          </cell>
        </row>
        <row r="29">
          <cell r="B29">
            <v>3</v>
          </cell>
          <cell r="L29">
            <v>1</v>
          </cell>
          <cell r="O29">
            <v>7</v>
          </cell>
          <cell r="Y29">
            <v>1</v>
          </cell>
        </row>
        <row r="31">
          <cell r="B31">
            <v>64</v>
          </cell>
          <cell r="L31">
            <v>1</v>
          </cell>
          <cell r="O31">
            <v>58</v>
          </cell>
          <cell r="Y31">
            <v>1</v>
          </cell>
        </row>
        <row r="33">
          <cell r="B33">
            <v>67</v>
          </cell>
          <cell r="L33">
            <v>1</v>
          </cell>
          <cell r="O33">
            <v>68</v>
          </cell>
          <cell r="Y33">
            <v>1</v>
          </cell>
        </row>
        <row r="35">
          <cell r="B35">
            <v>126</v>
          </cell>
          <cell r="L35">
            <v>1</v>
          </cell>
          <cell r="O35">
            <v>122</v>
          </cell>
          <cell r="Y35">
            <v>1</v>
          </cell>
        </row>
        <row r="37">
          <cell r="B37" t="str">
            <v/>
          </cell>
          <cell r="L37" t="str">
            <v/>
          </cell>
          <cell r="O37" t="str">
            <v/>
          </cell>
          <cell r="Y37" t="str">
            <v/>
          </cell>
        </row>
        <row r="41">
          <cell r="B41">
            <v>4</v>
          </cell>
          <cell r="L41">
            <v>1</v>
          </cell>
          <cell r="O41">
            <v>8</v>
          </cell>
          <cell r="Y41">
            <v>1</v>
          </cell>
        </row>
        <row r="43">
          <cell r="B43">
            <v>60</v>
          </cell>
          <cell r="L43">
            <v>1</v>
          </cell>
          <cell r="O43">
            <v>57</v>
          </cell>
          <cell r="Y43">
            <v>1</v>
          </cell>
        </row>
        <row r="45">
          <cell r="B45">
            <v>69</v>
          </cell>
          <cell r="L45">
            <v>1</v>
          </cell>
          <cell r="O45">
            <v>70</v>
          </cell>
          <cell r="Y45">
            <v>1</v>
          </cell>
        </row>
        <row r="47">
          <cell r="B47">
            <v>125</v>
          </cell>
          <cell r="L47">
            <v>1</v>
          </cell>
          <cell r="O47">
            <v>121</v>
          </cell>
          <cell r="Y47">
            <v>1</v>
          </cell>
        </row>
        <row r="49">
          <cell r="B49" t="str">
            <v/>
          </cell>
          <cell r="L49" t="str">
            <v/>
          </cell>
          <cell r="O49" t="str">
            <v/>
          </cell>
          <cell r="Y49" t="str">
            <v/>
          </cell>
        </row>
      </sheetData>
      <sheetData sheetId="6">
        <row r="5">
          <cell r="B5">
            <v>1</v>
          </cell>
          <cell r="P5">
            <v>1</v>
          </cell>
        </row>
        <row r="7">
          <cell r="B7">
            <v>32</v>
          </cell>
          <cell r="P7">
            <v>1</v>
          </cell>
        </row>
        <row r="9">
          <cell r="B9">
            <v>33</v>
          </cell>
          <cell r="P9">
            <v>1</v>
          </cell>
        </row>
        <row r="11">
          <cell r="B11">
            <v>64</v>
          </cell>
          <cell r="P11">
            <v>1</v>
          </cell>
        </row>
        <row r="13">
          <cell r="B13">
            <v>65</v>
          </cell>
          <cell r="P13">
            <v>1</v>
          </cell>
        </row>
        <row r="15">
          <cell r="B15">
            <v>90</v>
          </cell>
          <cell r="P15">
            <v>1</v>
          </cell>
        </row>
        <row r="17">
          <cell r="B17" t="str">
            <v/>
          </cell>
          <cell r="P17" t="str">
            <v/>
          </cell>
        </row>
        <row r="19">
          <cell r="B19" t="str">
            <v/>
          </cell>
          <cell r="P19" t="str">
            <v/>
          </cell>
        </row>
        <row r="21">
          <cell r="B21" t="str">
            <v/>
          </cell>
          <cell r="P21" t="str">
            <v/>
          </cell>
        </row>
        <row r="25">
          <cell r="B25">
            <v>2</v>
          </cell>
          <cell r="P25">
            <v>1</v>
          </cell>
        </row>
        <row r="27">
          <cell r="B27">
            <v>30</v>
          </cell>
          <cell r="P27">
            <v>1</v>
          </cell>
        </row>
        <row r="29">
          <cell r="B29">
            <v>34</v>
          </cell>
          <cell r="P29">
            <v>1</v>
          </cell>
        </row>
        <row r="31">
          <cell r="B31">
            <v>63</v>
          </cell>
          <cell r="P31">
            <v>1</v>
          </cell>
        </row>
        <row r="33">
          <cell r="B33">
            <v>68</v>
          </cell>
          <cell r="P33">
            <v>1</v>
          </cell>
        </row>
        <row r="35">
          <cell r="B35">
            <v>94</v>
          </cell>
          <cell r="P35">
            <v>1</v>
          </cell>
        </row>
        <row r="37">
          <cell r="B37" t="str">
            <v/>
          </cell>
          <cell r="P37" t="str">
            <v/>
          </cell>
        </row>
        <row r="39">
          <cell r="B39" t="str">
            <v/>
          </cell>
          <cell r="P39" t="str">
            <v/>
          </cell>
        </row>
        <row r="41">
          <cell r="B41" t="str">
            <v/>
          </cell>
          <cell r="P41" t="str">
            <v/>
          </cell>
        </row>
        <row r="45">
          <cell r="B45">
            <v>3</v>
          </cell>
          <cell r="P45">
            <v>1</v>
          </cell>
        </row>
        <row r="47">
          <cell r="B47">
            <v>31</v>
          </cell>
          <cell r="P47">
            <v>1</v>
          </cell>
        </row>
        <row r="49">
          <cell r="B49">
            <v>36</v>
          </cell>
          <cell r="P49">
            <v>1</v>
          </cell>
        </row>
        <row r="51">
          <cell r="B51">
            <v>62</v>
          </cell>
          <cell r="P51">
            <v>1</v>
          </cell>
        </row>
        <row r="53">
          <cell r="B53">
            <v>66</v>
          </cell>
          <cell r="P53">
            <v>1</v>
          </cell>
        </row>
        <row r="55">
          <cell r="B55">
            <v>95</v>
          </cell>
          <cell r="P55">
            <v>1</v>
          </cell>
        </row>
        <row r="57">
          <cell r="B57" t="str">
            <v/>
          </cell>
          <cell r="P57" t="str">
            <v/>
          </cell>
        </row>
        <row r="59">
          <cell r="B59" t="str">
            <v/>
          </cell>
          <cell r="P59" t="str">
            <v/>
          </cell>
        </row>
        <row r="61">
          <cell r="B61" t="str">
            <v/>
          </cell>
          <cell r="P61" t="str">
            <v/>
          </cell>
        </row>
        <row r="65">
          <cell r="B65">
            <v>4</v>
          </cell>
          <cell r="P65">
            <v>1</v>
          </cell>
        </row>
        <row r="67">
          <cell r="B67">
            <v>28</v>
          </cell>
          <cell r="P67">
            <v>1</v>
          </cell>
        </row>
        <row r="69">
          <cell r="B69">
            <v>37</v>
          </cell>
          <cell r="P69">
            <v>1</v>
          </cell>
        </row>
        <row r="71">
          <cell r="B71">
            <v>61</v>
          </cell>
          <cell r="P71">
            <v>1</v>
          </cell>
        </row>
        <row r="73">
          <cell r="B73">
            <v>67</v>
          </cell>
          <cell r="P73">
            <v>1</v>
          </cell>
        </row>
        <row r="75">
          <cell r="B75">
            <v>89</v>
          </cell>
          <cell r="P75">
            <v>1</v>
          </cell>
        </row>
        <row r="77">
          <cell r="B77" t="str">
            <v/>
          </cell>
          <cell r="P77" t="str">
            <v/>
          </cell>
        </row>
        <row r="79">
          <cell r="B79" t="str">
            <v/>
          </cell>
          <cell r="P79" t="str">
            <v/>
          </cell>
        </row>
        <row r="81">
          <cell r="B81" t="str">
            <v/>
          </cell>
          <cell r="P81" t="str">
            <v/>
          </cell>
        </row>
      </sheetData>
      <sheetData sheetId="7">
        <row r="5">
          <cell r="B5">
            <v>5</v>
          </cell>
          <cell r="P5">
            <v>1</v>
          </cell>
        </row>
        <row r="7">
          <cell r="B7">
            <v>29</v>
          </cell>
          <cell r="P7">
            <v>1</v>
          </cell>
        </row>
        <row r="9">
          <cell r="B9">
            <v>35</v>
          </cell>
          <cell r="P9">
            <v>1</v>
          </cell>
        </row>
        <row r="11">
          <cell r="B11">
            <v>60</v>
          </cell>
          <cell r="P11">
            <v>1</v>
          </cell>
        </row>
        <row r="13">
          <cell r="B13">
            <v>69</v>
          </cell>
          <cell r="P13">
            <v>1</v>
          </cell>
        </row>
        <row r="15">
          <cell r="B15">
            <v>86</v>
          </cell>
          <cell r="P15">
            <v>1</v>
          </cell>
        </row>
        <row r="17">
          <cell r="B17" t="str">
            <v/>
          </cell>
          <cell r="P17" t="str">
            <v/>
          </cell>
        </row>
        <row r="19">
          <cell r="B19" t="str">
            <v/>
          </cell>
          <cell r="P19" t="str">
            <v/>
          </cell>
        </row>
        <row r="21">
          <cell r="B21" t="str">
            <v/>
          </cell>
          <cell r="P21" t="str">
            <v/>
          </cell>
        </row>
        <row r="25">
          <cell r="B25">
            <v>6</v>
          </cell>
          <cell r="P25">
            <v>1</v>
          </cell>
        </row>
        <row r="27">
          <cell r="B27">
            <v>27</v>
          </cell>
          <cell r="P27">
            <v>1</v>
          </cell>
        </row>
        <row r="29">
          <cell r="B29">
            <v>38</v>
          </cell>
          <cell r="P29">
            <v>1</v>
          </cell>
        </row>
        <row r="31">
          <cell r="B31">
            <v>59</v>
          </cell>
          <cell r="P31">
            <v>1</v>
          </cell>
        </row>
        <row r="33">
          <cell r="B33">
            <v>70</v>
          </cell>
          <cell r="P33">
            <v>1</v>
          </cell>
        </row>
        <row r="35">
          <cell r="B35">
            <v>96</v>
          </cell>
          <cell r="P35">
            <v>1</v>
          </cell>
        </row>
        <row r="37">
          <cell r="B37" t="str">
            <v/>
          </cell>
          <cell r="P37" t="str">
            <v/>
          </cell>
        </row>
        <row r="39">
          <cell r="B39" t="str">
            <v/>
          </cell>
          <cell r="P39" t="str">
            <v/>
          </cell>
        </row>
        <row r="41">
          <cell r="B41" t="str">
            <v/>
          </cell>
          <cell r="P41" t="str">
            <v/>
          </cell>
        </row>
        <row r="45">
          <cell r="B45">
            <v>7</v>
          </cell>
          <cell r="P45">
            <v>1</v>
          </cell>
        </row>
        <row r="47">
          <cell r="B47">
            <v>26</v>
          </cell>
          <cell r="P47">
            <v>1</v>
          </cell>
        </row>
        <row r="49">
          <cell r="B49">
            <v>39</v>
          </cell>
          <cell r="P49">
            <v>1</v>
          </cell>
        </row>
        <row r="51">
          <cell r="B51">
            <v>58</v>
          </cell>
          <cell r="P51">
            <v>1</v>
          </cell>
        </row>
        <row r="53">
          <cell r="B53">
            <v>71</v>
          </cell>
          <cell r="P53">
            <v>1</v>
          </cell>
        </row>
        <row r="55">
          <cell r="B55">
            <v>85</v>
          </cell>
          <cell r="P55">
            <v>1</v>
          </cell>
        </row>
        <row r="57">
          <cell r="B57" t="str">
            <v/>
          </cell>
          <cell r="P57" t="str">
            <v/>
          </cell>
        </row>
        <row r="59">
          <cell r="B59" t="str">
            <v/>
          </cell>
          <cell r="P59" t="str">
            <v/>
          </cell>
        </row>
        <row r="61">
          <cell r="B61" t="str">
            <v/>
          </cell>
          <cell r="P61" t="str">
            <v/>
          </cell>
        </row>
        <row r="65">
          <cell r="B65">
            <v>8</v>
          </cell>
          <cell r="P65">
            <v>1</v>
          </cell>
        </row>
        <row r="67">
          <cell r="B67">
            <v>25</v>
          </cell>
          <cell r="P67">
            <v>1</v>
          </cell>
        </row>
        <row r="69">
          <cell r="B69">
            <v>40</v>
          </cell>
          <cell r="P69">
            <v>1</v>
          </cell>
        </row>
        <row r="71">
          <cell r="B71">
            <v>57</v>
          </cell>
          <cell r="P71">
            <v>1</v>
          </cell>
        </row>
        <row r="73">
          <cell r="B73">
            <v>72</v>
          </cell>
          <cell r="P73">
            <v>1</v>
          </cell>
        </row>
        <row r="75">
          <cell r="B75">
            <v>88</v>
          </cell>
          <cell r="P75">
            <v>1</v>
          </cell>
        </row>
        <row r="77">
          <cell r="B77" t="str">
            <v/>
          </cell>
          <cell r="P77" t="str">
            <v/>
          </cell>
        </row>
        <row r="79">
          <cell r="B79" t="str">
            <v/>
          </cell>
          <cell r="P79" t="str">
            <v/>
          </cell>
        </row>
        <row r="81">
          <cell r="B81" t="str">
            <v/>
          </cell>
          <cell r="P81" t="str">
            <v/>
          </cell>
        </row>
      </sheetData>
      <sheetData sheetId="8">
        <row r="5">
          <cell r="B5">
            <v>9</v>
          </cell>
          <cell r="P5">
            <v>1</v>
          </cell>
        </row>
        <row r="7">
          <cell r="B7">
            <v>24</v>
          </cell>
          <cell r="P7">
            <v>1</v>
          </cell>
        </row>
        <row r="9">
          <cell r="B9">
            <v>41</v>
          </cell>
          <cell r="P9">
            <v>1</v>
          </cell>
        </row>
        <row r="11">
          <cell r="B11">
            <v>56</v>
          </cell>
          <cell r="P11">
            <v>1</v>
          </cell>
        </row>
        <row r="13">
          <cell r="B13">
            <v>73</v>
          </cell>
          <cell r="P13">
            <v>1</v>
          </cell>
        </row>
        <row r="15">
          <cell r="B15">
            <v>93</v>
          </cell>
          <cell r="P15">
            <v>1</v>
          </cell>
        </row>
        <row r="17">
          <cell r="B17" t="str">
            <v/>
          </cell>
          <cell r="P17" t="str">
            <v/>
          </cell>
        </row>
        <row r="19">
          <cell r="B19" t="str">
            <v/>
          </cell>
          <cell r="P19" t="str">
            <v/>
          </cell>
        </row>
        <row r="21">
          <cell r="B21" t="str">
            <v/>
          </cell>
          <cell r="P21" t="str">
            <v/>
          </cell>
        </row>
        <row r="25">
          <cell r="B25">
            <v>10</v>
          </cell>
          <cell r="P25">
            <v>1</v>
          </cell>
        </row>
        <row r="27">
          <cell r="B27">
            <v>23</v>
          </cell>
          <cell r="P27">
            <v>1</v>
          </cell>
        </row>
        <row r="29">
          <cell r="B29">
            <v>42</v>
          </cell>
          <cell r="P29">
            <v>1</v>
          </cell>
        </row>
        <row r="31">
          <cell r="B31">
            <v>55</v>
          </cell>
          <cell r="P31">
            <v>1</v>
          </cell>
        </row>
        <row r="33">
          <cell r="B33">
            <v>74</v>
          </cell>
          <cell r="P33">
            <v>1</v>
          </cell>
        </row>
        <row r="35">
          <cell r="B35">
            <v>87</v>
          </cell>
          <cell r="P35">
            <v>1</v>
          </cell>
        </row>
        <row r="37">
          <cell r="B37" t="str">
            <v/>
          </cell>
          <cell r="P37" t="str">
            <v/>
          </cell>
        </row>
        <row r="39">
          <cell r="B39" t="str">
            <v/>
          </cell>
          <cell r="P39" t="str">
            <v/>
          </cell>
        </row>
        <row r="41">
          <cell r="B41" t="str">
            <v/>
          </cell>
          <cell r="P41" t="str">
            <v/>
          </cell>
        </row>
        <row r="45">
          <cell r="B45">
            <v>11</v>
          </cell>
          <cell r="P45">
            <v>1</v>
          </cell>
        </row>
        <row r="47">
          <cell r="B47">
            <v>22</v>
          </cell>
          <cell r="P47">
            <v>1</v>
          </cell>
        </row>
        <row r="49">
          <cell r="B49">
            <v>43</v>
          </cell>
          <cell r="P49">
            <v>1</v>
          </cell>
        </row>
        <row r="51">
          <cell r="B51">
            <v>50</v>
          </cell>
          <cell r="P51">
            <v>1</v>
          </cell>
        </row>
        <row r="53">
          <cell r="B53">
            <v>75</v>
          </cell>
          <cell r="P53">
            <v>1</v>
          </cell>
        </row>
        <row r="55">
          <cell r="B55">
            <v>92</v>
          </cell>
          <cell r="P55">
            <v>1</v>
          </cell>
        </row>
        <row r="57">
          <cell r="B57" t="str">
            <v/>
          </cell>
          <cell r="P57" t="str">
            <v/>
          </cell>
        </row>
        <row r="59">
          <cell r="B59" t="str">
            <v/>
          </cell>
          <cell r="P59" t="str">
            <v/>
          </cell>
        </row>
        <row r="61">
          <cell r="B61" t="str">
            <v/>
          </cell>
          <cell r="P61" t="str">
            <v/>
          </cell>
        </row>
        <row r="65">
          <cell r="B65">
            <v>12</v>
          </cell>
          <cell r="P65">
            <v>1</v>
          </cell>
        </row>
        <row r="67">
          <cell r="B67">
            <v>21</v>
          </cell>
          <cell r="P67">
            <v>1</v>
          </cell>
        </row>
        <row r="69">
          <cell r="B69">
            <v>44</v>
          </cell>
          <cell r="P69">
            <v>1</v>
          </cell>
        </row>
        <row r="71">
          <cell r="B71">
            <v>53</v>
          </cell>
          <cell r="P71">
            <v>1</v>
          </cell>
        </row>
        <row r="73">
          <cell r="B73">
            <v>76</v>
          </cell>
          <cell r="P73">
            <v>1</v>
          </cell>
        </row>
        <row r="75">
          <cell r="B75">
            <v>91</v>
          </cell>
          <cell r="P75">
            <v>1</v>
          </cell>
        </row>
        <row r="77">
          <cell r="B77" t="str">
            <v/>
          </cell>
          <cell r="P77" t="str">
            <v/>
          </cell>
        </row>
        <row r="79">
          <cell r="B79" t="str">
            <v/>
          </cell>
          <cell r="P79" t="str">
            <v/>
          </cell>
        </row>
        <row r="81">
          <cell r="B81" t="str">
            <v/>
          </cell>
          <cell r="P81" t="str">
            <v/>
          </cell>
        </row>
      </sheetData>
      <sheetData sheetId="9">
        <row r="5">
          <cell r="B5">
            <v>13</v>
          </cell>
          <cell r="P5">
            <v>1</v>
          </cell>
        </row>
        <row r="7">
          <cell r="B7">
            <v>20</v>
          </cell>
          <cell r="P7">
            <v>1</v>
          </cell>
        </row>
        <row r="9">
          <cell r="B9">
            <v>46</v>
          </cell>
          <cell r="P9">
            <v>1</v>
          </cell>
        </row>
        <row r="11">
          <cell r="B11">
            <v>52</v>
          </cell>
          <cell r="P11">
            <v>1</v>
          </cell>
        </row>
        <row r="13">
          <cell r="B13">
            <v>77</v>
          </cell>
          <cell r="P13">
            <v>1</v>
          </cell>
        </row>
        <row r="15">
          <cell r="B15">
            <v>84</v>
          </cell>
          <cell r="P15">
            <v>1</v>
          </cell>
        </row>
        <row r="17">
          <cell r="B17" t="str">
            <v/>
          </cell>
          <cell r="P17" t="str">
            <v/>
          </cell>
        </row>
        <row r="19">
          <cell r="B19" t="str">
            <v/>
          </cell>
          <cell r="P19" t="str">
            <v/>
          </cell>
        </row>
        <row r="21">
          <cell r="B21" t="str">
            <v/>
          </cell>
          <cell r="P21" t="str">
            <v/>
          </cell>
        </row>
        <row r="25">
          <cell r="B25">
            <v>14</v>
          </cell>
          <cell r="P25">
            <v>1</v>
          </cell>
        </row>
        <row r="27">
          <cell r="B27">
            <v>19</v>
          </cell>
          <cell r="P27">
            <v>1</v>
          </cell>
        </row>
        <row r="29">
          <cell r="B29">
            <v>45</v>
          </cell>
          <cell r="P29">
            <v>1</v>
          </cell>
        </row>
        <row r="31">
          <cell r="B31">
            <v>54</v>
          </cell>
          <cell r="P31">
            <v>1</v>
          </cell>
        </row>
        <row r="33">
          <cell r="B33">
            <v>80</v>
          </cell>
          <cell r="P33">
            <v>1</v>
          </cell>
        </row>
        <row r="35">
          <cell r="B35">
            <v>83</v>
          </cell>
          <cell r="P35">
            <v>1</v>
          </cell>
        </row>
        <row r="37">
          <cell r="B37" t="str">
            <v/>
          </cell>
          <cell r="P37" t="str">
            <v/>
          </cell>
        </row>
        <row r="39">
          <cell r="B39" t="str">
            <v/>
          </cell>
          <cell r="P39" t="str">
            <v/>
          </cell>
        </row>
        <row r="41">
          <cell r="B41" t="str">
            <v/>
          </cell>
          <cell r="P41" t="str">
            <v/>
          </cell>
        </row>
        <row r="45">
          <cell r="B45">
            <v>15</v>
          </cell>
          <cell r="P45">
            <v>1</v>
          </cell>
        </row>
        <row r="47">
          <cell r="B47">
            <v>18</v>
          </cell>
          <cell r="P47">
            <v>1</v>
          </cell>
        </row>
        <row r="49">
          <cell r="B49">
            <v>47</v>
          </cell>
          <cell r="P49">
            <v>1</v>
          </cell>
        </row>
        <row r="51">
          <cell r="B51">
            <v>51</v>
          </cell>
          <cell r="P51">
            <v>1</v>
          </cell>
        </row>
        <row r="53">
          <cell r="B53">
            <v>79</v>
          </cell>
          <cell r="P53">
            <v>1</v>
          </cell>
        </row>
        <row r="55">
          <cell r="B55">
            <v>82</v>
          </cell>
          <cell r="P55">
            <v>1</v>
          </cell>
        </row>
        <row r="57">
          <cell r="B57" t="str">
            <v/>
          </cell>
          <cell r="P57" t="str">
            <v/>
          </cell>
        </row>
        <row r="59">
          <cell r="B59" t="str">
            <v/>
          </cell>
          <cell r="P59" t="str">
            <v/>
          </cell>
        </row>
        <row r="61">
          <cell r="B61" t="str">
            <v/>
          </cell>
          <cell r="P61" t="str">
            <v/>
          </cell>
        </row>
        <row r="65">
          <cell r="B65">
            <v>16</v>
          </cell>
          <cell r="P65">
            <v>1</v>
          </cell>
        </row>
        <row r="67">
          <cell r="B67">
            <v>17</v>
          </cell>
          <cell r="P67">
            <v>1</v>
          </cell>
        </row>
        <row r="69">
          <cell r="B69">
            <v>48</v>
          </cell>
          <cell r="P69">
            <v>1</v>
          </cell>
        </row>
        <row r="71">
          <cell r="B71">
            <v>49</v>
          </cell>
          <cell r="P71">
            <v>1</v>
          </cell>
        </row>
        <row r="73">
          <cell r="B73">
            <v>78</v>
          </cell>
          <cell r="P73">
            <v>1</v>
          </cell>
        </row>
        <row r="75">
          <cell r="B75">
            <v>81</v>
          </cell>
          <cell r="P75">
            <v>1</v>
          </cell>
        </row>
        <row r="77">
          <cell r="B77" t="str">
            <v/>
          </cell>
          <cell r="P77" t="str">
            <v/>
          </cell>
        </row>
        <row r="79">
          <cell r="B79" t="str">
            <v/>
          </cell>
          <cell r="P79" t="str">
            <v/>
          </cell>
        </row>
        <row r="81">
          <cell r="B81" t="str">
            <v/>
          </cell>
          <cell r="P81" t="str">
            <v/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5">
          <cell r="B5">
            <v>9</v>
          </cell>
          <cell r="L5">
            <v>1</v>
          </cell>
          <cell r="O5">
            <v>13</v>
          </cell>
          <cell r="Y5">
            <v>1</v>
          </cell>
        </row>
        <row r="7">
          <cell r="B7">
            <v>56</v>
          </cell>
          <cell r="L7">
            <v>1</v>
          </cell>
          <cell r="O7">
            <v>52</v>
          </cell>
          <cell r="Y7">
            <v>1</v>
          </cell>
        </row>
        <row r="9">
          <cell r="B9">
            <v>71</v>
          </cell>
          <cell r="L9">
            <v>1</v>
          </cell>
          <cell r="O9">
            <v>78</v>
          </cell>
          <cell r="Y9">
            <v>1</v>
          </cell>
        </row>
        <row r="11">
          <cell r="B11">
            <v>120</v>
          </cell>
          <cell r="L11">
            <v>1</v>
          </cell>
          <cell r="O11">
            <v>116</v>
          </cell>
          <cell r="Y11">
            <v>1</v>
          </cell>
        </row>
        <row r="13">
          <cell r="B13" t="str">
            <v/>
          </cell>
          <cell r="L13" t="str">
            <v/>
          </cell>
          <cell r="O13" t="str">
            <v/>
          </cell>
          <cell r="Y13" t="str">
            <v/>
          </cell>
        </row>
        <row r="17">
          <cell r="B17">
            <v>10</v>
          </cell>
          <cell r="L17">
            <v>1</v>
          </cell>
          <cell r="O17">
            <v>14</v>
          </cell>
          <cell r="Y17">
            <v>1</v>
          </cell>
        </row>
        <row r="19">
          <cell r="B19">
            <v>55</v>
          </cell>
          <cell r="L19">
            <v>1</v>
          </cell>
          <cell r="O19">
            <v>51</v>
          </cell>
          <cell r="Y19">
            <v>1</v>
          </cell>
        </row>
        <row r="21">
          <cell r="B21">
            <v>75</v>
          </cell>
          <cell r="L21">
            <v>1</v>
          </cell>
          <cell r="O21">
            <v>77</v>
          </cell>
          <cell r="Y21">
            <v>1</v>
          </cell>
        </row>
        <row r="23">
          <cell r="B23">
            <v>119</v>
          </cell>
          <cell r="L23">
            <v>1</v>
          </cell>
          <cell r="O23">
            <v>115</v>
          </cell>
          <cell r="Y23">
            <v>1</v>
          </cell>
        </row>
        <row r="25">
          <cell r="B25" t="str">
            <v/>
          </cell>
          <cell r="L25" t="str">
            <v/>
          </cell>
          <cell r="O25" t="str">
            <v/>
          </cell>
          <cell r="Y25" t="str">
            <v/>
          </cell>
        </row>
        <row r="29">
          <cell r="B29">
            <v>11</v>
          </cell>
          <cell r="L29">
            <v>1</v>
          </cell>
          <cell r="O29">
            <v>15</v>
          </cell>
          <cell r="Y29">
            <v>1</v>
          </cell>
        </row>
        <row r="31">
          <cell r="B31">
            <v>54</v>
          </cell>
          <cell r="L31">
            <v>1</v>
          </cell>
          <cell r="O31">
            <v>50</v>
          </cell>
          <cell r="Y31">
            <v>1</v>
          </cell>
        </row>
        <row r="33">
          <cell r="B33">
            <v>73</v>
          </cell>
          <cell r="L33">
            <v>1</v>
          </cell>
          <cell r="O33">
            <v>79</v>
          </cell>
          <cell r="Y33">
            <v>1</v>
          </cell>
        </row>
        <row r="35">
          <cell r="B35">
            <v>118</v>
          </cell>
          <cell r="L35">
            <v>1</v>
          </cell>
          <cell r="O35">
            <v>114</v>
          </cell>
          <cell r="Y35">
            <v>1</v>
          </cell>
        </row>
        <row r="37">
          <cell r="B37" t="str">
            <v/>
          </cell>
          <cell r="L37" t="str">
            <v/>
          </cell>
          <cell r="O37" t="str">
            <v/>
          </cell>
          <cell r="Y37" t="str">
            <v/>
          </cell>
        </row>
        <row r="41">
          <cell r="B41">
            <v>12</v>
          </cell>
          <cell r="L41">
            <v>1</v>
          </cell>
          <cell r="O41">
            <v>16</v>
          </cell>
          <cell r="Y41">
            <v>1</v>
          </cell>
        </row>
        <row r="43">
          <cell r="B43">
            <v>53</v>
          </cell>
          <cell r="L43">
            <v>1</v>
          </cell>
          <cell r="O43">
            <v>49</v>
          </cell>
          <cell r="Y43">
            <v>1</v>
          </cell>
        </row>
        <row r="45">
          <cell r="B45">
            <v>76</v>
          </cell>
          <cell r="L45">
            <v>1</v>
          </cell>
          <cell r="O45">
            <v>85</v>
          </cell>
          <cell r="Y45">
            <v>1</v>
          </cell>
        </row>
        <row r="47">
          <cell r="B47">
            <v>117</v>
          </cell>
          <cell r="L47">
            <v>1</v>
          </cell>
          <cell r="O47">
            <v>113</v>
          </cell>
          <cell r="Y47">
            <v>1</v>
          </cell>
        </row>
        <row r="49">
          <cell r="B49" t="str">
            <v/>
          </cell>
          <cell r="L49" t="str">
            <v/>
          </cell>
          <cell r="O49" t="str">
            <v/>
          </cell>
          <cell r="Y49" t="str">
            <v/>
          </cell>
        </row>
      </sheetData>
      <sheetData sheetId="35">
        <row r="5">
          <cell r="B5">
            <v>17</v>
          </cell>
          <cell r="L5">
            <v>1</v>
          </cell>
          <cell r="O5">
            <v>21</v>
          </cell>
          <cell r="Y5">
            <v>1</v>
          </cell>
        </row>
        <row r="7">
          <cell r="B7">
            <v>48</v>
          </cell>
          <cell r="L7">
            <v>1</v>
          </cell>
          <cell r="O7">
            <v>44</v>
          </cell>
          <cell r="Y7">
            <v>1</v>
          </cell>
        </row>
        <row r="9">
          <cell r="B9">
            <v>80</v>
          </cell>
          <cell r="L9">
            <v>1</v>
          </cell>
          <cell r="O9">
            <v>90</v>
          </cell>
          <cell r="Y9">
            <v>1</v>
          </cell>
        </row>
        <row r="11">
          <cell r="B11">
            <v>112</v>
          </cell>
          <cell r="L11">
            <v>1</v>
          </cell>
          <cell r="O11">
            <v>108</v>
          </cell>
          <cell r="Y11">
            <v>1</v>
          </cell>
        </row>
        <row r="13">
          <cell r="B13" t="str">
            <v/>
          </cell>
          <cell r="L13" t="str">
            <v/>
          </cell>
          <cell r="O13" t="str">
            <v/>
          </cell>
          <cell r="Y13" t="str">
            <v/>
          </cell>
        </row>
        <row r="17">
          <cell r="B17">
            <v>18</v>
          </cell>
          <cell r="L17">
            <v>1</v>
          </cell>
          <cell r="O17">
            <v>22</v>
          </cell>
          <cell r="Y17">
            <v>1</v>
          </cell>
        </row>
        <row r="19">
          <cell r="B19">
            <v>47</v>
          </cell>
          <cell r="L19">
            <v>1</v>
          </cell>
          <cell r="O19">
            <v>43</v>
          </cell>
          <cell r="Y19">
            <v>1</v>
          </cell>
        </row>
        <row r="21">
          <cell r="B21">
            <v>81</v>
          </cell>
          <cell r="L21">
            <v>1</v>
          </cell>
          <cell r="O21">
            <v>83</v>
          </cell>
          <cell r="Y21">
            <v>1</v>
          </cell>
        </row>
        <row r="23">
          <cell r="B23">
            <v>111</v>
          </cell>
          <cell r="L23">
            <v>1</v>
          </cell>
          <cell r="O23">
            <v>107</v>
          </cell>
          <cell r="Y23">
            <v>1</v>
          </cell>
        </row>
        <row r="25">
          <cell r="B25" t="str">
            <v/>
          </cell>
          <cell r="L25" t="str">
            <v/>
          </cell>
          <cell r="O25" t="str">
            <v/>
          </cell>
          <cell r="Y25" t="str">
            <v/>
          </cell>
        </row>
        <row r="29">
          <cell r="B29">
            <v>19</v>
          </cell>
          <cell r="L29">
            <v>1</v>
          </cell>
          <cell r="O29">
            <v>23</v>
          </cell>
          <cell r="Y29">
            <v>1</v>
          </cell>
        </row>
        <row r="31">
          <cell r="B31">
            <v>46</v>
          </cell>
          <cell r="L31">
            <v>3</v>
          </cell>
          <cell r="O31">
            <v>42</v>
          </cell>
          <cell r="Y31">
            <v>1</v>
          </cell>
        </row>
        <row r="33">
          <cell r="B33">
            <v>82</v>
          </cell>
          <cell r="L33">
            <v>2</v>
          </cell>
          <cell r="O33">
            <v>91</v>
          </cell>
          <cell r="Y33">
            <v>1</v>
          </cell>
        </row>
        <row r="35">
          <cell r="B35">
            <v>110</v>
          </cell>
          <cell r="L35">
            <v>3</v>
          </cell>
          <cell r="O35">
            <v>106</v>
          </cell>
          <cell r="Y35">
            <v>1</v>
          </cell>
        </row>
        <row r="37">
          <cell r="B37" t="str">
            <v/>
          </cell>
          <cell r="L37" t="str">
            <v/>
          </cell>
          <cell r="O37" t="str">
            <v/>
          </cell>
          <cell r="Y37" t="str">
            <v/>
          </cell>
        </row>
        <row r="41">
          <cell r="B41">
            <v>20</v>
          </cell>
          <cell r="L41">
            <v>1</v>
          </cell>
          <cell r="O41">
            <v>24</v>
          </cell>
          <cell r="Y41">
            <v>1</v>
          </cell>
        </row>
        <row r="43">
          <cell r="B43">
            <v>45</v>
          </cell>
          <cell r="L43">
            <v>1</v>
          </cell>
          <cell r="O43">
            <v>41</v>
          </cell>
          <cell r="Y43">
            <v>1</v>
          </cell>
        </row>
        <row r="45">
          <cell r="B45">
            <v>87</v>
          </cell>
          <cell r="L45">
            <v>1</v>
          </cell>
          <cell r="O45">
            <v>92</v>
          </cell>
          <cell r="Y45">
            <v>1</v>
          </cell>
        </row>
        <row r="47">
          <cell r="B47">
            <v>109</v>
          </cell>
          <cell r="L47">
            <v>1</v>
          </cell>
          <cell r="O47">
            <v>105</v>
          </cell>
          <cell r="Y47">
            <v>1</v>
          </cell>
        </row>
        <row r="49">
          <cell r="B49" t="str">
            <v/>
          </cell>
          <cell r="L49" t="str">
            <v/>
          </cell>
          <cell r="O49" t="str">
            <v/>
          </cell>
          <cell r="Y49" t="str">
            <v/>
          </cell>
        </row>
      </sheetData>
      <sheetData sheetId="36">
        <row r="5">
          <cell r="B5">
            <v>25</v>
          </cell>
          <cell r="L5">
            <v>1</v>
          </cell>
          <cell r="O5">
            <v>29</v>
          </cell>
          <cell r="Y5">
            <v>1</v>
          </cell>
        </row>
        <row r="7">
          <cell r="B7">
            <v>40</v>
          </cell>
          <cell r="L7">
            <v>1</v>
          </cell>
          <cell r="O7">
            <v>36</v>
          </cell>
          <cell r="Y7">
            <v>1</v>
          </cell>
        </row>
        <row r="9">
          <cell r="B9">
            <v>84</v>
          </cell>
          <cell r="L9">
            <v>1</v>
          </cell>
          <cell r="O9">
            <v>88</v>
          </cell>
          <cell r="Y9">
            <v>1</v>
          </cell>
        </row>
        <row r="11">
          <cell r="B11">
            <v>104</v>
          </cell>
          <cell r="L11">
            <v>1</v>
          </cell>
          <cell r="O11">
            <v>100</v>
          </cell>
          <cell r="Y11">
            <v>1</v>
          </cell>
        </row>
        <row r="13">
          <cell r="B13" t="str">
            <v/>
          </cell>
          <cell r="L13" t="str">
            <v/>
          </cell>
          <cell r="O13" t="str">
            <v/>
          </cell>
          <cell r="Y13" t="str">
            <v/>
          </cell>
        </row>
        <row r="17">
          <cell r="B17">
            <v>26</v>
          </cell>
          <cell r="L17">
            <v>1</v>
          </cell>
          <cell r="O17">
            <v>30</v>
          </cell>
          <cell r="Y17">
            <v>1</v>
          </cell>
        </row>
        <row r="19">
          <cell r="B19">
            <v>38</v>
          </cell>
          <cell r="L19">
            <v>1</v>
          </cell>
          <cell r="O19">
            <v>34</v>
          </cell>
          <cell r="Y19">
            <v>1</v>
          </cell>
        </row>
        <row r="21">
          <cell r="B21">
            <v>93</v>
          </cell>
          <cell r="L21">
            <v>1</v>
          </cell>
          <cell r="O21">
            <v>95</v>
          </cell>
          <cell r="Y21">
            <v>1</v>
          </cell>
        </row>
        <row r="23">
          <cell r="B23">
            <v>103</v>
          </cell>
          <cell r="L23">
            <v>1</v>
          </cell>
          <cell r="O23">
            <v>99</v>
          </cell>
          <cell r="Y23">
            <v>1</v>
          </cell>
        </row>
        <row r="25">
          <cell r="B25" t="str">
            <v/>
          </cell>
          <cell r="L25" t="str">
            <v/>
          </cell>
          <cell r="O25" t="str">
            <v/>
          </cell>
          <cell r="Y25" t="str">
            <v/>
          </cell>
        </row>
        <row r="29">
          <cell r="B29">
            <v>27</v>
          </cell>
          <cell r="L29">
            <v>1</v>
          </cell>
          <cell r="O29">
            <v>31</v>
          </cell>
          <cell r="Y29">
            <v>1</v>
          </cell>
        </row>
        <row r="31">
          <cell r="B31">
            <v>39</v>
          </cell>
          <cell r="L31">
            <v>1</v>
          </cell>
          <cell r="O31">
            <v>35</v>
          </cell>
          <cell r="Y31">
            <v>1</v>
          </cell>
        </row>
        <row r="33">
          <cell r="B33">
            <v>94</v>
          </cell>
          <cell r="L33">
            <v>1</v>
          </cell>
          <cell r="O33">
            <v>96</v>
          </cell>
          <cell r="Y33">
            <v>1</v>
          </cell>
        </row>
        <row r="35">
          <cell r="B35">
            <v>102</v>
          </cell>
          <cell r="L35">
            <v>1</v>
          </cell>
          <cell r="O35">
            <v>98</v>
          </cell>
          <cell r="Y35">
            <v>1</v>
          </cell>
        </row>
        <row r="37">
          <cell r="B37" t="str">
            <v/>
          </cell>
          <cell r="L37" t="str">
            <v/>
          </cell>
          <cell r="O37" t="str">
            <v/>
          </cell>
          <cell r="Y37" t="str">
            <v/>
          </cell>
        </row>
        <row r="41">
          <cell r="B41">
            <v>28</v>
          </cell>
          <cell r="L41">
            <v>1</v>
          </cell>
          <cell r="O41">
            <v>32</v>
          </cell>
          <cell r="Y41">
            <v>1</v>
          </cell>
        </row>
        <row r="43">
          <cell r="B43">
            <v>37</v>
          </cell>
          <cell r="L43">
            <v>1</v>
          </cell>
          <cell r="O43">
            <v>33</v>
          </cell>
          <cell r="Y43">
            <v>1</v>
          </cell>
        </row>
        <row r="45">
          <cell r="B45">
            <v>86</v>
          </cell>
          <cell r="L45">
            <v>1</v>
          </cell>
          <cell r="O45">
            <v>89</v>
          </cell>
          <cell r="Y45">
            <v>1</v>
          </cell>
        </row>
        <row r="47">
          <cell r="B47">
            <v>101</v>
          </cell>
          <cell r="L47">
            <v>1</v>
          </cell>
          <cell r="O47">
            <v>97</v>
          </cell>
          <cell r="Y47">
            <v>1</v>
          </cell>
        </row>
        <row r="49">
          <cell r="B49" t="str">
            <v/>
          </cell>
          <cell r="L49" t="str">
            <v/>
          </cell>
          <cell r="O49" t="str">
            <v/>
          </cell>
          <cell r="Y49" t="str">
            <v/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6">
          <cell r="Y6" t="str">
            <v>Гл. судья: судья 1-кат.______________Гусев В.В. /г. Н.Новгород/     Гл. секретарь: судья 1-кат.______________Кабанов А.С. /г. Н.Новгород/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еребьевка_9"/>
      <sheetName val="Для судей"/>
      <sheetName val="Списки участников"/>
      <sheetName val="гр (1-4)"/>
      <sheetName val="гр (5-8)"/>
      <sheetName val="гр (9-12)"/>
      <sheetName val="гр (13-16)"/>
      <sheetName val="1Ф КРУГ"/>
      <sheetName val="2Ф КРУГ"/>
      <sheetName val="3Ф КРУГ"/>
      <sheetName val="4Ф КРУГ"/>
      <sheetName val="Ф-л(-32)"/>
      <sheetName val="Ф-л(32)"/>
      <sheetName val="Ф-л(16)"/>
      <sheetName val="Ф-л(-16)"/>
      <sheetName val="св.прот 1ф"/>
      <sheetName val="св.прот 2ф"/>
      <sheetName val="св.прот 3ф"/>
      <sheetName val="св.прот 4ф"/>
      <sheetName val="Пр(-32)"/>
      <sheetName val="Пр(32)"/>
      <sheetName val="Пр(16)"/>
      <sheetName val="Пр(-16)"/>
      <sheetName val="Порядок встреч 1Ф"/>
      <sheetName val="Порядок встреч 2Ф"/>
      <sheetName val="Порядок встреч 3Ф"/>
      <sheetName val="Порядок встреч 4Ф"/>
      <sheetName val="Бегунки 1Ф"/>
      <sheetName val="Лист1"/>
      <sheetName val="Бегунки 2Ф"/>
      <sheetName val="Бегунки 3Ф"/>
      <sheetName val="Бегунки 4Ф"/>
      <sheetName val="Плейофф"/>
      <sheetName val="ОФП и СФП"/>
      <sheetName val="Места в группе"/>
      <sheetName val="R-Муж"/>
      <sheetName val="Расчет"/>
      <sheetName val="Лист12"/>
    </sheetNames>
    <sheetDataSet>
      <sheetData sheetId="0">
        <row r="4">
          <cell r="B4">
            <v>0</v>
          </cell>
        </row>
      </sheetData>
      <sheetData sheetId="1"/>
      <sheetData sheetId="2">
        <row r="1">
          <cell r="A1" t="str">
            <v>Открытый всероссийский турнир "Надежды России"</v>
          </cell>
        </row>
      </sheetData>
      <sheetData sheetId="3"/>
      <sheetData sheetId="4">
        <row r="5">
          <cell r="B5" t="str">
            <v/>
          </cell>
          <cell r="AH5" t="str">
            <v/>
          </cell>
        </row>
        <row r="6">
          <cell r="B6">
            <v>0</v>
          </cell>
          <cell r="AH6">
            <v>0</v>
          </cell>
        </row>
        <row r="7">
          <cell r="B7" t="str">
            <v/>
          </cell>
          <cell r="AH7" t="str">
            <v/>
          </cell>
        </row>
        <row r="8">
          <cell r="B8">
            <v>0</v>
          </cell>
          <cell r="AH8">
            <v>0</v>
          </cell>
        </row>
        <row r="9">
          <cell r="B9" t="str">
            <v/>
          </cell>
          <cell r="AH9" t="str">
            <v/>
          </cell>
        </row>
        <row r="10">
          <cell r="B10">
            <v>0</v>
          </cell>
          <cell r="AH10">
            <v>0</v>
          </cell>
        </row>
        <row r="11">
          <cell r="B11" t="str">
            <v/>
          </cell>
          <cell r="AH11" t="str">
            <v/>
          </cell>
        </row>
        <row r="12">
          <cell r="B12">
            <v>0</v>
          </cell>
          <cell r="AH12">
            <v>0</v>
          </cell>
        </row>
        <row r="13">
          <cell r="B13" t="str">
            <v/>
          </cell>
          <cell r="AH13" t="str">
            <v/>
          </cell>
        </row>
        <row r="14">
          <cell r="B14">
            <v>0</v>
          </cell>
          <cell r="AH14">
            <v>0</v>
          </cell>
        </row>
        <row r="15">
          <cell r="B15" t="str">
            <v/>
          </cell>
          <cell r="AH15" t="str">
            <v/>
          </cell>
        </row>
        <row r="16">
          <cell r="B16">
            <v>0</v>
          </cell>
          <cell r="AH16">
            <v>0</v>
          </cell>
        </row>
        <row r="17">
          <cell r="B17" t="str">
            <v/>
          </cell>
          <cell r="AH17" t="str">
            <v/>
          </cell>
        </row>
        <row r="18">
          <cell r="B18">
            <v>0</v>
          </cell>
          <cell r="AH18">
            <v>0</v>
          </cell>
        </row>
        <row r="19">
          <cell r="B19" t="str">
            <v/>
          </cell>
          <cell r="AH19" t="str">
            <v/>
          </cell>
        </row>
        <row r="20">
          <cell r="B20">
            <v>0</v>
          </cell>
          <cell r="AH20">
            <v>0</v>
          </cell>
        </row>
        <row r="21">
          <cell r="B21" t="str">
            <v/>
          </cell>
          <cell r="AH21" t="str">
            <v/>
          </cell>
        </row>
        <row r="22">
          <cell r="B22">
            <v>0</v>
          </cell>
          <cell r="AH22">
            <v>0</v>
          </cell>
        </row>
        <row r="25">
          <cell r="B25" t="str">
            <v/>
          </cell>
          <cell r="AH25" t="str">
            <v/>
          </cell>
        </row>
        <row r="26">
          <cell r="B26">
            <v>0</v>
          </cell>
          <cell r="AH26">
            <v>0</v>
          </cell>
        </row>
        <row r="27">
          <cell r="B27" t="str">
            <v/>
          </cell>
          <cell r="AH27" t="str">
            <v/>
          </cell>
        </row>
        <row r="28">
          <cell r="B28">
            <v>0</v>
          </cell>
          <cell r="AH28">
            <v>0</v>
          </cell>
        </row>
        <row r="29">
          <cell r="B29" t="str">
            <v/>
          </cell>
          <cell r="AH29" t="str">
            <v/>
          </cell>
        </row>
        <row r="30">
          <cell r="B30">
            <v>0</v>
          </cell>
          <cell r="AH30">
            <v>0</v>
          </cell>
        </row>
        <row r="31">
          <cell r="B31" t="str">
            <v/>
          </cell>
          <cell r="AH31" t="str">
            <v/>
          </cell>
        </row>
        <row r="32">
          <cell r="B32">
            <v>0</v>
          </cell>
          <cell r="AH32">
            <v>0</v>
          </cell>
        </row>
        <row r="33">
          <cell r="B33" t="str">
            <v/>
          </cell>
          <cell r="AH33" t="str">
            <v/>
          </cell>
        </row>
        <row r="34">
          <cell r="B34">
            <v>0</v>
          </cell>
          <cell r="AH34">
            <v>0</v>
          </cell>
        </row>
        <row r="35">
          <cell r="B35" t="str">
            <v/>
          </cell>
          <cell r="AH35" t="str">
            <v/>
          </cell>
        </row>
        <row r="36">
          <cell r="B36">
            <v>0</v>
          </cell>
          <cell r="AH36">
            <v>0</v>
          </cell>
        </row>
        <row r="37">
          <cell r="B37" t="str">
            <v/>
          </cell>
          <cell r="AH37" t="str">
            <v/>
          </cell>
        </row>
        <row r="38">
          <cell r="B38">
            <v>0</v>
          </cell>
          <cell r="AH38">
            <v>0</v>
          </cell>
        </row>
        <row r="39">
          <cell r="B39" t="str">
            <v/>
          </cell>
          <cell r="AH39" t="str">
            <v/>
          </cell>
        </row>
        <row r="40">
          <cell r="B40">
            <v>0</v>
          </cell>
          <cell r="AH40">
            <v>0</v>
          </cell>
        </row>
        <row r="41">
          <cell r="B41" t="str">
            <v/>
          </cell>
          <cell r="AH41" t="str">
            <v/>
          </cell>
        </row>
        <row r="42">
          <cell r="B42">
            <v>0</v>
          </cell>
          <cell r="AH42">
            <v>0</v>
          </cell>
        </row>
        <row r="45">
          <cell r="B45" t="str">
            <v/>
          </cell>
          <cell r="AH45" t="str">
            <v/>
          </cell>
        </row>
        <row r="46">
          <cell r="B46">
            <v>0</v>
          </cell>
          <cell r="AH46">
            <v>0</v>
          </cell>
        </row>
        <row r="47">
          <cell r="B47" t="str">
            <v/>
          </cell>
          <cell r="AH47" t="str">
            <v/>
          </cell>
        </row>
        <row r="48">
          <cell r="B48">
            <v>0</v>
          </cell>
          <cell r="AH48">
            <v>0</v>
          </cell>
        </row>
        <row r="49">
          <cell r="B49" t="str">
            <v/>
          </cell>
          <cell r="AH49" t="str">
            <v/>
          </cell>
        </row>
        <row r="50">
          <cell r="B50">
            <v>0</v>
          </cell>
          <cell r="AH50">
            <v>0</v>
          </cell>
        </row>
        <row r="51">
          <cell r="B51" t="str">
            <v/>
          </cell>
          <cell r="AH51" t="str">
            <v/>
          </cell>
        </row>
        <row r="52">
          <cell r="B52">
            <v>0</v>
          </cell>
          <cell r="AH52">
            <v>0</v>
          </cell>
        </row>
        <row r="53">
          <cell r="B53" t="str">
            <v/>
          </cell>
          <cell r="AH53" t="str">
            <v/>
          </cell>
        </row>
        <row r="54">
          <cell r="B54">
            <v>0</v>
          </cell>
          <cell r="AH54">
            <v>0</v>
          </cell>
        </row>
        <row r="55">
          <cell r="B55" t="str">
            <v/>
          </cell>
          <cell r="AH55" t="str">
            <v/>
          </cell>
        </row>
        <row r="56">
          <cell r="B56">
            <v>0</v>
          </cell>
          <cell r="AH56">
            <v>0</v>
          </cell>
        </row>
        <row r="57">
          <cell r="B57" t="str">
            <v/>
          </cell>
          <cell r="AH57" t="str">
            <v/>
          </cell>
        </row>
        <row r="58">
          <cell r="B58">
            <v>0</v>
          </cell>
          <cell r="AH58">
            <v>0</v>
          </cell>
        </row>
        <row r="59">
          <cell r="B59" t="str">
            <v/>
          </cell>
          <cell r="AH59" t="str">
            <v/>
          </cell>
        </row>
        <row r="60">
          <cell r="B60">
            <v>0</v>
          </cell>
          <cell r="AH60">
            <v>0</v>
          </cell>
        </row>
        <row r="61">
          <cell r="B61" t="str">
            <v/>
          </cell>
          <cell r="AH61" t="str">
            <v/>
          </cell>
        </row>
        <row r="62">
          <cell r="B62">
            <v>0</v>
          </cell>
          <cell r="AH62">
            <v>0</v>
          </cell>
        </row>
        <row r="65">
          <cell r="B65" t="str">
            <v/>
          </cell>
          <cell r="AH65" t="str">
            <v/>
          </cell>
        </row>
        <row r="66">
          <cell r="B66">
            <v>0</v>
          </cell>
          <cell r="AH66">
            <v>0</v>
          </cell>
        </row>
        <row r="67">
          <cell r="B67" t="str">
            <v/>
          </cell>
          <cell r="AH67" t="str">
            <v/>
          </cell>
        </row>
        <row r="68">
          <cell r="B68">
            <v>0</v>
          </cell>
          <cell r="AH68">
            <v>0</v>
          </cell>
        </row>
        <row r="69">
          <cell r="B69" t="str">
            <v/>
          </cell>
          <cell r="AH69" t="str">
            <v/>
          </cell>
        </row>
        <row r="70">
          <cell r="B70">
            <v>0</v>
          </cell>
          <cell r="AH70">
            <v>0</v>
          </cell>
        </row>
        <row r="71">
          <cell r="B71" t="str">
            <v/>
          </cell>
          <cell r="AH71" t="str">
            <v/>
          </cell>
        </row>
        <row r="72">
          <cell r="B72">
            <v>0</v>
          </cell>
          <cell r="AH72">
            <v>0</v>
          </cell>
        </row>
        <row r="73">
          <cell r="B73" t="str">
            <v/>
          </cell>
          <cell r="AH73" t="str">
            <v/>
          </cell>
        </row>
        <row r="74">
          <cell r="B74">
            <v>0</v>
          </cell>
          <cell r="AH74">
            <v>0</v>
          </cell>
        </row>
        <row r="75">
          <cell r="B75" t="str">
            <v/>
          </cell>
          <cell r="AH75" t="str">
            <v/>
          </cell>
        </row>
        <row r="76">
          <cell r="B76">
            <v>0</v>
          </cell>
          <cell r="AH76">
            <v>0</v>
          </cell>
        </row>
        <row r="77">
          <cell r="B77" t="str">
            <v/>
          </cell>
          <cell r="AH77" t="str">
            <v/>
          </cell>
        </row>
        <row r="78">
          <cell r="B78">
            <v>0</v>
          </cell>
          <cell r="AH78">
            <v>0</v>
          </cell>
        </row>
        <row r="79">
          <cell r="B79" t="str">
            <v/>
          </cell>
          <cell r="AH79" t="str">
            <v/>
          </cell>
        </row>
        <row r="80">
          <cell r="B80">
            <v>0</v>
          </cell>
          <cell r="AH80">
            <v>0</v>
          </cell>
        </row>
        <row r="81">
          <cell r="B81" t="str">
            <v/>
          </cell>
          <cell r="AH81" t="str">
            <v/>
          </cell>
        </row>
        <row r="82">
          <cell r="B82">
            <v>0</v>
          </cell>
          <cell r="AH82">
            <v>0</v>
          </cell>
        </row>
      </sheetData>
      <sheetData sheetId="5">
        <row r="5">
          <cell r="B5" t="str">
            <v/>
          </cell>
          <cell r="AH5" t="str">
            <v/>
          </cell>
        </row>
        <row r="6">
          <cell r="B6">
            <v>0</v>
          </cell>
          <cell r="AH6">
            <v>0</v>
          </cell>
        </row>
        <row r="7">
          <cell r="B7" t="str">
            <v/>
          </cell>
          <cell r="AH7" t="str">
            <v/>
          </cell>
        </row>
        <row r="8">
          <cell r="B8">
            <v>0</v>
          </cell>
          <cell r="AH8">
            <v>0</v>
          </cell>
        </row>
        <row r="9">
          <cell r="B9" t="str">
            <v/>
          </cell>
          <cell r="AH9" t="str">
            <v/>
          </cell>
        </row>
        <row r="10">
          <cell r="B10">
            <v>0</v>
          </cell>
          <cell r="AH10">
            <v>0</v>
          </cell>
        </row>
        <row r="11">
          <cell r="B11" t="str">
            <v/>
          </cell>
          <cell r="AH11" t="str">
            <v/>
          </cell>
        </row>
        <row r="12">
          <cell r="B12">
            <v>0</v>
          </cell>
          <cell r="AH12">
            <v>0</v>
          </cell>
        </row>
        <row r="13">
          <cell r="B13" t="str">
            <v/>
          </cell>
          <cell r="AH13" t="str">
            <v/>
          </cell>
        </row>
        <row r="14">
          <cell r="B14">
            <v>0</v>
          </cell>
          <cell r="AH14">
            <v>0</v>
          </cell>
        </row>
        <row r="15">
          <cell r="B15" t="str">
            <v/>
          </cell>
          <cell r="AH15" t="str">
            <v/>
          </cell>
        </row>
        <row r="16">
          <cell r="B16">
            <v>0</v>
          </cell>
          <cell r="AH16">
            <v>0</v>
          </cell>
        </row>
        <row r="17">
          <cell r="B17" t="str">
            <v/>
          </cell>
          <cell r="AH17" t="str">
            <v/>
          </cell>
        </row>
        <row r="18">
          <cell r="B18">
            <v>0</v>
          </cell>
          <cell r="AH18">
            <v>0</v>
          </cell>
        </row>
        <row r="19">
          <cell r="B19" t="str">
            <v/>
          </cell>
          <cell r="AH19" t="str">
            <v/>
          </cell>
        </row>
        <row r="20">
          <cell r="B20">
            <v>0</v>
          </cell>
          <cell r="AH20">
            <v>0</v>
          </cell>
        </row>
        <row r="21">
          <cell r="B21" t="str">
            <v/>
          </cell>
          <cell r="AH21" t="str">
            <v/>
          </cell>
        </row>
        <row r="22">
          <cell r="B22">
            <v>0</v>
          </cell>
          <cell r="AH22">
            <v>0</v>
          </cell>
        </row>
        <row r="25">
          <cell r="B25" t="str">
            <v/>
          </cell>
          <cell r="AH25" t="str">
            <v/>
          </cell>
        </row>
        <row r="26">
          <cell r="B26">
            <v>0</v>
          </cell>
          <cell r="AH26">
            <v>0</v>
          </cell>
        </row>
        <row r="27">
          <cell r="B27" t="str">
            <v/>
          </cell>
          <cell r="AH27" t="str">
            <v/>
          </cell>
        </row>
        <row r="28">
          <cell r="B28">
            <v>0</v>
          </cell>
          <cell r="AH28">
            <v>0</v>
          </cell>
        </row>
        <row r="29">
          <cell r="B29" t="str">
            <v/>
          </cell>
          <cell r="AH29" t="str">
            <v/>
          </cell>
        </row>
        <row r="30">
          <cell r="B30">
            <v>0</v>
          </cell>
          <cell r="AH30">
            <v>0</v>
          </cell>
        </row>
        <row r="31">
          <cell r="B31" t="str">
            <v/>
          </cell>
          <cell r="AH31" t="str">
            <v/>
          </cell>
        </row>
        <row r="32">
          <cell r="B32">
            <v>0</v>
          </cell>
          <cell r="AH32">
            <v>0</v>
          </cell>
        </row>
        <row r="33">
          <cell r="B33" t="str">
            <v/>
          </cell>
          <cell r="AH33" t="str">
            <v/>
          </cell>
        </row>
        <row r="34">
          <cell r="B34">
            <v>0</v>
          </cell>
          <cell r="AH34">
            <v>0</v>
          </cell>
        </row>
        <row r="35">
          <cell r="B35" t="str">
            <v/>
          </cell>
          <cell r="AH35" t="str">
            <v/>
          </cell>
        </row>
        <row r="36">
          <cell r="B36">
            <v>0</v>
          </cell>
          <cell r="AH36">
            <v>0</v>
          </cell>
        </row>
        <row r="37">
          <cell r="B37" t="str">
            <v/>
          </cell>
          <cell r="AH37" t="str">
            <v/>
          </cell>
        </row>
        <row r="38">
          <cell r="B38">
            <v>0</v>
          </cell>
          <cell r="AH38">
            <v>0</v>
          </cell>
        </row>
        <row r="39">
          <cell r="B39" t="str">
            <v/>
          </cell>
          <cell r="AH39" t="str">
            <v/>
          </cell>
        </row>
        <row r="40">
          <cell r="B40">
            <v>0</v>
          </cell>
          <cell r="AH40">
            <v>0</v>
          </cell>
        </row>
        <row r="41">
          <cell r="B41" t="str">
            <v/>
          </cell>
          <cell r="AH41" t="str">
            <v/>
          </cell>
        </row>
        <row r="42">
          <cell r="B42">
            <v>0</v>
          </cell>
          <cell r="AH42">
            <v>0</v>
          </cell>
        </row>
        <row r="45">
          <cell r="B45" t="str">
            <v/>
          </cell>
          <cell r="AH45" t="str">
            <v/>
          </cell>
        </row>
        <row r="46">
          <cell r="B46">
            <v>0</v>
          </cell>
          <cell r="AH46">
            <v>0</v>
          </cell>
        </row>
        <row r="47">
          <cell r="B47" t="str">
            <v/>
          </cell>
          <cell r="AH47" t="str">
            <v/>
          </cell>
        </row>
        <row r="48">
          <cell r="B48">
            <v>0</v>
          </cell>
          <cell r="AH48">
            <v>0</v>
          </cell>
        </row>
        <row r="49">
          <cell r="B49" t="str">
            <v/>
          </cell>
          <cell r="AH49" t="str">
            <v/>
          </cell>
        </row>
        <row r="50">
          <cell r="B50">
            <v>0</v>
          </cell>
          <cell r="AH50">
            <v>0</v>
          </cell>
        </row>
        <row r="51">
          <cell r="B51" t="str">
            <v/>
          </cell>
          <cell r="AH51" t="str">
            <v/>
          </cell>
        </row>
        <row r="52">
          <cell r="B52">
            <v>0</v>
          </cell>
          <cell r="AH52">
            <v>0</v>
          </cell>
        </row>
        <row r="53">
          <cell r="B53" t="str">
            <v/>
          </cell>
          <cell r="AH53" t="str">
            <v/>
          </cell>
        </row>
        <row r="54">
          <cell r="B54">
            <v>0</v>
          </cell>
          <cell r="AH54">
            <v>0</v>
          </cell>
        </row>
        <row r="55">
          <cell r="B55" t="str">
            <v/>
          </cell>
          <cell r="AH55" t="str">
            <v/>
          </cell>
        </row>
        <row r="56">
          <cell r="B56">
            <v>0</v>
          </cell>
          <cell r="AH56">
            <v>0</v>
          </cell>
        </row>
        <row r="57">
          <cell r="B57" t="str">
            <v/>
          </cell>
          <cell r="AH57" t="str">
            <v/>
          </cell>
        </row>
        <row r="58">
          <cell r="B58">
            <v>0</v>
          </cell>
          <cell r="AH58">
            <v>0</v>
          </cell>
        </row>
        <row r="59">
          <cell r="B59" t="str">
            <v/>
          </cell>
          <cell r="AH59" t="str">
            <v/>
          </cell>
        </row>
        <row r="60">
          <cell r="B60">
            <v>0</v>
          </cell>
          <cell r="AH60">
            <v>0</v>
          </cell>
        </row>
        <row r="61">
          <cell r="B61" t="str">
            <v/>
          </cell>
          <cell r="AH61" t="str">
            <v/>
          </cell>
        </row>
        <row r="62">
          <cell r="B62">
            <v>0</v>
          </cell>
          <cell r="AH62">
            <v>0</v>
          </cell>
        </row>
        <row r="65">
          <cell r="B65" t="str">
            <v/>
          </cell>
          <cell r="AH65" t="str">
            <v/>
          </cell>
        </row>
        <row r="66">
          <cell r="B66">
            <v>0</v>
          </cell>
          <cell r="AH66">
            <v>0</v>
          </cell>
        </row>
        <row r="67">
          <cell r="B67" t="str">
            <v/>
          </cell>
          <cell r="AH67" t="str">
            <v/>
          </cell>
        </row>
        <row r="68">
          <cell r="B68">
            <v>0</v>
          </cell>
          <cell r="AH68">
            <v>0</v>
          </cell>
        </row>
        <row r="69">
          <cell r="B69" t="str">
            <v/>
          </cell>
          <cell r="AH69" t="str">
            <v/>
          </cell>
        </row>
        <row r="70">
          <cell r="B70">
            <v>0</v>
          </cell>
          <cell r="AH70">
            <v>0</v>
          </cell>
        </row>
        <row r="71">
          <cell r="B71" t="str">
            <v/>
          </cell>
          <cell r="AH71" t="str">
            <v/>
          </cell>
        </row>
        <row r="72">
          <cell r="B72">
            <v>0</v>
          </cell>
          <cell r="AH72">
            <v>0</v>
          </cell>
        </row>
        <row r="73">
          <cell r="B73" t="str">
            <v/>
          </cell>
          <cell r="AH73" t="str">
            <v/>
          </cell>
        </row>
        <row r="74">
          <cell r="B74">
            <v>0</v>
          </cell>
          <cell r="AH74">
            <v>0</v>
          </cell>
        </row>
        <row r="75">
          <cell r="B75" t="str">
            <v/>
          </cell>
          <cell r="AH75" t="str">
            <v/>
          </cell>
        </row>
        <row r="76">
          <cell r="B76">
            <v>0</v>
          </cell>
          <cell r="AH76">
            <v>0</v>
          </cell>
        </row>
        <row r="77">
          <cell r="B77" t="str">
            <v/>
          </cell>
          <cell r="AH77" t="str">
            <v/>
          </cell>
        </row>
        <row r="78">
          <cell r="B78">
            <v>0</v>
          </cell>
          <cell r="AH78">
            <v>0</v>
          </cell>
        </row>
        <row r="79">
          <cell r="B79" t="str">
            <v/>
          </cell>
          <cell r="AH79" t="str">
            <v/>
          </cell>
        </row>
        <row r="80">
          <cell r="B80">
            <v>0</v>
          </cell>
          <cell r="AH80">
            <v>0</v>
          </cell>
        </row>
        <row r="81">
          <cell r="B81" t="str">
            <v/>
          </cell>
          <cell r="AH81" t="str">
            <v/>
          </cell>
        </row>
        <row r="82">
          <cell r="B82">
            <v>0</v>
          </cell>
          <cell r="AH82">
            <v>0</v>
          </cell>
        </row>
      </sheetData>
      <sheetData sheetId="6">
        <row r="5">
          <cell r="B5" t="str">
            <v/>
          </cell>
          <cell r="AH5" t="str">
            <v/>
          </cell>
        </row>
        <row r="6">
          <cell r="B6">
            <v>0</v>
          </cell>
          <cell r="AH6">
            <v>0</v>
          </cell>
        </row>
        <row r="7">
          <cell r="B7" t="str">
            <v/>
          </cell>
          <cell r="AH7" t="str">
            <v/>
          </cell>
        </row>
        <row r="8">
          <cell r="B8">
            <v>0</v>
          </cell>
          <cell r="AH8">
            <v>0</v>
          </cell>
        </row>
        <row r="9">
          <cell r="B9" t="str">
            <v/>
          </cell>
          <cell r="AH9" t="str">
            <v/>
          </cell>
        </row>
        <row r="10">
          <cell r="B10">
            <v>0</v>
          </cell>
          <cell r="AH10">
            <v>0</v>
          </cell>
        </row>
        <row r="11">
          <cell r="B11" t="str">
            <v/>
          </cell>
          <cell r="AH11" t="str">
            <v/>
          </cell>
        </row>
        <row r="12">
          <cell r="B12">
            <v>0</v>
          </cell>
          <cell r="AH12">
            <v>0</v>
          </cell>
        </row>
        <row r="13">
          <cell r="B13" t="str">
            <v/>
          </cell>
          <cell r="AH13" t="str">
            <v/>
          </cell>
        </row>
        <row r="14">
          <cell r="B14">
            <v>0</v>
          </cell>
          <cell r="AH14">
            <v>0</v>
          </cell>
        </row>
        <row r="15">
          <cell r="B15" t="str">
            <v/>
          </cell>
          <cell r="AH15" t="str">
            <v/>
          </cell>
        </row>
        <row r="16">
          <cell r="B16">
            <v>0</v>
          </cell>
          <cell r="AH16">
            <v>0</v>
          </cell>
        </row>
        <row r="17">
          <cell r="B17" t="str">
            <v/>
          </cell>
          <cell r="AH17" t="str">
            <v/>
          </cell>
        </row>
        <row r="18">
          <cell r="B18">
            <v>0</v>
          </cell>
          <cell r="AH18">
            <v>0</v>
          </cell>
        </row>
        <row r="19">
          <cell r="B19" t="str">
            <v/>
          </cell>
          <cell r="AH19" t="str">
            <v/>
          </cell>
        </row>
        <row r="20">
          <cell r="B20">
            <v>0</v>
          </cell>
          <cell r="AH20">
            <v>0</v>
          </cell>
        </row>
        <row r="21">
          <cell r="B21" t="str">
            <v/>
          </cell>
          <cell r="AH21" t="str">
            <v/>
          </cell>
        </row>
        <row r="22">
          <cell r="B22">
            <v>0</v>
          </cell>
          <cell r="AH22">
            <v>0</v>
          </cell>
        </row>
        <row r="25">
          <cell r="B25" t="str">
            <v/>
          </cell>
          <cell r="AH25" t="str">
            <v/>
          </cell>
        </row>
        <row r="26">
          <cell r="B26">
            <v>0</v>
          </cell>
          <cell r="AH26">
            <v>0</v>
          </cell>
        </row>
        <row r="27">
          <cell r="B27" t="str">
            <v/>
          </cell>
          <cell r="AH27" t="str">
            <v/>
          </cell>
        </row>
        <row r="28">
          <cell r="B28">
            <v>0</v>
          </cell>
          <cell r="AH28">
            <v>0</v>
          </cell>
        </row>
        <row r="29">
          <cell r="B29" t="str">
            <v/>
          </cell>
          <cell r="AH29" t="str">
            <v/>
          </cell>
        </row>
        <row r="30">
          <cell r="B30">
            <v>0</v>
          </cell>
          <cell r="AH30">
            <v>0</v>
          </cell>
        </row>
        <row r="31">
          <cell r="B31" t="str">
            <v/>
          </cell>
          <cell r="AH31" t="str">
            <v/>
          </cell>
        </row>
        <row r="32">
          <cell r="B32">
            <v>0</v>
          </cell>
          <cell r="AH32">
            <v>0</v>
          </cell>
        </row>
        <row r="33">
          <cell r="B33" t="str">
            <v/>
          </cell>
          <cell r="AH33" t="str">
            <v/>
          </cell>
        </row>
        <row r="34">
          <cell r="B34">
            <v>0</v>
          </cell>
          <cell r="AH34">
            <v>0</v>
          </cell>
        </row>
        <row r="35">
          <cell r="B35" t="str">
            <v/>
          </cell>
          <cell r="AH35" t="str">
            <v/>
          </cell>
        </row>
        <row r="36">
          <cell r="B36">
            <v>0</v>
          </cell>
          <cell r="AH36">
            <v>0</v>
          </cell>
        </row>
        <row r="37">
          <cell r="B37" t="str">
            <v/>
          </cell>
          <cell r="AH37" t="str">
            <v/>
          </cell>
        </row>
        <row r="38">
          <cell r="B38">
            <v>0</v>
          </cell>
          <cell r="AH38">
            <v>0</v>
          </cell>
        </row>
        <row r="39">
          <cell r="B39" t="str">
            <v/>
          </cell>
          <cell r="AH39" t="str">
            <v/>
          </cell>
        </row>
        <row r="40">
          <cell r="B40">
            <v>0</v>
          </cell>
          <cell r="AH40">
            <v>0</v>
          </cell>
        </row>
        <row r="41">
          <cell r="B41" t="str">
            <v/>
          </cell>
          <cell r="AH41" t="str">
            <v/>
          </cell>
        </row>
        <row r="42">
          <cell r="B42">
            <v>0</v>
          </cell>
          <cell r="AH42">
            <v>0</v>
          </cell>
        </row>
        <row r="45">
          <cell r="B45" t="str">
            <v/>
          </cell>
          <cell r="AH45" t="str">
            <v/>
          </cell>
        </row>
        <row r="46">
          <cell r="B46">
            <v>0</v>
          </cell>
          <cell r="AH46">
            <v>0</v>
          </cell>
        </row>
        <row r="47">
          <cell r="B47" t="str">
            <v/>
          </cell>
          <cell r="AH47" t="str">
            <v/>
          </cell>
        </row>
        <row r="48">
          <cell r="B48">
            <v>0</v>
          </cell>
          <cell r="AH48">
            <v>0</v>
          </cell>
        </row>
        <row r="49">
          <cell r="B49" t="str">
            <v/>
          </cell>
          <cell r="AH49" t="str">
            <v/>
          </cell>
        </row>
        <row r="50">
          <cell r="B50">
            <v>0</v>
          </cell>
          <cell r="AH50">
            <v>0</v>
          </cell>
        </row>
        <row r="51">
          <cell r="B51" t="str">
            <v/>
          </cell>
          <cell r="AH51" t="str">
            <v/>
          </cell>
        </row>
        <row r="52">
          <cell r="B52">
            <v>0</v>
          </cell>
          <cell r="AH52">
            <v>0</v>
          </cell>
        </row>
        <row r="53">
          <cell r="B53" t="str">
            <v/>
          </cell>
          <cell r="AH53" t="str">
            <v/>
          </cell>
        </row>
        <row r="54">
          <cell r="B54">
            <v>0</v>
          </cell>
          <cell r="AH54">
            <v>0</v>
          </cell>
        </row>
        <row r="55">
          <cell r="B55" t="str">
            <v/>
          </cell>
          <cell r="AH55" t="str">
            <v/>
          </cell>
        </row>
        <row r="56">
          <cell r="B56">
            <v>0</v>
          </cell>
          <cell r="AH56">
            <v>0</v>
          </cell>
        </row>
        <row r="57">
          <cell r="B57" t="str">
            <v/>
          </cell>
          <cell r="AH57" t="str">
            <v/>
          </cell>
        </row>
        <row r="58">
          <cell r="B58">
            <v>0</v>
          </cell>
          <cell r="AH58">
            <v>0</v>
          </cell>
        </row>
        <row r="59">
          <cell r="B59" t="str">
            <v/>
          </cell>
          <cell r="AH59" t="str">
            <v/>
          </cell>
        </row>
        <row r="60">
          <cell r="B60">
            <v>0</v>
          </cell>
          <cell r="AH60">
            <v>0</v>
          </cell>
        </row>
        <row r="61">
          <cell r="B61" t="str">
            <v/>
          </cell>
          <cell r="AH61" t="str">
            <v/>
          </cell>
        </row>
        <row r="62">
          <cell r="B62">
            <v>0</v>
          </cell>
          <cell r="AH62">
            <v>0</v>
          </cell>
        </row>
        <row r="65">
          <cell r="B65" t="str">
            <v/>
          </cell>
          <cell r="AH65" t="str">
            <v/>
          </cell>
        </row>
        <row r="66">
          <cell r="B66">
            <v>0</v>
          </cell>
          <cell r="AH66">
            <v>0</v>
          </cell>
        </row>
        <row r="67">
          <cell r="B67" t="str">
            <v/>
          </cell>
          <cell r="AH67" t="str">
            <v/>
          </cell>
        </row>
        <row r="68">
          <cell r="B68">
            <v>0</v>
          </cell>
          <cell r="AH68">
            <v>0</v>
          </cell>
        </row>
        <row r="69">
          <cell r="B69" t="str">
            <v/>
          </cell>
          <cell r="AH69" t="str">
            <v/>
          </cell>
        </row>
        <row r="70">
          <cell r="B70">
            <v>0</v>
          </cell>
          <cell r="AH70">
            <v>0</v>
          </cell>
        </row>
        <row r="71">
          <cell r="B71" t="str">
            <v/>
          </cell>
          <cell r="AH71" t="str">
            <v/>
          </cell>
        </row>
        <row r="72">
          <cell r="B72">
            <v>0</v>
          </cell>
          <cell r="AH72">
            <v>0</v>
          </cell>
        </row>
        <row r="73">
          <cell r="B73" t="str">
            <v/>
          </cell>
          <cell r="AH73" t="str">
            <v/>
          </cell>
        </row>
        <row r="74">
          <cell r="B74">
            <v>0</v>
          </cell>
          <cell r="AH74">
            <v>0</v>
          </cell>
        </row>
        <row r="75">
          <cell r="B75" t="str">
            <v/>
          </cell>
          <cell r="AH75" t="str">
            <v/>
          </cell>
        </row>
        <row r="76">
          <cell r="B76">
            <v>0</v>
          </cell>
          <cell r="AH76">
            <v>0</v>
          </cell>
        </row>
        <row r="77">
          <cell r="B77" t="str">
            <v/>
          </cell>
          <cell r="AH77" t="str">
            <v/>
          </cell>
        </row>
        <row r="78">
          <cell r="B78">
            <v>0</v>
          </cell>
          <cell r="AH78">
            <v>0</v>
          </cell>
        </row>
        <row r="79">
          <cell r="B79" t="str">
            <v/>
          </cell>
          <cell r="AH79" t="str">
            <v/>
          </cell>
        </row>
        <row r="80">
          <cell r="B80">
            <v>0</v>
          </cell>
          <cell r="AH80">
            <v>0</v>
          </cell>
        </row>
        <row r="81">
          <cell r="B81" t="str">
            <v/>
          </cell>
          <cell r="AH81" t="str">
            <v/>
          </cell>
        </row>
        <row r="82">
          <cell r="B82">
            <v>0</v>
          </cell>
          <cell r="AH82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9">
          <cell r="T9" t="str">
            <v/>
          </cell>
        </row>
      </sheetData>
      <sheetData sheetId="34"/>
      <sheetData sheetId="35"/>
      <sheetData sheetId="36"/>
      <sheetData sheetId="3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knüpfungen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судей"/>
      <sheetName val="Жеребьевка"/>
      <sheetName val="Списки участников"/>
      <sheetName val="Списки участников по алф"/>
      <sheetName val="гр (1-4)"/>
      <sheetName val="гр (5-8)"/>
      <sheetName val="гр (9-12)"/>
      <sheetName val="гр (13-16)"/>
      <sheetName val="1Ф КРУГ"/>
      <sheetName val="2Ф КРУГ"/>
      <sheetName val="3Ф КРУГ"/>
      <sheetName val="4Ф КРУГ"/>
      <sheetName val="4Ф-Л"/>
      <sheetName val="5Ф-Л"/>
      <sheetName val="2Ф(32)"/>
      <sheetName val="16 "/>
      <sheetName val="16 (-2)"/>
      <sheetName val="св.прот 1ф"/>
      <sheetName val="св.прот 2ф"/>
      <sheetName val="св.прот 3ф"/>
      <sheetName val="св.прот 4ф"/>
      <sheetName val="Протокол (32)"/>
      <sheetName val="Пр 4ф"/>
      <sheetName val="Пр 5ф"/>
      <sheetName val="Порядок встреч 1Ф"/>
      <sheetName val="Порядок встреч 2Ф"/>
      <sheetName val="Порядок встреч 3Ф"/>
      <sheetName val="Порядок встреч 4Ф"/>
      <sheetName val="Бегунки 1Ф"/>
      <sheetName val="Лист1"/>
      <sheetName val="Бегунки 2Ф"/>
      <sheetName val="Бегунки 3Ф"/>
      <sheetName val="Бегунки 4Ф"/>
      <sheetName val="Плейофф"/>
      <sheetName val="ОФП и СФП"/>
      <sheetName val="Места в группе"/>
      <sheetName val="R-Муж"/>
      <sheetName val="Расчет"/>
      <sheetName val="Лист2"/>
      <sheetName val="Лист6"/>
    </sheetNames>
    <sheetDataSet>
      <sheetData sheetId="0"/>
      <sheetData sheetId="1"/>
      <sheetData sheetId="2">
        <row r="1">
          <cell r="A1" t="str">
            <v>Всероссийские соревнования "Надежды России"</v>
          </cell>
        </row>
      </sheetData>
      <sheetData sheetId="3" refreshError="1"/>
      <sheetData sheetId="4">
        <row r="5">
          <cell r="B5">
            <v>1</v>
          </cell>
        </row>
      </sheetData>
      <sheetData sheetId="5">
        <row r="5">
          <cell r="B5">
            <v>5</v>
          </cell>
          <cell r="AE5">
            <v>12</v>
          </cell>
        </row>
        <row r="7">
          <cell r="AE7">
            <v>11</v>
          </cell>
        </row>
        <row r="9">
          <cell r="AE9">
            <v>9</v>
          </cell>
        </row>
        <row r="11">
          <cell r="AE11">
            <v>8</v>
          </cell>
        </row>
        <row r="13">
          <cell r="AE13">
            <v>7</v>
          </cell>
        </row>
        <row r="15">
          <cell r="AE15">
            <v>10</v>
          </cell>
        </row>
        <row r="17">
          <cell r="AE17">
            <v>6</v>
          </cell>
        </row>
        <row r="19">
          <cell r="AE19" t="str">
            <v/>
          </cell>
        </row>
        <row r="21">
          <cell r="AE21" t="str">
            <v/>
          </cell>
        </row>
        <row r="25">
          <cell r="AE25">
            <v>12</v>
          </cell>
        </row>
        <row r="27">
          <cell r="AE27">
            <v>11</v>
          </cell>
        </row>
        <row r="29">
          <cell r="AE29">
            <v>10</v>
          </cell>
        </row>
        <row r="31">
          <cell r="AE31">
            <v>9</v>
          </cell>
        </row>
        <row r="33">
          <cell r="AE33">
            <v>8</v>
          </cell>
        </row>
        <row r="35">
          <cell r="AE35">
            <v>6</v>
          </cell>
        </row>
        <row r="37">
          <cell r="AE37">
            <v>7</v>
          </cell>
        </row>
        <row r="39">
          <cell r="AE39" t="str">
            <v/>
          </cell>
        </row>
        <row r="41">
          <cell r="AE41" t="str">
            <v/>
          </cell>
        </row>
        <row r="45">
          <cell r="AE45">
            <v>11</v>
          </cell>
        </row>
        <row r="47">
          <cell r="AE47">
            <v>12</v>
          </cell>
        </row>
        <row r="49">
          <cell r="AE49">
            <v>9</v>
          </cell>
        </row>
        <row r="51">
          <cell r="AE51">
            <v>10</v>
          </cell>
        </row>
        <row r="53">
          <cell r="AE53">
            <v>8</v>
          </cell>
        </row>
        <row r="55">
          <cell r="AE55">
            <v>7</v>
          </cell>
        </row>
        <row r="57">
          <cell r="AE57">
            <v>6</v>
          </cell>
        </row>
        <row r="59">
          <cell r="AE59" t="str">
            <v/>
          </cell>
        </row>
        <row r="61">
          <cell r="AE61" t="str">
            <v/>
          </cell>
        </row>
        <row r="65">
          <cell r="AE65">
            <v>10</v>
          </cell>
        </row>
        <row r="67">
          <cell r="AE67">
            <v>8</v>
          </cell>
        </row>
        <row r="69">
          <cell r="AE69">
            <v>9</v>
          </cell>
        </row>
        <row r="71">
          <cell r="AE71">
            <v>7</v>
          </cell>
        </row>
        <row r="73">
          <cell r="AE73">
            <v>6</v>
          </cell>
        </row>
        <row r="75">
          <cell r="AE75">
            <v>5</v>
          </cell>
        </row>
        <row r="77">
          <cell r="AE77" t="str">
            <v/>
          </cell>
        </row>
        <row r="79">
          <cell r="AE79" t="str">
            <v/>
          </cell>
        </row>
        <row r="81">
          <cell r="AE81" t="str">
            <v/>
          </cell>
        </row>
      </sheetData>
      <sheetData sheetId="6">
        <row r="5">
          <cell r="B5">
            <v>9</v>
          </cell>
          <cell r="AE5">
            <v>11</v>
          </cell>
        </row>
        <row r="7">
          <cell r="AE7">
            <v>12</v>
          </cell>
        </row>
        <row r="9">
          <cell r="AE9">
            <v>9</v>
          </cell>
        </row>
        <row r="11">
          <cell r="AE11">
            <v>10</v>
          </cell>
        </row>
        <row r="13">
          <cell r="AE13">
            <v>8</v>
          </cell>
        </row>
        <row r="15">
          <cell r="AE15">
            <v>6</v>
          </cell>
        </row>
        <row r="17">
          <cell r="AE17">
            <v>7</v>
          </cell>
        </row>
        <row r="19">
          <cell r="AE19" t="str">
            <v/>
          </cell>
        </row>
        <row r="21">
          <cell r="AE21" t="str">
            <v/>
          </cell>
        </row>
        <row r="25">
          <cell r="AE25">
            <v>12</v>
          </cell>
        </row>
        <row r="27">
          <cell r="AE27">
            <v>11</v>
          </cell>
        </row>
        <row r="29">
          <cell r="AE29">
            <v>9</v>
          </cell>
        </row>
        <row r="31">
          <cell r="AE31">
            <v>9</v>
          </cell>
        </row>
        <row r="33">
          <cell r="AE33">
            <v>9</v>
          </cell>
        </row>
        <row r="35">
          <cell r="AE35">
            <v>7</v>
          </cell>
        </row>
        <row r="37">
          <cell r="AE37">
            <v>6</v>
          </cell>
        </row>
        <row r="39">
          <cell r="AE39" t="str">
            <v/>
          </cell>
        </row>
        <row r="41">
          <cell r="AE41" t="str">
            <v/>
          </cell>
        </row>
        <row r="45">
          <cell r="AE45">
            <v>12</v>
          </cell>
        </row>
        <row r="47">
          <cell r="AE47">
            <v>11</v>
          </cell>
        </row>
        <row r="49">
          <cell r="AE49">
            <v>8</v>
          </cell>
        </row>
        <row r="51">
          <cell r="AE51">
            <v>10</v>
          </cell>
        </row>
        <row r="53">
          <cell r="AE53">
            <v>9</v>
          </cell>
        </row>
        <row r="55">
          <cell r="AE55">
            <v>7</v>
          </cell>
        </row>
        <row r="57">
          <cell r="AE57">
            <v>6</v>
          </cell>
        </row>
        <row r="59">
          <cell r="AE59" t="str">
            <v/>
          </cell>
        </row>
        <row r="61">
          <cell r="AE61" t="str">
            <v/>
          </cell>
        </row>
        <row r="65">
          <cell r="AE65">
            <v>10</v>
          </cell>
        </row>
        <row r="67">
          <cell r="AE67">
            <v>9</v>
          </cell>
        </row>
        <row r="69">
          <cell r="AE69">
            <v>5</v>
          </cell>
        </row>
        <row r="71">
          <cell r="AE71">
            <v>8</v>
          </cell>
        </row>
        <row r="73">
          <cell r="AE73">
            <v>6</v>
          </cell>
        </row>
        <row r="75">
          <cell r="AE75">
            <v>7</v>
          </cell>
        </row>
        <row r="77">
          <cell r="AE77" t="str">
            <v/>
          </cell>
        </row>
        <row r="79">
          <cell r="AE79" t="str">
            <v/>
          </cell>
        </row>
        <row r="81">
          <cell r="AE81" t="str">
            <v/>
          </cell>
        </row>
      </sheetData>
      <sheetData sheetId="7">
        <row r="5">
          <cell r="B5">
            <v>13</v>
          </cell>
          <cell r="AE5">
            <v>10</v>
          </cell>
        </row>
        <row r="7">
          <cell r="AE7">
            <v>9</v>
          </cell>
        </row>
        <row r="9">
          <cell r="AE9">
            <v>8</v>
          </cell>
        </row>
        <row r="11">
          <cell r="AE11">
            <v>5</v>
          </cell>
        </row>
        <row r="13">
          <cell r="AE13">
            <v>6</v>
          </cell>
        </row>
        <row r="15">
          <cell r="AE15">
            <v>7</v>
          </cell>
        </row>
        <row r="17">
          <cell r="AE17" t="str">
            <v/>
          </cell>
        </row>
        <row r="19">
          <cell r="AE19" t="str">
            <v/>
          </cell>
        </row>
        <row r="21">
          <cell r="AE21" t="str">
            <v/>
          </cell>
        </row>
        <row r="25">
          <cell r="AE25">
            <v>8</v>
          </cell>
        </row>
        <row r="27">
          <cell r="AE27">
            <v>10</v>
          </cell>
        </row>
        <row r="29">
          <cell r="AE29">
            <v>8</v>
          </cell>
        </row>
        <row r="31">
          <cell r="AE31">
            <v>8</v>
          </cell>
        </row>
        <row r="33">
          <cell r="AE33">
            <v>6</v>
          </cell>
        </row>
        <row r="35">
          <cell r="AE35">
            <v>5</v>
          </cell>
        </row>
        <row r="37">
          <cell r="AE37" t="str">
            <v/>
          </cell>
        </row>
        <row r="39">
          <cell r="AE39" t="str">
            <v/>
          </cell>
        </row>
        <row r="41">
          <cell r="AE41" t="str">
            <v/>
          </cell>
        </row>
        <row r="45">
          <cell r="AE45">
            <v>10</v>
          </cell>
        </row>
        <row r="47">
          <cell r="AE47">
            <v>9</v>
          </cell>
        </row>
        <row r="49">
          <cell r="AE49">
            <v>8</v>
          </cell>
        </row>
        <row r="51">
          <cell r="AE51">
            <v>7</v>
          </cell>
        </row>
        <row r="53">
          <cell r="AE53">
            <v>5</v>
          </cell>
        </row>
        <row r="55">
          <cell r="AE55">
            <v>6</v>
          </cell>
        </row>
        <row r="57">
          <cell r="AE57" t="str">
            <v/>
          </cell>
        </row>
        <row r="59">
          <cell r="AE59" t="str">
            <v/>
          </cell>
        </row>
        <row r="61">
          <cell r="AE61" t="str">
            <v/>
          </cell>
        </row>
        <row r="65">
          <cell r="AE65">
            <v>9</v>
          </cell>
        </row>
        <row r="67">
          <cell r="AE67">
            <v>9</v>
          </cell>
        </row>
        <row r="69">
          <cell r="AE69">
            <v>9</v>
          </cell>
        </row>
        <row r="71">
          <cell r="AE71">
            <v>7</v>
          </cell>
        </row>
        <row r="73">
          <cell r="AE73">
            <v>5</v>
          </cell>
        </row>
        <row r="75">
          <cell r="AE75">
            <v>6</v>
          </cell>
        </row>
        <row r="77">
          <cell r="AE77" t="str">
            <v/>
          </cell>
        </row>
        <row r="79">
          <cell r="AE79" t="str">
            <v/>
          </cell>
        </row>
        <row r="81">
          <cell r="AE81" t="str">
            <v/>
          </cell>
        </row>
      </sheetData>
      <sheetData sheetId="8">
        <row r="5">
          <cell r="AZ5">
            <v>27</v>
          </cell>
        </row>
      </sheetData>
      <sheetData sheetId="9" refreshError="1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9">
          <cell r="L9">
            <v>143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 участников"/>
      <sheetName val="гр (1-4)"/>
      <sheetName val="гр (5-8)"/>
      <sheetName val="гр (9-12)"/>
      <sheetName val="гр (13-16)"/>
      <sheetName val="1Ф КРУГ"/>
      <sheetName val="2Ф КРУГ"/>
      <sheetName val="3Ф КРУГ"/>
      <sheetName val="4Ф КРУГ"/>
      <sheetName val="2Ф(-32)"/>
      <sheetName val="2Ф(32)"/>
      <sheetName val="16 "/>
      <sheetName val="16 (-2)"/>
      <sheetName val="св.прот 1ф"/>
      <sheetName val="св.прот 2ф"/>
      <sheetName val="св.прот 3ф"/>
      <sheetName val="св.прот 4ф"/>
      <sheetName val="Протокол (32)"/>
      <sheetName val="Протокол (-32)"/>
      <sheetName val="Порядок встреч 1Ф"/>
      <sheetName val="Порядок встреч 2Ф"/>
      <sheetName val="Порядок встреч 3Ф"/>
      <sheetName val="Порядок встреч 4Ф"/>
      <sheetName val="Бегунки 1Ф"/>
      <sheetName val="Лист1"/>
      <sheetName val="Бегунки 2Ф"/>
      <sheetName val="Бегунки 3Ф"/>
      <sheetName val="Бегунки 4Ф"/>
      <sheetName val="Плейофф"/>
      <sheetName val="ОФП и СФП"/>
      <sheetName val="Места в группе"/>
      <sheetName val="R-Жен"/>
    </sheetNames>
    <sheetDataSet>
      <sheetData sheetId="0"/>
      <sheetData sheetId="1">
        <row r="5">
          <cell r="AH5" t="str">
            <v/>
          </cell>
        </row>
      </sheetData>
      <sheetData sheetId="2">
        <row r="5">
          <cell r="AE5" t="str">
            <v/>
          </cell>
        </row>
        <row r="7">
          <cell r="AE7" t="str">
            <v/>
          </cell>
        </row>
        <row r="9">
          <cell r="AE9" t="str">
            <v/>
          </cell>
        </row>
        <row r="11">
          <cell r="AE11" t="str">
            <v/>
          </cell>
        </row>
        <row r="13">
          <cell r="AE13" t="str">
            <v/>
          </cell>
        </row>
        <row r="15">
          <cell r="AE15" t="str">
            <v/>
          </cell>
        </row>
        <row r="17">
          <cell r="AE17" t="str">
            <v/>
          </cell>
        </row>
        <row r="19">
          <cell r="AE19" t="str">
            <v/>
          </cell>
        </row>
        <row r="21">
          <cell r="AE21" t="str">
            <v/>
          </cell>
        </row>
        <row r="25">
          <cell r="AE25" t="str">
            <v/>
          </cell>
        </row>
        <row r="27">
          <cell r="AE27" t="str">
            <v/>
          </cell>
        </row>
        <row r="29">
          <cell r="AE29" t="str">
            <v/>
          </cell>
        </row>
        <row r="31">
          <cell r="AE31" t="str">
            <v/>
          </cell>
        </row>
        <row r="33">
          <cell r="AE33" t="str">
            <v/>
          </cell>
        </row>
        <row r="35">
          <cell r="AE35" t="str">
            <v/>
          </cell>
        </row>
        <row r="37">
          <cell r="AE37" t="str">
            <v/>
          </cell>
        </row>
        <row r="39">
          <cell r="AE39" t="str">
            <v/>
          </cell>
        </row>
        <row r="41">
          <cell r="AE41" t="str">
            <v/>
          </cell>
        </row>
        <row r="45">
          <cell r="AE45" t="str">
            <v/>
          </cell>
        </row>
        <row r="47">
          <cell r="AE47" t="str">
            <v/>
          </cell>
        </row>
        <row r="49">
          <cell r="AE49" t="str">
            <v/>
          </cell>
        </row>
        <row r="51">
          <cell r="AE51" t="str">
            <v/>
          </cell>
        </row>
        <row r="53">
          <cell r="AE53" t="str">
            <v/>
          </cell>
        </row>
        <row r="55">
          <cell r="AE55" t="str">
            <v/>
          </cell>
        </row>
        <row r="57">
          <cell r="AE57" t="str">
            <v/>
          </cell>
        </row>
        <row r="59">
          <cell r="AE59" t="str">
            <v/>
          </cell>
        </row>
        <row r="61">
          <cell r="AE61" t="str">
            <v/>
          </cell>
        </row>
        <row r="65">
          <cell r="AE65" t="str">
            <v/>
          </cell>
        </row>
        <row r="67">
          <cell r="AE67" t="str">
            <v/>
          </cell>
        </row>
        <row r="69">
          <cell r="AE69" t="str">
            <v/>
          </cell>
        </row>
        <row r="71">
          <cell r="AE71" t="str">
            <v/>
          </cell>
        </row>
        <row r="73">
          <cell r="AE73" t="str">
            <v/>
          </cell>
        </row>
        <row r="75">
          <cell r="AE75" t="str">
            <v/>
          </cell>
        </row>
        <row r="77">
          <cell r="AE77" t="str">
            <v/>
          </cell>
        </row>
        <row r="79">
          <cell r="AE79" t="str">
            <v/>
          </cell>
        </row>
        <row r="81">
          <cell r="AE81" t="str">
            <v/>
          </cell>
        </row>
      </sheetData>
      <sheetData sheetId="3">
        <row r="5">
          <cell r="AE5" t="str">
            <v/>
          </cell>
        </row>
        <row r="7">
          <cell r="AE7" t="str">
            <v/>
          </cell>
        </row>
        <row r="9">
          <cell r="AE9" t="str">
            <v/>
          </cell>
        </row>
        <row r="11">
          <cell r="AE11" t="str">
            <v/>
          </cell>
        </row>
        <row r="13">
          <cell r="AE13" t="str">
            <v/>
          </cell>
        </row>
        <row r="15">
          <cell r="AE15" t="str">
            <v/>
          </cell>
        </row>
        <row r="17">
          <cell r="AE17" t="str">
            <v/>
          </cell>
        </row>
        <row r="19">
          <cell r="AE19" t="str">
            <v/>
          </cell>
        </row>
        <row r="21">
          <cell r="AE21" t="str">
            <v/>
          </cell>
        </row>
        <row r="25">
          <cell r="AE25" t="str">
            <v/>
          </cell>
        </row>
        <row r="27">
          <cell r="AE27" t="str">
            <v/>
          </cell>
        </row>
        <row r="29">
          <cell r="AE29" t="str">
            <v/>
          </cell>
        </row>
        <row r="31">
          <cell r="AE31" t="str">
            <v/>
          </cell>
        </row>
        <row r="33">
          <cell r="AE33" t="str">
            <v/>
          </cell>
        </row>
        <row r="35">
          <cell r="AE35" t="str">
            <v/>
          </cell>
        </row>
        <row r="37">
          <cell r="AE37" t="str">
            <v/>
          </cell>
        </row>
        <row r="39">
          <cell r="AE39" t="str">
            <v/>
          </cell>
        </row>
        <row r="41">
          <cell r="AE41" t="str">
            <v/>
          </cell>
        </row>
        <row r="45">
          <cell r="AE45" t="str">
            <v/>
          </cell>
        </row>
        <row r="47">
          <cell r="AE47" t="str">
            <v/>
          </cell>
        </row>
        <row r="49">
          <cell r="AE49" t="str">
            <v/>
          </cell>
        </row>
        <row r="51">
          <cell r="AE51" t="str">
            <v/>
          </cell>
        </row>
        <row r="53">
          <cell r="AE53" t="str">
            <v/>
          </cell>
        </row>
        <row r="55">
          <cell r="AE55" t="str">
            <v/>
          </cell>
        </row>
        <row r="57">
          <cell r="AE57" t="str">
            <v/>
          </cell>
        </row>
        <row r="59">
          <cell r="AE59" t="str">
            <v/>
          </cell>
        </row>
        <row r="61">
          <cell r="AE61" t="str">
            <v/>
          </cell>
        </row>
        <row r="65">
          <cell r="AE65" t="str">
            <v/>
          </cell>
        </row>
        <row r="67">
          <cell r="AE67" t="str">
            <v/>
          </cell>
        </row>
        <row r="69">
          <cell r="AE69" t="str">
            <v/>
          </cell>
        </row>
        <row r="71">
          <cell r="AE71" t="str">
            <v/>
          </cell>
        </row>
        <row r="73">
          <cell r="AE73" t="str">
            <v/>
          </cell>
        </row>
        <row r="75">
          <cell r="AE75" t="str">
            <v/>
          </cell>
        </row>
        <row r="77">
          <cell r="AE77" t="str">
            <v/>
          </cell>
        </row>
        <row r="79">
          <cell r="AE79" t="str">
            <v/>
          </cell>
        </row>
        <row r="81">
          <cell r="AE81" t="str">
            <v/>
          </cell>
        </row>
      </sheetData>
      <sheetData sheetId="4">
        <row r="5">
          <cell r="AE5" t="str">
            <v/>
          </cell>
        </row>
        <row r="7">
          <cell r="AE7" t="str">
            <v/>
          </cell>
        </row>
        <row r="9">
          <cell r="AE9" t="str">
            <v/>
          </cell>
        </row>
        <row r="11">
          <cell r="AE11" t="str">
            <v/>
          </cell>
        </row>
        <row r="13">
          <cell r="AE13" t="str">
            <v/>
          </cell>
        </row>
        <row r="15">
          <cell r="AE15" t="str">
            <v/>
          </cell>
        </row>
        <row r="17">
          <cell r="AE17" t="str">
            <v/>
          </cell>
        </row>
        <row r="19">
          <cell r="AE19" t="str">
            <v/>
          </cell>
        </row>
        <row r="21">
          <cell r="AE21" t="str">
            <v/>
          </cell>
        </row>
        <row r="25">
          <cell r="AE25" t="str">
            <v/>
          </cell>
        </row>
        <row r="27">
          <cell r="AE27" t="str">
            <v/>
          </cell>
        </row>
        <row r="29">
          <cell r="AE29" t="str">
            <v/>
          </cell>
        </row>
        <row r="31">
          <cell r="AE31" t="str">
            <v/>
          </cell>
        </row>
        <row r="33">
          <cell r="AE33" t="str">
            <v/>
          </cell>
        </row>
        <row r="35">
          <cell r="AE35" t="str">
            <v/>
          </cell>
        </row>
        <row r="37">
          <cell r="AE37" t="str">
            <v/>
          </cell>
        </row>
        <row r="39">
          <cell r="AE39" t="str">
            <v/>
          </cell>
        </row>
        <row r="41">
          <cell r="AE41" t="str">
            <v/>
          </cell>
        </row>
        <row r="45">
          <cell r="AE45" t="str">
            <v/>
          </cell>
        </row>
        <row r="47">
          <cell r="AE47" t="str">
            <v/>
          </cell>
        </row>
        <row r="49">
          <cell r="AE49" t="str">
            <v/>
          </cell>
        </row>
        <row r="51">
          <cell r="AE51" t="str">
            <v/>
          </cell>
        </row>
        <row r="53">
          <cell r="AE53" t="str">
            <v/>
          </cell>
        </row>
        <row r="55">
          <cell r="AE55" t="str">
            <v/>
          </cell>
        </row>
        <row r="57">
          <cell r="AE57" t="str">
            <v/>
          </cell>
        </row>
        <row r="59">
          <cell r="AE59" t="str">
            <v/>
          </cell>
        </row>
        <row r="61">
          <cell r="AE61" t="str">
            <v/>
          </cell>
        </row>
        <row r="65">
          <cell r="AE65" t="str">
            <v/>
          </cell>
        </row>
        <row r="67">
          <cell r="AE67" t="str">
            <v/>
          </cell>
        </row>
        <row r="69">
          <cell r="AE69" t="str">
            <v/>
          </cell>
        </row>
        <row r="71">
          <cell r="AE71" t="str">
            <v/>
          </cell>
        </row>
        <row r="73">
          <cell r="AE73" t="str">
            <v/>
          </cell>
        </row>
        <row r="75">
          <cell r="AE75" t="str">
            <v/>
          </cell>
        </row>
        <row r="77">
          <cell r="AE77" t="str">
            <v/>
          </cell>
        </row>
        <row r="79">
          <cell r="AE79" t="str">
            <v/>
          </cell>
        </row>
        <row r="81">
          <cell r="AE81" t="str">
            <v/>
          </cell>
        </row>
      </sheetData>
      <sheetData sheetId="5">
        <row r="5">
          <cell r="AZ5" t="str">
            <v/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">
          <cell r="R4" t="str">
            <v/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9">
          <cell r="T9" t="str">
            <v/>
          </cell>
        </row>
      </sheetData>
      <sheetData sheetId="30"/>
      <sheetData sheetId="3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 участников"/>
      <sheetName val="Жеребьевка"/>
      <sheetName val="Списки участников по алф"/>
      <sheetName val="гр (1-4)"/>
      <sheetName val="гр (5-8)"/>
      <sheetName val="гр (9-12)"/>
      <sheetName val="гр (13-16)"/>
      <sheetName val="Юноши 1ф"/>
      <sheetName val="Юноши 2ф"/>
      <sheetName val="Юноши 3ф"/>
      <sheetName val="Юноши 4ф"/>
      <sheetName val="1ф"/>
      <sheetName val="2ф"/>
      <sheetName val="3ф"/>
      <sheetName val="4ф"/>
      <sheetName val="5ф"/>
      <sheetName val="3ф-л"/>
      <sheetName val="4ф-л"/>
      <sheetName val="5ф-л"/>
      <sheetName val="протокол 1ф-л"/>
      <sheetName val="протокол 2ф-л"/>
      <sheetName val="Протокол 3ф-л"/>
      <sheetName val="протокол 4ф-л"/>
      <sheetName val="протокол 5ф-л"/>
      <sheetName val="16 с розыг"/>
      <sheetName val="16 (-2)"/>
      <sheetName val="Порядок встреч 1Ф"/>
      <sheetName val="Порядок встреч 2Ф"/>
      <sheetName val="Порядок встреч 3Ф"/>
      <sheetName val="Порядок встреч 4Ф"/>
      <sheetName val="св.прот дев 1ф"/>
      <sheetName val="Бегунки 1Ф"/>
      <sheetName val="Бегунки 2Ф"/>
      <sheetName val="Бегунки 3Ф"/>
      <sheetName val="Бегунки 4Ф"/>
      <sheetName val="Лист1"/>
      <sheetName val="Плейофф"/>
      <sheetName val="Протокол 3ф"/>
      <sheetName val="Протокол 4ф"/>
      <sheetName val="Протокол 5ф"/>
      <sheetName val="ОФП и СФП"/>
      <sheetName val="Места в группе"/>
      <sheetName val="R-Муж"/>
      <sheetName val="Лист2"/>
    </sheetNames>
    <sheetDataSet>
      <sheetData sheetId="0">
        <row r="1">
          <cell r="A1" t="str">
            <v>Всероссийский турнир "Надежды России"</v>
          </cell>
        </row>
      </sheetData>
      <sheetData sheetId="1"/>
      <sheetData sheetId="2"/>
      <sheetData sheetId="3">
        <row r="5">
          <cell r="B5">
            <v>1</v>
          </cell>
          <cell r="AH5">
            <v>16</v>
          </cell>
          <cell r="AI5">
            <v>0</v>
          </cell>
        </row>
        <row r="6">
          <cell r="AH6">
            <v>0</v>
          </cell>
          <cell r="AI6">
            <v>0</v>
          </cell>
        </row>
        <row r="7">
          <cell r="AH7">
            <v>15</v>
          </cell>
          <cell r="AI7">
            <v>0</v>
          </cell>
        </row>
        <row r="8">
          <cell r="AH8">
            <v>0</v>
          </cell>
          <cell r="AI8">
            <v>0</v>
          </cell>
        </row>
        <row r="9">
          <cell r="AH9">
            <v>14</v>
          </cell>
          <cell r="AI9">
            <v>0</v>
          </cell>
        </row>
        <row r="10">
          <cell r="AH10">
            <v>0</v>
          </cell>
          <cell r="AI10">
            <v>0</v>
          </cell>
        </row>
        <row r="11">
          <cell r="AH11">
            <v>10</v>
          </cell>
          <cell r="AI11">
            <v>0</v>
          </cell>
        </row>
        <row r="12">
          <cell r="AH12">
            <v>0</v>
          </cell>
          <cell r="AI12">
            <v>0</v>
          </cell>
        </row>
        <row r="13">
          <cell r="AH13">
            <v>11</v>
          </cell>
          <cell r="AI13">
            <v>0</v>
          </cell>
        </row>
        <row r="14">
          <cell r="AH14">
            <v>0</v>
          </cell>
          <cell r="AI14">
            <v>0</v>
          </cell>
        </row>
        <row r="15">
          <cell r="AH15">
            <v>12</v>
          </cell>
          <cell r="AI15">
            <v>0</v>
          </cell>
        </row>
        <row r="16">
          <cell r="AH16">
            <v>0</v>
          </cell>
          <cell r="AI16">
            <v>0</v>
          </cell>
        </row>
        <row r="17">
          <cell r="AH17">
            <v>12</v>
          </cell>
          <cell r="AI17">
            <v>0</v>
          </cell>
        </row>
        <row r="18">
          <cell r="AH18">
            <v>0</v>
          </cell>
          <cell r="AI18">
            <v>0</v>
          </cell>
        </row>
        <row r="19">
          <cell r="AH19">
            <v>10</v>
          </cell>
          <cell r="AI19">
            <v>0</v>
          </cell>
        </row>
        <row r="20">
          <cell r="AH20">
            <v>0</v>
          </cell>
          <cell r="AI20">
            <v>0</v>
          </cell>
        </row>
        <row r="21">
          <cell r="AH21">
            <v>8</v>
          </cell>
          <cell r="AI21">
            <v>0</v>
          </cell>
        </row>
        <row r="22">
          <cell r="AH22">
            <v>0</v>
          </cell>
          <cell r="AI22">
            <v>0</v>
          </cell>
        </row>
        <row r="23">
          <cell r="AH23" t="str">
            <v/>
          </cell>
          <cell r="AI23">
            <v>0</v>
          </cell>
        </row>
        <row r="24">
          <cell r="AH24">
            <v>0</v>
          </cell>
          <cell r="AI24">
            <v>0</v>
          </cell>
        </row>
        <row r="27">
          <cell r="AH27">
            <v>18</v>
          </cell>
          <cell r="AI27">
            <v>0</v>
          </cell>
        </row>
        <row r="28">
          <cell r="AH28">
            <v>0</v>
          </cell>
          <cell r="AI28">
            <v>0</v>
          </cell>
        </row>
        <row r="29">
          <cell r="AH29">
            <v>16</v>
          </cell>
          <cell r="AI29">
            <v>0</v>
          </cell>
        </row>
        <row r="30">
          <cell r="AH30">
            <v>0</v>
          </cell>
          <cell r="AI30">
            <v>0</v>
          </cell>
        </row>
        <row r="31">
          <cell r="AH31">
            <v>16</v>
          </cell>
          <cell r="AI31">
            <v>0</v>
          </cell>
        </row>
        <row r="32">
          <cell r="AH32">
            <v>0</v>
          </cell>
          <cell r="AI32">
            <v>0</v>
          </cell>
        </row>
        <row r="33">
          <cell r="AH33">
            <v>15</v>
          </cell>
          <cell r="AI33">
            <v>0</v>
          </cell>
        </row>
        <row r="34">
          <cell r="AH34">
            <v>0</v>
          </cell>
          <cell r="AI34">
            <v>0</v>
          </cell>
        </row>
        <row r="35">
          <cell r="AH35">
            <v>13</v>
          </cell>
          <cell r="AI35">
            <v>0</v>
          </cell>
        </row>
        <row r="36">
          <cell r="AH36">
            <v>0</v>
          </cell>
          <cell r="AI36">
            <v>0</v>
          </cell>
        </row>
        <row r="37">
          <cell r="AH37">
            <v>14</v>
          </cell>
          <cell r="AI37">
            <v>0</v>
          </cell>
        </row>
        <row r="38">
          <cell r="AH38">
            <v>0</v>
          </cell>
          <cell r="AI38">
            <v>0</v>
          </cell>
        </row>
        <row r="39">
          <cell r="AH39">
            <v>11</v>
          </cell>
          <cell r="AI39">
            <v>0</v>
          </cell>
        </row>
        <row r="40">
          <cell r="AH40">
            <v>0</v>
          </cell>
          <cell r="AI40">
            <v>0</v>
          </cell>
        </row>
        <row r="41">
          <cell r="AH41">
            <v>10</v>
          </cell>
          <cell r="AI41">
            <v>0</v>
          </cell>
        </row>
        <row r="42">
          <cell r="AH42">
            <v>0</v>
          </cell>
          <cell r="AI42">
            <v>0</v>
          </cell>
        </row>
        <row r="43">
          <cell r="AH43">
            <v>9</v>
          </cell>
          <cell r="AI43">
            <v>0</v>
          </cell>
        </row>
        <row r="44">
          <cell r="AH44">
            <v>0</v>
          </cell>
          <cell r="AI44">
            <v>0</v>
          </cell>
        </row>
        <row r="45">
          <cell r="AH45">
            <v>13</v>
          </cell>
          <cell r="AI45">
            <v>0</v>
          </cell>
        </row>
        <row r="46">
          <cell r="AH46">
            <v>0</v>
          </cell>
          <cell r="AI46">
            <v>0</v>
          </cell>
        </row>
        <row r="49">
          <cell r="AH49">
            <v>18</v>
          </cell>
          <cell r="AI49">
            <v>0</v>
          </cell>
        </row>
        <row r="50">
          <cell r="AH50">
            <v>0</v>
          </cell>
          <cell r="AI50">
            <v>0</v>
          </cell>
        </row>
        <row r="51">
          <cell r="AH51">
            <v>15</v>
          </cell>
          <cell r="AI51">
            <v>0</v>
          </cell>
        </row>
        <row r="52">
          <cell r="AH52">
            <v>0</v>
          </cell>
          <cell r="AI52">
            <v>0</v>
          </cell>
        </row>
        <row r="53">
          <cell r="AH53">
            <v>17</v>
          </cell>
          <cell r="AI53">
            <v>0</v>
          </cell>
        </row>
        <row r="54">
          <cell r="AH54">
            <v>0</v>
          </cell>
          <cell r="AI54">
            <v>0</v>
          </cell>
        </row>
        <row r="55">
          <cell r="AH55">
            <v>14</v>
          </cell>
          <cell r="AI55">
            <v>0</v>
          </cell>
        </row>
        <row r="56">
          <cell r="AH56">
            <v>0</v>
          </cell>
          <cell r="AI56">
            <v>0</v>
          </cell>
        </row>
        <row r="57">
          <cell r="AH57">
            <v>15</v>
          </cell>
          <cell r="AI57">
            <v>0</v>
          </cell>
        </row>
        <row r="58">
          <cell r="AH58">
            <v>0</v>
          </cell>
          <cell r="AI58">
            <v>0</v>
          </cell>
        </row>
        <row r="59">
          <cell r="AH59">
            <v>12</v>
          </cell>
          <cell r="AI59">
            <v>0</v>
          </cell>
        </row>
        <row r="60">
          <cell r="AH60">
            <v>0</v>
          </cell>
          <cell r="AI60">
            <v>0</v>
          </cell>
        </row>
        <row r="61">
          <cell r="AH61">
            <v>13</v>
          </cell>
          <cell r="AI61">
            <v>0</v>
          </cell>
        </row>
        <row r="62">
          <cell r="AH62">
            <v>0</v>
          </cell>
          <cell r="AI62">
            <v>0</v>
          </cell>
        </row>
        <row r="63">
          <cell r="AH63">
            <v>9</v>
          </cell>
          <cell r="AI63">
            <v>0</v>
          </cell>
        </row>
        <row r="64">
          <cell r="AH64">
            <v>0</v>
          </cell>
          <cell r="AI64">
            <v>0</v>
          </cell>
        </row>
        <row r="65">
          <cell r="AH65">
            <v>12</v>
          </cell>
          <cell r="AI65">
            <v>0</v>
          </cell>
        </row>
        <row r="66">
          <cell r="AH66">
            <v>0</v>
          </cell>
          <cell r="AI66">
            <v>0</v>
          </cell>
        </row>
        <row r="67">
          <cell r="AH67">
            <v>10</v>
          </cell>
          <cell r="AI67">
            <v>0</v>
          </cell>
        </row>
        <row r="68">
          <cell r="AH68">
            <v>0</v>
          </cell>
          <cell r="AI68">
            <v>0</v>
          </cell>
        </row>
        <row r="71">
          <cell r="AH71">
            <v>16</v>
          </cell>
          <cell r="AI71">
            <v>0</v>
          </cell>
        </row>
        <row r="72">
          <cell r="AH72">
            <v>0</v>
          </cell>
          <cell r="AI72">
            <v>0</v>
          </cell>
        </row>
        <row r="73">
          <cell r="AH73">
            <v>14</v>
          </cell>
          <cell r="AI73">
            <v>0</v>
          </cell>
        </row>
        <row r="74">
          <cell r="AH74">
            <v>0</v>
          </cell>
          <cell r="AI74">
            <v>0</v>
          </cell>
        </row>
        <row r="75">
          <cell r="AH75">
            <v>14</v>
          </cell>
          <cell r="AI75">
            <v>0</v>
          </cell>
        </row>
        <row r="76">
          <cell r="AH76">
            <v>0</v>
          </cell>
          <cell r="AI76">
            <v>0</v>
          </cell>
        </row>
        <row r="77">
          <cell r="AH77">
            <v>13</v>
          </cell>
          <cell r="AI77">
            <v>0</v>
          </cell>
        </row>
        <row r="78">
          <cell r="AH78">
            <v>0</v>
          </cell>
          <cell r="AI78">
            <v>0</v>
          </cell>
        </row>
        <row r="79">
          <cell r="AH79">
            <v>12</v>
          </cell>
          <cell r="AI79">
            <v>0</v>
          </cell>
        </row>
        <row r="80">
          <cell r="AH80">
            <v>0</v>
          </cell>
          <cell r="AI80">
            <v>0</v>
          </cell>
        </row>
        <row r="81">
          <cell r="AH81">
            <v>11</v>
          </cell>
          <cell r="AI81">
            <v>0</v>
          </cell>
        </row>
        <row r="82">
          <cell r="AH82">
            <v>0</v>
          </cell>
          <cell r="AI82">
            <v>0</v>
          </cell>
        </row>
        <row r="83">
          <cell r="AH83">
            <v>8</v>
          </cell>
          <cell r="AI83">
            <v>0</v>
          </cell>
        </row>
        <row r="84">
          <cell r="AH84">
            <v>0</v>
          </cell>
          <cell r="AI84">
            <v>0</v>
          </cell>
        </row>
        <row r="85">
          <cell r="AH85">
            <v>8</v>
          </cell>
          <cell r="AI85">
            <v>0</v>
          </cell>
        </row>
        <row r="86">
          <cell r="AH86">
            <v>0</v>
          </cell>
          <cell r="AI86">
            <v>0</v>
          </cell>
        </row>
        <row r="87">
          <cell r="AH87">
            <v>11</v>
          </cell>
          <cell r="AI87">
            <v>0</v>
          </cell>
        </row>
        <row r="88">
          <cell r="AH88">
            <v>0</v>
          </cell>
          <cell r="AI88">
            <v>0</v>
          </cell>
        </row>
        <row r="89">
          <cell r="AH89" t="str">
            <v/>
          </cell>
          <cell r="AI89">
            <v>0</v>
          </cell>
        </row>
        <row r="90">
          <cell r="AH90">
            <v>0</v>
          </cell>
          <cell r="AI90">
            <v>0</v>
          </cell>
        </row>
      </sheetData>
      <sheetData sheetId="4">
        <row r="5">
          <cell r="B5">
            <v>5</v>
          </cell>
        </row>
      </sheetData>
      <sheetData sheetId="5">
        <row r="5">
          <cell r="B5">
            <v>9</v>
          </cell>
        </row>
      </sheetData>
      <sheetData sheetId="6">
        <row r="5">
          <cell r="B5">
            <v>13</v>
          </cell>
        </row>
      </sheetData>
      <sheetData sheetId="7">
        <row r="5">
          <cell r="AZ5" t="str">
            <v/>
          </cell>
        </row>
      </sheetData>
      <sheetData sheetId="8">
        <row r="5">
          <cell r="AZ5" t="str">
            <v/>
          </cell>
          <cell r="BA5">
            <v>0</v>
          </cell>
        </row>
        <row r="6">
          <cell r="AZ6">
            <v>0</v>
          </cell>
          <cell r="BA6">
            <v>0</v>
          </cell>
        </row>
        <row r="7">
          <cell r="AZ7" t="str">
            <v/>
          </cell>
          <cell r="BA7">
            <v>0</v>
          </cell>
        </row>
        <row r="8">
          <cell r="AZ8">
            <v>0</v>
          </cell>
          <cell r="BA8">
            <v>0</v>
          </cell>
        </row>
        <row r="9">
          <cell r="AZ9" t="str">
            <v/>
          </cell>
          <cell r="BA9">
            <v>0</v>
          </cell>
        </row>
        <row r="10">
          <cell r="AZ10">
            <v>0</v>
          </cell>
          <cell r="BA10">
            <v>0</v>
          </cell>
        </row>
        <row r="11">
          <cell r="AZ11" t="str">
            <v/>
          </cell>
          <cell r="BA11">
            <v>0</v>
          </cell>
        </row>
        <row r="12">
          <cell r="AZ12">
            <v>0</v>
          </cell>
          <cell r="BA12">
            <v>0</v>
          </cell>
        </row>
        <row r="13">
          <cell r="AZ13" t="str">
            <v/>
          </cell>
          <cell r="BA13">
            <v>0</v>
          </cell>
        </row>
        <row r="14">
          <cell r="AZ14">
            <v>0</v>
          </cell>
          <cell r="BA14">
            <v>0</v>
          </cell>
        </row>
        <row r="15">
          <cell r="AZ15" t="str">
            <v/>
          </cell>
          <cell r="BA15">
            <v>0</v>
          </cell>
        </row>
        <row r="16">
          <cell r="AZ16">
            <v>0</v>
          </cell>
          <cell r="BA16">
            <v>0</v>
          </cell>
        </row>
        <row r="17">
          <cell r="AZ17" t="str">
            <v/>
          </cell>
          <cell r="BA17">
            <v>0</v>
          </cell>
        </row>
        <row r="18">
          <cell r="AZ18">
            <v>0</v>
          </cell>
          <cell r="BA18">
            <v>0</v>
          </cell>
        </row>
        <row r="19">
          <cell r="AZ19" t="str">
            <v/>
          </cell>
          <cell r="BA19">
            <v>0</v>
          </cell>
        </row>
        <row r="20">
          <cell r="AZ20">
            <v>0</v>
          </cell>
          <cell r="BA20">
            <v>0</v>
          </cell>
        </row>
        <row r="21">
          <cell r="AZ21" t="str">
            <v/>
          </cell>
          <cell r="BA21">
            <v>0</v>
          </cell>
        </row>
        <row r="22">
          <cell r="AZ22">
            <v>0</v>
          </cell>
          <cell r="BA22">
            <v>0</v>
          </cell>
        </row>
        <row r="23">
          <cell r="AZ23" t="str">
            <v/>
          </cell>
          <cell r="BA23">
            <v>0</v>
          </cell>
        </row>
        <row r="24">
          <cell r="AZ24">
            <v>0</v>
          </cell>
          <cell r="BA24">
            <v>0</v>
          </cell>
        </row>
        <row r="25">
          <cell r="AZ25" t="str">
            <v/>
          </cell>
          <cell r="BA25">
            <v>0</v>
          </cell>
        </row>
        <row r="26">
          <cell r="AZ26">
            <v>0</v>
          </cell>
          <cell r="BA26">
            <v>0</v>
          </cell>
        </row>
        <row r="27">
          <cell r="AZ27" t="str">
            <v/>
          </cell>
          <cell r="BA27">
            <v>0</v>
          </cell>
        </row>
        <row r="28">
          <cell r="AZ28">
            <v>0</v>
          </cell>
          <cell r="BA28">
            <v>0</v>
          </cell>
        </row>
        <row r="29">
          <cell r="AZ29" t="str">
            <v/>
          </cell>
          <cell r="BA29">
            <v>0</v>
          </cell>
        </row>
        <row r="30">
          <cell r="AZ30">
            <v>0</v>
          </cell>
          <cell r="BA30">
            <v>0</v>
          </cell>
        </row>
        <row r="31">
          <cell r="AZ31" t="str">
            <v/>
          </cell>
          <cell r="BA31">
            <v>0</v>
          </cell>
        </row>
        <row r="32">
          <cell r="AZ32">
            <v>0</v>
          </cell>
          <cell r="BA32">
            <v>0</v>
          </cell>
        </row>
        <row r="33">
          <cell r="AZ33" t="str">
            <v/>
          </cell>
          <cell r="BA33">
            <v>0</v>
          </cell>
        </row>
        <row r="34">
          <cell r="AZ34">
            <v>0</v>
          </cell>
          <cell r="BA34">
            <v>0</v>
          </cell>
        </row>
        <row r="35">
          <cell r="AZ35" t="str">
            <v/>
          </cell>
          <cell r="BA35">
            <v>0</v>
          </cell>
        </row>
        <row r="36">
          <cell r="AZ36">
            <v>0</v>
          </cell>
          <cell r="BA36">
            <v>0</v>
          </cell>
        </row>
      </sheetData>
      <sheetData sheetId="9">
        <row r="5">
          <cell r="AZ5" t="str">
            <v/>
          </cell>
          <cell r="BA5">
            <v>0</v>
          </cell>
        </row>
        <row r="6">
          <cell r="AZ6">
            <v>0</v>
          </cell>
          <cell r="BA6">
            <v>0</v>
          </cell>
        </row>
        <row r="7">
          <cell r="AZ7" t="str">
            <v/>
          </cell>
          <cell r="BA7">
            <v>0</v>
          </cell>
        </row>
        <row r="8">
          <cell r="AZ8">
            <v>0</v>
          </cell>
          <cell r="BA8">
            <v>0</v>
          </cell>
        </row>
        <row r="9">
          <cell r="AZ9" t="str">
            <v/>
          </cell>
          <cell r="BA9">
            <v>0</v>
          </cell>
        </row>
        <row r="10">
          <cell r="AZ10">
            <v>0</v>
          </cell>
          <cell r="BA10">
            <v>0</v>
          </cell>
        </row>
        <row r="11">
          <cell r="AZ11" t="str">
            <v/>
          </cell>
          <cell r="BA11">
            <v>0</v>
          </cell>
        </row>
        <row r="12">
          <cell r="AZ12">
            <v>0</v>
          </cell>
          <cell r="BA12">
            <v>0</v>
          </cell>
        </row>
        <row r="13">
          <cell r="AZ13" t="str">
            <v/>
          </cell>
          <cell r="BA13">
            <v>0</v>
          </cell>
        </row>
        <row r="14">
          <cell r="AZ14">
            <v>0</v>
          </cell>
          <cell r="BA14">
            <v>0</v>
          </cell>
        </row>
        <row r="15">
          <cell r="AZ15" t="str">
            <v/>
          </cell>
          <cell r="BA15">
            <v>0</v>
          </cell>
        </row>
        <row r="16">
          <cell r="AZ16">
            <v>0</v>
          </cell>
          <cell r="BA16">
            <v>0</v>
          </cell>
        </row>
        <row r="17">
          <cell r="AZ17" t="str">
            <v/>
          </cell>
          <cell r="BA17">
            <v>0</v>
          </cell>
        </row>
        <row r="18">
          <cell r="AZ18">
            <v>0</v>
          </cell>
          <cell r="BA18">
            <v>0</v>
          </cell>
        </row>
        <row r="19">
          <cell r="AZ19" t="str">
            <v/>
          </cell>
          <cell r="BA19">
            <v>0</v>
          </cell>
        </row>
        <row r="20">
          <cell r="AZ20">
            <v>0</v>
          </cell>
          <cell r="BA20">
            <v>0</v>
          </cell>
        </row>
        <row r="21">
          <cell r="AZ21" t="str">
            <v/>
          </cell>
          <cell r="BA21">
            <v>0</v>
          </cell>
        </row>
        <row r="22">
          <cell r="AZ22">
            <v>0</v>
          </cell>
          <cell r="BA22">
            <v>0</v>
          </cell>
        </row>
        <row r="23">
          <cell r="AZ23" t="str">
            <v/>
          </cell>
          <cell r="BA23">
            <v>0</v>
          </cell>
        </row>
        <row r="24">
          <cell r="AZ24">
            <v>0</v>
          </cell>
          <cell r="BA24">
            <v>0</v>
          </cell>
        </row>
        <row r="25">
          <cell r="AZ25" t="str">
            <v/>
          </cell>
          <cell r="BA25">
            <v>0</v>
          </cell>
        </row>
        <row r="26">
          <cell r="AZ26">
            <v>0</v>
          </cell>
          <cell r="BA26">
            <v>0</v>
          </cell>
        </row>
        <row r="27">
          <cell r="AZ27" t="str">
            <v/>
          </cell>
          <cell r="BA27">
            <v>0</v>
          </cell>
        </row>
        <row r="28">
          <cell r="AZ28">
            <v>0</v>
          </cell>
          <cell r="BA28">
            <v>0</v>
          </cell>
        </row>
        <row r="29">
          <cell r="AZ29" t="str">
            <v/>
          </cell>
          <cell r="BA29">
            <v>0</v>
          </cell>
        </row>
        <row r="30">
          <cell r="AZ30">
            <v>0</v>
          </cell>
          <cell r="BA30">
            <v>0</v>
          </cell>
        </row>
        <row r="31">
          <cell r="AZ31" t="str">
            <v/>
          </cell>
          <cell r="BA31">
            <v>0</v>
          </cell>
        </row>
        <row r="32">
          <cell r="AZ32">
            <v>0</v>
          </cell>
          <cell r="BA32">
            <v>0</v>
          </cell>
        </row>
        <row r="33">
          <cell r="AZ33" t="str">
            <v/>
          </cell>
          <cell r="BA33">
            <v>0</v>
          </cell>
        </row>
        <row r="34">
          <cell r="AZ34">
            <v>0</v>
          </cell>
          <cell r="BA34">
            <v>0</v>
          </cell>
        </row>
        <row r="35">
          <cell r="AZ35" t="str">
            <v/>
          </cell>
          <cell r="BA35">
            <v>0</v>
          </cell>
        </row>
        <row r="36">
          <cell r="AZ36">
            <v>0</v>
          </cell>
          <cell r="BA36">
            <v>0</v>
          </cell>
        </row>
      </sheetData>
      <sheetData sheetId="10">
        <row r="5">
          <cell r="AZ5" t="str">
            <v/>
          </cell>
          <cell r="BA5">
            <v>0</v>
          </cell>
        </row>
        <row r="6">
          <cell r="AZ6">
            <v>0</v>
          </cell>
          <cell r="BA6">
            <v>0</v>
          </cell>
        </row>
        <row r="7">
          <cell r="AZ7" t="str">
            <v/>
          </cell>
          <cell r="BA7">
            <v>0</v>
          </cell>
        </row>
        <row r="8">
          <cell r="AZ8">
            <v>0</v>
          </cell>
          <cell r="BA8">
            <v>0</v>
          </cell>
        </row>
        <row r="9">
          <cell r="AZ9" t="str">
            <v/>
          </cell>
          <cell r="BA9">
            <v>0</v>
          </cell>
        </row>
        <row r="10">
          <cell r="AZ10">
            <v>0</v>
          </cell>
          <cell r="BA10">
            <v>0</v>
          </cell>
        </row>
        <row r="11">
          <cell r="AZ11" t="str">
            <v/>
          </cell>
          <cell r="BA11">
            <v>0</v>
          </cell>
        </row>
        <row r="12">
          <cell r="AZ12">
            <v>0</v>
          </cell>
          <cell r="BA12">
            <v>0</v>
          </cell>
        </row>
        <row r="13">
          <cell r="AZ13" t="str">
            <v/>
          </cell>
          <cell r="BA13">
            <v>0</v>
          </cell>
        </row>
        <row r="14">
          <cell r="AZ14">
            <v>0</v>
          </cell>
          <cell r="BA14">
            <v>0</v>
          </cell>
        </row>
        <row r="15">
          <cell r="AZ15" t="str">
            <v/>
          </cell>
          <cell r="BA15">
            <v>0</v>
          </cell>
        </row>
        <row r="16">
          <cell r="AZ16">
            <v>0</v>
          </cell>
          <cell r="BA16">
            <v>0</v>
          </cell>
        </row>
        <row r="17">
          <cell r="AZ17" t="str">
            <v/>
          </cell>
          <cell r="BA17">
            <v>0</v>
          </cell>
        </row>
        <row r="18">
          <cell r="AZ18">
            <v>0</v>
          </cell>
          <cell r="BA18">
            <v>0</v>
          </cell>
        </row>
        <row r="19">
          <cell r="AZ19" t="str">
            <v/>
          </cell>
          <cell r="BA19">
            <v>0</v>
          </cell>
        </row>
        <row r="20">
          <cell r="AZ20">
            <v>0</v>
          </cell>
          <cell r="BA20">
            <v>0</v>
          </cell>
        </row>
        <row r="21">
          <cell r="AZ21" t="str">
            <v/>
          </cell>
          <cell r="BA21">
            <v>0</v>
          </cell>
        </row>
        <row r="22">
          <cell r="AZ22">
            <v>0</v>
          </cell>
          <cell r="BA22">
            <v>0</v>
          </cell>
        </row>
        <row r="23">
          <cell r="AZ23" t="str">
            <v/>
          </cell>
          <cell r="BA23">
            <v>0</v>
          </cell>
        </row>
        <row r="24">
          <cell r="AZ24">
            <v>0</v>
          </cell>
          <cell r="BA24">
            <v>0</v>
          </cell>
        </row>
        <row r="25">
          <cell r="AZ25" t="str">
            <v/>
          </cell>
          <cell r="BA25">
            <v>0</v>
          </cell>
        </row>
        <row r="26">
          <cell r="AZ26">
            <v>0</v>
          </cell>
          <cell r="BA26">
            <v>0</v>
          </cell>
        </row>
        <row r="27">
          <cell r="AZ27" t="str">
            <v/>
          </cell>
          <cell r="BA27">
            <v>0</v>
          </cell>
        </row>
        <row r="28">
          <cell r="AZ28">
            <v>0</v>
          </cell>
          <cell r="BA28">
            <v>0</v>
          </cell>
        </row>
        <row r="29">
          <cell r="AZ29" t="str">
            <v/>
          </cell>
          <cell r="BA29">
            <v>0</v>
          </cell>
        </row>
        <row r="30">
          <cell r="AZ30">
            <v>0</v>
          </cell>
          <cell r="BA30">
            <v>0</v>
          </cell>
        </row>
        <row r="31">
          <cell r="AZ31" t="str">
            <v/>
          </cell>
          <cell r="BA31">
            <v>0</v>
          </cell>
        </row>
        <row r="32">
          <cell r="AZ32">
            <v>0</v>
          </cell>
          <cell r="BA32">
            <v>0</v>
          </cell>
        </row>
        <row r="33">
          <cell r="AZ33" t="str">
            <v/>
          </cell>
          <cell r="BA33">
            <v>0</v>
          </cell>
        </row>
        <row r="34">
          <cell r="AZ34">
            <v>0</v>
          </cell>
          <cell r="BA34">
            <v>0</v>
          </cell>
        </row>
        <row r="35">
          <cell r="AZ35" t="str">
            <v/>
          </cell>
          <cell r="BA35">
            <v>0</v>
          </cell>
        </row>
        <row r="36">
          <cell r="AZ36">
            <v>0</v>
          </cell>
          <cell r="BA36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8">
          <cell r="L8">
            <v>152</v>
          </cell>
        </row>
      </sheetData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2060"/>
    <pageSetUpPr fitToPage="1"/>
  </sheetPr>
  <dimension ref="A1:N64"/>
  <sheetViews>
    <sheetView view="pageBreakPreview" topLeftCell="A39" zoomScaleNormal="100" zoomScaleSheetLayoutView="100" workbookViewId="0">
      <selection activeCell="L21" sqref="L21"/>
    </sheetView>
  </sheetViews>
  <sheetFormatPr defaultRowHeight="12.75" outlineLevelCol="1" x14ac:dyDescent="0.2"/>
  <cols>
    <col min="1" max="1" width="6" customWidth="1" outlineLevel="1"/>
    <col min="2" max="2" width="6.83203125" customWidth="1"/>
    <col min="3" max="3" width="35.1640625" customWidth="1"/>
    <col min="4" max="4" width="20.6640625" hidden="1" customWidth="1"/>
    <col min="5" max="5" width="11.5" hidden="1" customWidth="1"/>
    <col min="6" max="6" width="39" customWidth="1"/>
    <col min="7" max="7" width="30.6640625" hidden="1" customWidth="1"/>
    <col min="8" max="8" width="41.1640625" hidden="1" customWidth="1"/>
    <col min="9" max="9" width="17.6640625" hidden="1" customWidth="1" outlineLevel="1"/>
    <col min="10" max="10" width="4.83203125" hidden="1" customWidth="1" outlineLevel="1"/>
    <col min="11" max="11" width="8" hidden="1" customWidth="1" outlineLevel="1"/>
    <col min="12" max="12" width="12.1640625" customWidth="1" collapsed="1"/>
    <col min="13" max="13" width="17" customWidth="1"/>
    <col min="14" max="14" width="22.33203125" customWidth="1"/>
  </cols>
  <sheetData>
    <row r="1" spans="1:14" ht="89.25" customHeight="1" x14ac:dyDescent="0.25">
      <c r="A1" s="1095" t="s">
        <v>2797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5"/>
      <c r="M1" s="1095"/>
      <c r="N1" s="1095"/>
    </row>
    <row r="2" spans="1:14" ht="16.5" thickBot="1" x14ac:dyDescent="0.3">
      <c r="A2" s="1094" t="s">
        <v>2764</v>
      </c>
      <c r="B2" s="1094"/>
      <c r="C2" s="1094"/>
      <c r="D2" s="1094"/>
      <c r="E2" s="1094"/>
      <c r="F2" s="1094"/>
      <c r="G2" s="1094"/>
      <c r="H2" s="1094"/>
      <c r="I2" s="1094"/>
      <c r="J2" s="1094"/>
      <c r="K2" s="1094"/>
      <c r="L2" s="1094"/>
      <c r="M2" s="1094"/>
      <c r="N2" s="1094"/>
    </row>
    <row r="3" spans="1:14" ht="26.25" customHeight="1" x14ac:dyDescent="0.2">
      <c r="A3" s="998"/>
      <c r="B3" s="998"/>
      <c r="C3" s="998" t="s">
        <v>2796</v>
      </c>
      <c r="D3" s="998"/>
      <c r="E3" s="998"/>
      <c r="F3" s="1096" t="s">
        <v>2763</v>
      </c>
      <c r="G3" s="1096"/>
      <c r="H3" s="1096"/>
      <c r="I3" s="1096"/>
      <c r="J3" s="1096"/>
      <c r="K3" s="1096"/>
      <c r="L3" s="1096"/>
      <c r="M3" s="1096"/>
      <c r="N3" s="1096"/>
    </row>
    <row r="4" spans="1:14" ht="15.75" hidden="1" x14ac:dyDescent="0.2">
      <c r="A4" s="722"/>
      <c r="B4" s="1092"/>
      <c r="C4" s="1092"/>
      <c r="D4" s="1092"/>
      <c r="E4" s="1092"/>
      <c r="F4" s="1092"/>
      <c r="G4" s="1092"/>
      <c r="H4" s="723"/>
      <c r="I4" s="91"/>
      <c r="J4" s="91"/>
      <c r="K4" s="91"/>
    </row>
    <row r="5" spans="1:14" ht="18.75" hidden="1" customHeight="1" x14ac:dyDescent="0.25">
      <c r="A5" s="694"/>
      <c r="B5" s="1093"/>
      <c r="C5" s="1093"/>
      <c r="D5" s="1093"/>
      <c r="E5" s="1093"/>
      <c r="F5" s="1093"/>
      <c r="G5" s="1093"/>
      <c r="H5" s="694"/>
      <c r="I5" s="91"/>
      <c r="J5" s="91"/>
      <c r="K5" s="91"/>
    </row>
    <row r="6" spans="1:14" ht="24.75" customHeight="1" x14ac:dyDescent="0.3">
      <c r="A6" s="92"/>
      <c r="B6" s="1100" t="s">
        <v>2722</v>
      </c>
      <c r="C6" s="1100"/>
      <c r="D6" s="1100"/>
      <c r="E6" s="1100"/>
      <c r="F6" s="1100"/>
      <c r="G6" s="1100"/>
      <c r="H6" s="1100"/>
      <c r="I6" s="1100"/>
      <c r="J6" s="1100"/>
      <c r="K6" s="1100"/>
      <c r="L6" s="1100"/>
      <c r="M6" s="1100"/>
      <c r="N6" s="1100"/>
    </row>
    <row r="7" spans="1:14" ht="13.5" thickBot="1" x14ac:dyDescent="0.25">
      <c r="A7" s="92"/>
      <c r="B7" s="91"/>
      <c r="C7" s="91"/>
      <c r="D7" s="93"/>
      <c r="E7" s="91"/>
      <c r="F7" s="94"/>
      <c r="G7" s="94"/>
      <c r="H7" s="94"/>
      <c r="I7" s="91"/>
      <c r="J7" s="91"/>
      <c r="K7" s="91"/>
      <c r="M7" s="974"/>
      <c r="N7" s="974"/>
    </row>
    <row r="8" spans="1:14" ht="17.25" thickTop="1" thickBot="1" x14ac:dyDescent="0.3">
      <c r="A8" s="92"/>
      <c r="B8" s="95" t="s">
        <v>3</v>
      </c>
      <c r="C8" s="96" t="s">
        <v>4</v>
      </c>
      <c r="D8" s="97" t="s">
        <v>5</v>
      </c>
      <c r="E8" s="95" t="s">
        <v>6</v>
      </c>
      <c r="F8" s="95" t="s">
        <v>2742</v>
      </c>
      <c r="G8" s="98"/>
      <c r="H8" s="98" t="s">
        <v>57</v>
      </c>
      <c r="I8" s="91"/>
      <c r="J8" s="91"/>
      <c r="K8" s="91"/>
      <c r="L8" s="977" t="s">
        <v>100</v>
      </c>
      <c r="M8" s="978" t="s">
        <v>963</v>
      </c>
      <c r="N8" s="976" t="s">
        <v>2730</v>
      </c>
    </row>
    <row r="9" spans="1:14" ht="17.25" thickTop="1" thickBot="1" x14ac:dyDescent="0.25">
      <c r="A9" s="99">
        <v>1</v>
      </c>
      <c r="B9" s="111" t="s">
        <v>10</v>
      </c>
      <c r="C9" s="100" t="s">
        <v>2798</v>
      </c>
      <c r="D9" s="101" t="e">
        <f>IF(C9="","",VLOOKUP(C9,'R-Муж'!C:D,2,FALSE))</f>
        <v>#N/A</v>
      </c>
      <c r="E9" s="188">
        <f>IF(C9="","",LOOKUP(C9,'R-Муж'!C:C,'R-Муж'!B:B))</f>
        <v>0</v>
      </c>
      <c r="F9" s="102" t="s">
        <v>2762</v>
      </c>
      <c r="G9" s="113"/>
      <c r="H9" s="103" t="s">
        <v>2597</v>
      </c>
      <c r="I9" s="866" t="str">
        <f t="shared" ref="I9:I56" si="0">MID(C9,1,SEARCH(" ",C9)-1)</f>
        <v>НИКИФОРОВ</v>
      </c>
      <c r="J9" s="866" t="str">
        <f t="shared" ref="J9:J56" si="1">MID(C9,SEARCH(" ",C9)+1,1)</f>
        <v>А</v>
      </c>
      <c r="K9" s="866" t="str">
        <f t="shared" ref="K9:K56" si="2">CONCATENATE(I9," ",J9,".")</f>
        <v>НИКИФОРОВ А.</v>
      </c>
      <c r="L9" s="975">
        <v>2</v>
      </c>
      <c r="M9" s="1089">
        <f>SUM(L9:L12)</f>
        <v>43</v>
      </c>
      <c r="N9" s="1086">
        <f>RANK(M9,$M$9:$M$56,-1)</f>
        <v>3</v>
      </c>
    </row>
    <row r="10" spans="1:14" ht="17.25" thickTop="1" thickBot="1" x14ac:dyDescent="0.3">
      <c r="A10" s="99">
        <v>2</v>
      </c>
      <c r="B10" s="112" t="s">
        <v>41</v>
      </c>
      <c r="C10" s="105" t="s">
        <v>2773</v>
      </c>
      <c r="D10" s="101" t="e">
        <f>IF(C10="","",VLOOKUP(C10,'R-Муж'!C:D,2,FALSE))</f>
        <v>#N/A</v>
      </c>
      <c r="E10" s="188">
        <f>IF(C10="","",LOOKUP(C10,'R-Муж'!C:C,'R-Муж'!B:B))</f>
        <v>58</v>
      </c>
      <c r="F10" s="102" t="str">
        <f>F9</f>
        <v>АО ФНПЦ НИИРТ</v>
      </c>
      <c r="G10" s="113"/>
      <c r="H10" s="103" t="s">
        <v>2602</v>
      </c>
      <c r="I10" s="866" t="str">
        <f t="shared" si="0"/>
        <v>РОЙТМАН</v>
      </c>
      <c r="J10" s="866" t="str">
        <f t="shared" si="1"/>
        <v>Д</v>
      </c>
      <c r="K10" s="866" t="str">
        <f t="shared" si="2"/>
        <v>РОЙТМАН Д.</v>
      </c>
      <c r="L10" s="975">
        <v>5</v>
      </c>
      <c r="M10" s="1090"/>
      <c r="N10" s="1087"/>
    </row>
    <row r="11" spans="1:14" ht="17.25" thickTop="1" thickBot="1" x14ac:dyDescent="0.25">
      <c r="A11" s="99">
        <v>3</v>
      </c>
      <c r="B11" s="111" t="s">
        <v>35</v>
      </c>
      <c r="C11" s="100" t="s">
        <v>2774</v>
      </c>
      <c r="D11" s="101">
        <f>IF(C11="","",VLOOKUP(C11,'R-Муж'!C:D,2,FALSE))</f>
        <v>36607</v>
      </c>
      <c r="E11" s="188">
        <f>IF(C11="","",LOOKUP(C11,'R-Муж'!C:C,'R-Муж'!B:B))</f>
        <v>37</v>
      </c>
      <c r="F11" s="102" t="str">
        <f>F9</f>
        <v>АО ФНПЦ НИИРТ</v>
      </c>
      <c r="G11" s="113"/>
      <c r="H11" s="103" t="s">
        <v>2610</v>
      </c>
      <c r="I11" s="114" t="str">
        <f t="shared" si="0"/>
        <v>СОКОЛОВ</v>
      </c>
      <c r="J11" s="115" t="str">
        <f t="shared" si="1"/>
        <v>Д</v>
      </c>
      <c r="K11" s="115" t="str">
        <f t="shared" si="2"/>
        <v>СОКОЛОВ Д.</v>
      </c>
      <c r="L11" s="975">
        <v>28</v>
      </c>
      <c r="M11" s="1090"/>
      <c r="N11" s="1087"/>
    </row>
    <row r="12" spans="1:14" ht="17.25" thickTop="1" thickBot="1" x14ac:dyDescent="0.3">
      <c r="A12" s="99">
        <v>4</v>
      </c>
      <c r="B12" s="979" t="s">
        <v>15</v>
      </c>
      <c r="C12" s="1019" t="s">
        <v>2775</v>
      </c>
      <c r="D12" s="980" t="e">
        <f>IF(C12="","",VLOOKUP(C12,'R-Муж'!C:D,2,FALSE))</f>
        <v>#N/A</v>
      </c>
      <c r="E12" s="981">
        <f>IF(C12="","",LOOKUP(C12,'R-Муж'!C:C,'R-Муж'!B:B))</f>
        <v>0</v>
      </c>
      <c r="F12" s="982" t="str">
        <f>F9</f>
        <v>АО ФНПЦ НИИРТ</v>
      </c>
      <c r="G12" s="983"/>
      <c r="H12" s="984" t="s">
        <v>2614</v>
      </c>
      <c r="I12" s="985" t="str">
        <f t="shared" si="0"/>
        <v>АЛЕКСЕЕВА</v>
      </c>
      <c r="J12" s="985" t="str">
        <f t="shared" si="1"/>
        <v>Е</v>
      </c>
      <c r="K12" s="985" t="str">
        <f t="shared" si="2"/>
        <v>АЛЕКСЕЕВА Е.</v>
      </c>
      <c r="L12" s="986">
        <v>8</v>
      </c>
      <c r="M12" s="1091"/>
      <c r="N12" s="1088"/>
    </row>
    <row r="13" spans="1:14" ht="17.25" customHeight="1" thickTop="1" thickBot="1" x14ac:dyDescent="0.25">
      <c r="A13" s="99">
        <v>5</v>
      </c>
      <c r="B13" s="987" t="s">
        <v>37</v>
      </c>
      <c r="C13" s="988" t="s">
        <v>2767</v>
      </c>
      <c r="D13" s="989" t="e">
        <f>IF(C13="","",VLOOKUP(C13,'R-Муж'!C:D,2,FALSE))</f>
        <v>#N/A</v>
      </c>
      <c r="E13" s="990">
        <f>IF(C13="","",LOOKUP(C13,'R-Муж'!C:C,'R-Муж'!B:B))</f>
        <v>5</v>
      </c>
      <c r="F13" s="990" t="s">
        <v>2743</v>
      </c>
      <c r="G13" s="991"/>
      <c r="H13" s="992" t="s">
        <v>2604</v>
      </c>
      <c r="I13" s="993" t="str">
        <f t="shared" si="0"/>
        <v>АСТАПОВ</v>
      </c>
      <c r="J13" s="993" t="str">
        <f t="shared" si="1"/>
        <v>А</v>
      </c>
      <c r="K13" s="993" t="str">
        <f t="shared" si="2"/>
        <v>АСТАПОВ А.</v>
      </c>
      <c r="L13" s="975">
        <v>25</v>
      </c>
      <c r="M13" s="1089">
        <f t="shared" ref="M13" si="3">SUM(L13:L16)</f>
        <v>85</v>
      </c>
      <c r="N13" s="1086">
        <f t="shared" ref="N13" si="4">RANK(M13,$M$9:$M$56,-1)</f>
        <v>10</v>
      </c>
    </row>
    <row r="14" spans="1:14" ht="17.25" customHeight="1" thickTop="1" thickBot="1" x14ac:dyDescent="0.3">
      <c r="A14" s="99">
        <v>6</v>
      </c>
      <c r="B14" s="112" t="s">
        <v>42</v>
      </c>
      <c r="C14" s="105" t="s">
        <v>2744</v>
      </c>
      <c r="D14" s="101" t="e">
        <f>IF(C14="","",VLOOKUP(C14,'R-Муж'!C:D,2,FALSE))</f>
        <v>#N/A</v>
      </c>
      <c r="E14" s="188">
        <f>IF(C14="","",LOOKUP(C14,'R-Муж'!C:C,'R-Муж'!B:B))</f>
        <v>0</v>
      </c>
      <c r="F14" s="102" t="str">
        <f>F13</f>
        <v>ОАО АНПП "ТЕМП-АВИА"</v>
      </c>
      <c r="G14" s="184"/>
      <c r="H14" s="106" t="s">
        <v>2603</v>
      </c>
      <c r="I14" s="866" t="str">
        <f t="shared" si="0"/>
        <v>ЯШУНИН</v>
      </c>
      <c r="J14" s="866" t="str">
        <f t="shared" si="1"/>
        <v>А</v>
      </c>
      <c r="K14" s="866" t="str">
        <f t="shared" si="2"/>
        <v>ЯШУНИН А.</v>
      </c>
      <c r="L14" s="975">
        <v>19</v>
      </c>
      <c r="M14" s="1090"/>
      <c r="N14" s="1087"/>
    </row>
    <row r="15" spans="1:14" ht="17.25" customHeight="1" thickTop="1" thickBot="1" x14ac:dyDescent="0.3">
      <c r="A15" s="99">
        <v>7</v>
      </c>
      <c r="B15" s="111" t="s">
        <v>28</v>
      </c>
      <c r="C15" s="105" t="s">
        <v>2768</v>
      </c>
      <c r="D15" s="101" t="e">
        <f>IF(C15="","",VLOOKUP(C15,'R-Муж'!C:D,2,FALSE))</f>
        <v>#N/A</v>
      </c>
      <c r="E15" s="188">
        <f>IF(C15="","",LOOKUP(C15,'R-Муж'!C:C,'R-Муж'!B:B))</f>
        <v>5</v>
      </c>
      <c r="F15" s="102" t="str">
        <f>F13</f>
        <v>ОАО АНПП "ТЕМП-АВИА"</v>
      </c>
      <c r="G15" s="184"/>
      <c r="H15" s="106" t="s">
        <v>2602</v>
      </c>
      <c r="I15" s="866" t="str">
        <f t="shared" si="0"/>
        <v>АСТАПОВ</v>
      </c>
      <c r="J15" s="866" t="str">
        <f t="shared" si="1"/>
        <v>Д</v>
      </c>
      <c r="K15" s="866" t="str">
        <f t="shared" si="2"/>
        <v>АСТАПОВ Д.</v>
      </c>
      <c r="L15" s="975">
        <v>29</v>
      </c>
      <c r="M15" s="1090"/>
      <c r="N15" s="1087"/>
    </row>
    <row r="16" spans="1:14" ht="17.25" customHeight="1" thickTop="1" thickBot="1" x14ac:dyDescent="0.3">
      <c r="A16" s="99">
        <v>8</v>
      </c>
      <c r="B16" s="979" t="s">
        <v>22</v>
      </c>
      <c r="C16" s="1019" t="s">
        <v>2745</v>
      </c>
      <c r="D16" s="980" t="e">
        <f>IF(C16="","",VLOOKUP(C16,'R-Муж'!C:D,2,FALSE))</f>
        <v>#N/A</v>
      </c>
      <c r="E16" s="981">
        <f>IF(C16="","",LOOKUP(C16,'R-Муж'!C:C,'R-Муж'!B:B))</f>
        <v>36</v>
      </c>
      <c r="F16" s="982" t="str">
        <f>F13</f>
        <v>ОАО АНПП "ТЕМП-АВИА"</v>
      </c>
      <c r="G16" s="983"/>
      <c r="H16" s="984" t="s">
        <v>2606</v>
      </c>
      <c r="I16" s="985" t="str">
        <f t="shared" si="0"/>
        <v>ЧЕРТОВА</v>
      </c>
      <c r="J16" s="985" t="str">
        <f t="shared" si="1"/>
        <v>О</v>
      </c>
      <c r="K16" s="985" t="str">
        <f t="shared" si="2"/>
        <v>ЧЕРТОВА О.</v>
      </c>
      <c r="L16" s="986">
        <v>12</v>
      </c>
      <c r="M16" s="1091"/>
      <c r="N16" s="1088"/>
    </row>
    <row r="17" spans="1:14" ht="17.25" customHeight="1" thickTop="1" thickBot="1" x14ac:dyDescent="0.25">
      <c r="A17" s="99">
        <v>9</v>
      </c>
      <c r="B17" s="987" t="s">
        <v>38</v>
      </c>
      <c r="C17" s="988" t="s">
        <v>2716</v>
      </c>
      <c r="D17" s="989" t="e">
        <f>IF(C17="","",VLOOKUP(C17,'R-Муж'!C:D,2,FALSE))</f>
        <v>#N/A</v>
      </c>
      <c r="E17" s="990">
        <f>IF(C17="","",LOOKUP(C17,'R-Муж'!C:C,'R-Муж'!B:B))</f>
        <v>40</v>
      </c>
      <c r="F17" s="990" t="s">
        <v>2746</v>
      </c>
      <c r="G17" s="991"/>
      <c r="H17" s="992" t="s">
        <v>2605</v>
      </c>
      <c r="I17" s="993" t="str">
        <f t="shared" si="0"/>
        <v>ШИРЯЕВ</v>
      </c>
      <c r="J17" s="993" t="str">
        <f t="shared" si="1"/>
        <v>П</v>
      </c>
      <c r="K17" s="993" t="str">
        <f t="shared" si="2"/>
        <v>ШИРЯЕВ П.</v>
      </c>
      <c r="L17" s="975">
        <v>27</v>
      </c>
      <c r="M17" s="1089">
        <f t="shared" ref="M17" si="5">SUM(L17:L20)</f>
        <v>68</v>
      </c>
      <c r="N17" s="1086">
        <f t="shared" ref="N17" si="6">RANK(M17,$M$9:$M$56,-1)</f>
        <v>7</v>
      </c>
    </row>
    <row r="18" spans="1:14" ht="17.25" customHeight="1" thickTop="1" thickBot="1" x14ac:dyDescent="0.25">
      <c r="A18" s="99">
        <v>10</v>
      </c>
      <c r="B18" s="112" t="s">
        <v>30</v>
      </c>
      <c r="C18" s="100" t="s">
        <v>2747</v>
      </c>
      <c r="D18" s="101" t="e">
        <f>IF(C18="","",VLOOKUP(C18,'R-Муж'!C:D,2,FALSE))</f>
        <v>#N/A</v>
      </c>
      <c r="E18" s="188">
        <f>IF(C18="","",LOOKUP(C18,'R-Муж'!C:C,'R-Муж'!B:B))</f>
        <v>29</v>
      </c>
      <c r="F18" s="990" t="s">
        <v>2746</v>
      </c>
      <c r="G18" s="113"/>
      <c r="H18" s="106" t="s">
        <v>2595</v>
      </c>
      <c r="I18" s="114" t="str">
        <f t="shared" si="0"/>
        <v>ЕРАСТОВ</v>
      </c>
      <c r="J18" s="115" t="str">
        <f t="shared" si="1"/>
        <v>А</v>
      </c>
      <c r="K18" s="115" t="str">
        <f t="shared" si="2"/>
        <v>ЕРАСТОВ А.</v>
      </c>
      <c r="L18" s="975">
        <v>32</v>
      </c>
      <c r="M18" s="1090"/>
      <c r="N18" s="1087"/>
    </row>
    <row r="19" spans="1:14" ht="17.25" customHeight="1" thickTop="1" thickBot="1" x14ac:dyDescent="0.3">
      <c r="A19" s="99">
        <v>11</v>
      </c>
      <c r="B19" s="111" t="s">
        <v>25</v>
      </c>
      <c r="C19" s="105" t="s">
        <v>2772</v>
      </c>
      <c r="D19" s="101" t="e">
        <f>IF(C19="","",VLOOKUP(C19,'R-Муж'!C:D,2,FALSE))</f>
        <v>#N/A</v>
      </c>
      <c r="E19" s="188">
        <f>IF(C19="","",LOOKUP(C19,'R-Муж'!C:C,'R-Муж'!B:B))</f>
        <v>80</v>
      </c>
      <c r="F19" s="990" t="s">
        <v>2746</v>
      </c>
      <c r="G19" s="184"/>
      <c r="H19" s="106" t="s">
        <v>2613</v>
      </c>
      <c r="I19" s="866" t="str">
        <f t="shared" si="0"/>
        <v>ФИНАГИН</v>
      </c>
      <c r="J19" s="866" t="str">
        <f t="shared" si="1"/>
        <v>К</v>
      </c>
      <c r="K19" s="866" t="str">
        <f t="shared" si="2"/>
        <v>ФИНАГИН К.</v>
      </c>
      <c r="L19" s="975">
        <v>6</v>
      </c>
      <c r="M19" s="1090"/>
      <c r="N19" s="1087"/>
    </row>
    <row r="20" spans="1:14" ht="17.25" customHeight="1" thickTop="1" thickBot="1" x14ac:dyDescent="0.3">
      <c r="A20" s="99">
        <v>12</v>
      </c>
      <c r="B20" s="979" t="s">
        <v>17</v>
      </c>
      <c r="C20" s="1019" t="s">
        <v>2748</v>
      </c>
      <c r="D20" s="980" t="e">
        <f>IF(C20="","",VLOOKUP(C20,'R-Муж'!C:D,2,FALSE))</f>
        <v>#N/A</v>
      </c>
      <c r="E20" s="981">
        <f>IF(C20="","",LOOKUP(C20,'R-Муж'!C:C,'R-Муж'!B:B))</f>
        <v>6</v>
      </c>
      <c r="F20" s="990" t="s">
        <v>2746</v>
      </c>
      <c r="G20" s="994"/>
      <c r="H20" s="984" t="s">
        <v>2613</v>
      </c>
      <c r="I20" s="985" t="str">
        <f t="shared" si="0"/>
        <v>АКИМОВА</v>
      </c>
      <c r="J20" s="985" t="str">
        <f t="shared" si="1"/>
        <v>М</v>
      </c>
      <c r="K20" s="985" t="str">
        <f t="shared" si="2"/>
        <v>АКИМОВА М.</v>
      </c>
      <c r="L20" s="986">
        <v>3</v>
      </c>
      <c r="M20" s="1091"/>
      <c r="N20" s="1088"/>
    </row>
    <row r="21" spans="1:14" ht="17.25" customHeight="1" thickTop="1" thickBot="1" x14ac:dyDescent="0.3">
      <c r="A21" s="99">
        <v>13</v>
      </c>
      <c r="B21" s="987" t="s">
        <v>23</v>
      </c>
      <c r="C21" s="1020" t="s">
        <v>2732</v>
      </c>
      <c r="D21" s="989" t="e">
        <f>IF(C21="","",VLOOKUP(C21,'R-Муж'!C:D,2,FALSE))</f>
        <v>#N/A</v>
      </c>
      <c r="E21" s="990">
        <f>IF(C21="","",LOOKUP(C21,'R-Муж'!C:C,'R-Муж'!B:B))</f>
        <v>15</v>
      </c>
      <c r="F21" s="990" t="s">
        <v>2731</v>
      </c>
      <c r="G21" s="995"/>
      <c r="H21" s="992" t="s">
        <v>2607</v>
      </c>
      <c r="I21" s="993" t="str">
        <f t="shared" si="0"/>
        <v>ВАХРОМОВ</v>
      </c>
      <c r="J21" s="993" t="str">
        <f t="shared" si="1"/>
        <v>А</v>
      </c>
      <c r="K21" s="993" t="str">
        <f t="shared" si="2"/>
        <v>ВАХРОМОВ А.</v>
      </c>
      <c r="L21" s="975">
        <v>17</v>
      </c>
      <c r="M21" s="1089">
        <f t="shared" ref="M21" si="7">SUM(L21:L24)</f>
        <v>70</v>
      </c>
      <c r="N21" s="1086">
        <f t="shared" ref="N21" si="8">RANK(M21,$M$9:$M$56,-1)</f>
        <v>8</v>
      </c>
    </row>
    <row r="22" spans="1:14" ht="17.25" customHeight="1" thickTop="1" thickBot="1" x14ac:dyDescent="0.3">
      <c r="A22" s="99">
        <v>14</v>
      </c>
      <c r="B22" s="112" t="s">
        <v>7</v>
      </c>
      <c r="C22" s="105" t="s">
        <v>2792</v>
      </c>
      <c r="D22" s="101" t="e">
        <f>IF(C22="","",VLOOKUP(C22,'R-Муж'!C:D,2,FALSE))</f>
        <v>#N/A</v>
      </c>
      <c r="E22" s="188">
        <f>IF(C22="","",LOOKUP(C22,'R-Муж'!C:C,'R-Муж'!B:B))</f>
        <v>71</v>
      </c>
      <c r="F22" s="990" t="s">
        <v>2731</v>
      </c>
      <c r="G22" s="184"/>
      <c r="H22" s="106" t="s">
        <v>2611</v>
      </c>
      <c r="I22" s="866" t="str">
        <f t="shared" si="0"/>
        <v>КОНОВ</v>
      </c>
      <c r="J22" s="866" t="str">
        <f t="shared" si="1"/>
        <v>С</v>
      </c>
      <c r="K22" s="866" t="str">
        <f t="shared" si="2"/>
        <v>КОНОВ С.</v>
      </c>
      <c r="L22" s="975">
        <v>13</v>
      </c>
      <c r="M22" s="1090"/>
      <c r="N22" s="1087"/>
    </row>
    <row r="23" spans="1:14" ht="17.25" customHeight="1" thickTop="1" thickBot="1" x14ac:dyDescent="0.25">
      <c r="A23" s="99">
        <v>15</v>
      </c>
      <c r="B23" s="111" t="s">
        <v>12</v>
      </c>
      <c r="C23" s="100" t="s">
        <v>2733</v>
      </c>
      <c r="D23" s="101" t="e">
        <f>IF(C23="","",VLOOKUP(C23,'R-Муж'!C:D,2,FALSE))</f>
        <v>#N/A</v>
      </c>
      <c r="E23" s="188">
        <f>IF(C23="","",LOOKUP(C23,'R-Муж'!C:C,'R-Муж'!B:B))</f>
        <v>7</v>
      </c>
      <c r="F23" s="990" t="s">
        <v>2731</v>
      </c>
      <c r="G23" s="113"/>
      <c r="H23" s="106" t="s">
        <v>2600</v>
      </c>
      <c r="I23" s="114" t="str">
        <f t="shared" si="0"/>
        <v>ГРАЧЕВ</v>
      </c>
      <c r="J23" s="115" t="str">
        <f t="shared" si="1"/>
        <v>Д</v>
      </c>
      <c r="K23" s="115" t="str">
        <f t="shared" si="2"/>
        <v>ГРАЧЕВ Д.</v>
      </c>
      <c r="L23" s="975">
        <v>30</v>
      </c>
      <c r="M23" s="1090"/>
      <c r="N23" s="1087"/>
    </row>
    <row r="24" spans="1:14" ht="17.25" customHeight="1" thickTop="1" thickBot="1" x14ac:dyDescent="0.3">
      <c r="A24" s="99">
        <v>16</v>
      </c>
      <c r="B24" s="979" t="s">
        <v>29</v>
      </c>
      <c r="C24" s="1019" t="s">
        <v>2793</v>
      </c>
      <c r="D24" s="980" t="e">
        <f>IF(C24="","",VLOOKUP(C24,'R-Муж'!C:D,2,FALSE))</f>
        <v>#N/A</v>
      </c>
      <c r="E24" s="981">
        <f>IF(C24="","",LOOKUP(C24,'R-Муж'!C:C,'R-Муж'!B:B))</f>
        <v>15</v>
      </c>
      <c r="F24" s="990" t="s">
        <v>2731</v>
      </c>
      <c r="G24" s="994"/>
      <c r="H24" s="984" t="s">
        <v>2596</v>
      </c>
      <c r="I24" s="985" t="str">
        <f t="shared" si="0"/>
        <v>ВАХРОМОВА</v>
      </c>
      <c r="J24" s="985" t="str">
        <f t="shared" si="1"/>
        <v>И</v>
      </c>
      <c r="K24" s="985" t="str">
        <f t="shared" si="2"/>
        <v>ВАХРОМОВА И.</v>
      </c>
      <c r="L24" s="986">
        <v>10</v>
      </c>
      <c r="M24" s="1091"/>
      <c r="N24" s="1088"/>
    </row>
    <row r="25" spans="1:14" ht="17.25" customHeight="1" thickTop="1" thickBot="1" x14ac:dyDescent="0.3">
      <c r="A25" s="99">
        <v>17</v>
      </c>
      <c r="B25" s="987" t="s">
        <v>8</v>
      </c>
      <c r="C25" s="1021" t="s">
        <v>2750</v>
      </c>
      <c r="D25" s="989" t="e">
        <f>IF(C25="","",VLOOKUP(C25,'R-Муж'!C:D,2,FALSE))</f>
        <v>#N/A</v>
      </c>
      <c r="E25" s="990">
        <f>IF(C25="","",LOOKUP(C25,'R-Муж'!C:C,'R-Муж'!B:B))</f>
        <v>25</v>
      </c>
      <c r="F25" s="990" t="s">
        <v>2749</v>
      </c>
      <c r="G25" s="991"/>
      <c r="H25" s="992" t="s">
        <v>2618</v>
      </c>
      <c r="I25" s="993" t="str">
        <f t="shared" si="0"/>
        <v>ЕГОРОВ</v>
      </c>
      <c r="J25" s="993" t="str">
        <f t="shared" si="1"/>
        <v>И</v>
      </c>
      <c r="K25" s="993" t="str">
        <f t="shared" si="2"/>
        <v>ЕГОРОВ И.</v>
      </c>
      <c r="L25" s="975">
        <v>10</v>
      </c>
      <c r="M25" s="1089">
        <f t="shared" ref="M25" si="9">SUM(L25:L28)</f>
        <v>46</v>
      </c>
      <c r="N25" s="1086">
        <f t="shared" ref="N25" si="10">RANK(M25,$M$9:$M$56,-1)</f>
        <v>4</v>
      </c>
    </row>
    <row r="26" spans="1:14" ht="17.25" customHeight="1" thickTop="1" thickBot="1" x14ac:dyDescent="0.3">
      <c r="A26" s="99">
        <v>18</v>
      </c>
      <c r="B26" s="112" t="s">
        <v>14</v>
      </c>
      <c r="C26" s="105" t="s">
        <v>2734</v>
      </c>
      <c r="D26" s="101" t="e">
        <f>IF(C26="","",VLOOKUP(C26,'R-Муж'!C:D,2,FALSE))</f>
        <v>#N/A</v>
      </c>
      <c r="E26" s="188">
        <f>IF(C26="","",LOOKUP(C26,'R-Муж'!C:C,'R-Муж'!B:B))</f>
        <v>74</v>
      </c>
      <c r="F26" s="990" t="s">
        <v>2749</v>
      </c>
      <c r="G26" s="113"/>
      <c r="H26" s="106" t="s">
        <v>2618</v>
      </c>
      <c r="I26" s="866" t="str">
        <f t="shared" si="0"/>
        <v>ВОЛКОВ</v>
      </c>
      <c r="J26" s="866" t="str">
        <f t="shared" si="1"/>
        <v>В</v>
      </c>
      <c r="K26" s="866" t="str">
        <f t="shared" si="2"/>
        <v>ВОЛКОВ В.</v>
      </c>
      <c r="L26" s="975">
        <v>23</v>
      </c>
      <c r="M26" s="1090"/>
      <c r="N26" s="1087"/>
    </row>
    <row r="27" spans="1:14" ht="17.25" customHeight="1" thickTop="1" thickBot="1" x14ac:dyDescent="0.3">
      <c r="A27" s="99">
        <v>19</v>
      </c>
      <c r="B27" s="111" t="s">
        <v>43</v>
      </c>
      <c r="C27" s="105" t="s">
        <v>2769</v>
      </c>
      <c r="D27" s="101" t="s">
        <v>2721</v>
      </c>
      <c r="E27" s="188">
        <f>IF(C27="","",LOOKUP(C27,'R-Муж'!C:C,'R-Муж'!B:B))</f>
        <v>0</v>
      </c>
      <c r="F27" s="990" t="s">
        <v>2749</v>
      </c>
      <c r="G27" s="113"/>
      <c r="H27" s="106" t="s">
        <v>2602</v>
      </c>
      <c r="I27" s="866" t="str">
        <f t="shared" si="0"/>
        <v>МАРКЕЛОВ</v>
      </c>
      <c r="J27" s="866" t="str">
        <f t="shared" si="1"/>
        <v>И</v>
      </c>
      <c r="K27" s="866" t="str">
        <f t="shared" si="2"/>
        <v>МАРКЕЛОВ И.</v>
      </c>
      <c r="L27" s="975">
        <v>4</v>
      </c>
      <c r="M27" s="1090"/>
      <c r="N27" s="1087"/>
    </row>
    <row r="28" spans="1:14" ht="17.25" customHeight="1" thickTop="1" thickBot="1" x14ac:dyDescent="0.3">
      <c r="A28" s="99">
        <v>20</v>
      </c>
      <c r="B28" s="979" t="s">
        <v>19</v>
      </c>
      <c r="C28" s="1019" t="s">
        <v>2751</v>
      </c>
      <c r="D28" s="980" t="e">
        <f>IF(C28="","",VLOOKUP(C28,'R-Муж'!C:D,2,FALSE))</f>
        <v>#N/A</v>
      </c>
      <c r="E28" s="981">
        <f>IF(C28="","",LOOKUP(C28,'R-Муж'!C:C,'R-Муж'!B:B))</f>
        <v>0</v>
      </c>
      <c r="F28" s="990" t="s">
        <v>2749</v>
      </c>
      <c r="G28" s="994"/>
      <c r="H28" s="984" t="s">
        <v>2596</v>
      </c>
      <c r="I28" s="996" t="str">
        <f t="shared" si="0"/>
        <v>КАРПОВА</v>
      </c>
      <c r="J28" s="985" t="str">
        <f t="shared" si="1"/>
        <v>Ю</v>
      </c>
      <c r="K28" s="985" t="str">
        <f t="shared" si="2"/>
        <v>КАРПОВА Ю.</v>
      </c>
      <c r="L28" s="986">
        <v>9</v>
      </c>
      <c r="M28" s="1091"/>
      <c r="N28" s="1088"/>
    </row>
    <row r="29" spans="1:14" ht="17.25" customHeight="1" thickTop="1" thickBot="1" x14ac:dyDescent="0.3">
      <c r="A29" s="99">
        <v>21</v>
      </c>
      <c r="B29" s="987" t="s">
        <v>36</v>
      </c>
      <c r="C29" s="1021" t="s">
        <v>2723</v>
      </c>
      <c r="D29" s="989" t="e">
        <f>IF(C29="","",VLOOKUP(C29,'R-Муж'!C:D,2,FALSE))</f>
        <v>#N/A</v>
      </c>
      <c r="E29" s="990">
        <f>IF(C29="","",LOOKUP(C29,'R-Муж'!C:C,'R-Муж'!B:B))</f>
        <v>41</v>
      </c>
      <c r="F29" s="990" t="s">
        <v>2717</v>
      </c>
      <c r="G29" s="991"/>
      <c r="H29" s="992" t="s">
        <v>2608</v>
      </c>
      <c r="I29" s="993" t="str">
        <f t="shared" si="0"/>
        <v>КОПНОВ</v>
      </c>
      <c r="J29" s="993" t="str">
        <f t="shared" si="1"/>
        <v>П</v>
      </c>
      <c r="K29" s="993" t="str">
        <f t="shared" si="2"/>
        <v>КОПНОВ П.</v>
      </c>
      <c r="L29" s="975">
        <v>20</v>
      </c>
      <c r="M29" s="1089">
        <f t="shared" ref="M29" si="11">SUM(L29:L32)</f>
        <v>83</v>
      </c>
      <c r="N29" s="1086">
        <f t="shared" ref="N29" si="12">RANK(M29,$M$9:$M$56,-1)</f>
        <v>9</v>
      </c>
    </row>
    <row r="30" spans="1:14" ht="17.25" customHeight="1" thickTop="1" thickBot="1" x14ac:dyDescent="0.3">
      <c r="A30" s="99">
        <v>22</v>
      </c>
      <c r="B30" s="112" t="s">
        <v>27</v>
      </c>
      <c r="C30" s="105" t="s">
        <v>2718</v>
      </c>
      <c r="D30" s="101" t="e">
        <f>IF(C30="","",VLOOKUP(C30,'R-Муж'!C:D,2,FALSE))</f>
        <v>#N/A</v>
      </c>
      <c r="E30" s="188">
        <f>IF(C30="","",LOOKUP(C30,'R-Муж'!C:C,'R-Муж'!B:B))</f>
        <v>46</v>
      </c>
      <c r="F30" s="990" t="s">
        <v>2717</v>
      </c>
      <c r="G30" s="877"/>
      <c r="H30" s="107" t="s">
        <v>2609</v>
      </c>
      <c r="I30" s="866" t="str">
        <f t="shared" si="0"/>
        <v>ГОГОЛЬ</v>
      </c>
      <c r="J30" s="866" t="str">
        <f t="shared" si="1"/>
        <v>А</v>
      </c>
      <c r="K30" s="866" t="str">
        <f t="shared" si="2"/>
        <v>ГОГОЛЬ А.</v>
      </c>
      <c r="L30" s="975">
        <v>21</v>
      </c>
      <c r="M30" s="1090"/>
      <c r="N30" s="1087"/>
    </row>
    <row r="31" spans="1:14" ht="17.25" customHeight="1" thickTop="1" thickBot="1" x14ac:dyDescent="0.25">
      <c r="A31" s="99">
        <v>23</v>
      </c>
      <c r="B31" s="111" t="s">
        <v>40</v>
      </c>
      <c r="C31" s="100" t="s">
        <v>2779</v>
      </c>
      <c r="D31" s="101" t="e">
        <f>IF(C31="","",VLOOKUP(C31,'R-Муж'!C:D,2,FALSE))</f>
        <v>#N/A</v>
      </c>
      <c r="E31" s="188">
        <f>IF(C31="","",LOOKUP(C31,'R-Муж'!C:C,'R-Муж'!B:B))</f>
        <v>0</v>
      </c>
      <c r="F31" s="990" t="s">
        <v>2717</v>
      </c>
      <c r="G31" s="102"/>
      <c r="H31" s="108" t="s">
        <v>2602</v>
      </c>
      <c r="I31" s="866" t="str">
        <f t="shared" si="0"/>
        <v>КОРНИЛАЕВ</v>
      </c>
      <c r="J31" s="866" t="str">
        <f t="shared" si="1"/>
        <v>М</v>
      </c>
      <c r="K31" s="866" t="str">
        <f t="shared" si="2"/>
        <v>КОРНИЛАЕВ М.</v>
      </c>
      <c r="L31" s="975">
        <v>31</v>
      </c>
      <c r="M31" s="1090"/>
      <c r="N31" s="1087"/>
    </row>
    <row r="32" spans="1:14" ht="17.25" customHeight="1" thickTop="1" thickBot="1" x14ac:dyDescent="0.25">
      <c r="A32" s="99">
        <v>24</v>
      </c>
      <c r="B32" s="979" t="s">
        <v>9</v>
      </c>
      <c r="C32" s="1022" t="s">
        <v>2780</v>
      </c>
      <c r="D32" s="980" t="e">
        <f>IF(C32="","",VLOOKUP(C32,'R-Муж'!C:D,2,FALSE))</f>
        <v>#N/A</v>
      </c>
      <c r="E32" s="981">
        <f>IF(C32="","",LOOKUP(C32,'R-Муж'!C:C,'R-Муж'!B:B))</f>
        <v>19</v>
      </c>
      <c r="F32" s="990" t="s">
        <v>2717</v>
      </c>
      <c r="G32" s="983"/>
      <c r="H32" s="984" t="s">
        <v>2605</v>
      </c>
      <c r="I32" s="996" t="str">
        <f t="shared" si="0"/>
        <v>КРЫЛОВА</v>
      </c>
      <c r="J32" s="985" t="str">
        <f t="shared" si="1"/>
        <v>О</v>
      </c>
      <c r="K32" s="985" t="str">
        <f t="shared" si="2"/>
        <v>КРЫЛОВА О.</v>
      </c>
      <c r="L32" s="986">
        <v>11</v>
      </c>
      <c r="M32" s="1091"/>
      <c r="N32" s="1088"/>
    </row>
    <row r="33" spans="1:14" ht="17.25" customHeight="1" thickTop="1" thickBot="1" x14ac:dyDescent="0.25">
      <c r="A33" s="99">
        <v>25</v>
      </c>
      <c r="B33" s="987" t="s">
        <v>18</v>
      </c>
      <c r="C33" s="988" t="s">
        <v>2753</v>
      </c>
      <c r="D33" s="989" t="e">
        <f>IF(C33="","",VLOOKUP(C33,'R-Муж'!C:D,2,FALSE))</f>
        <v>#N/A</v>
      </c>
      <c r="E33" s="990">
        <f>IF(C33="","",LOOKUP(C33,'R-Муж'!C:C,'R-Муж'!B:B))</f>
        <v>80</v>
      </c>
      <c r="F33" s="990" t="s">
        <v>2752</v>
      </c>
      <c r="G33" s="991"/>
      <c r="H33" s="992" t="s">
        <v>2599</v>
      </c>
      <c r="I33" s="993" t="str">
        <f t="shared" si="0"/>
        <v>ФИЛЬЧУГОВ</v>
      </c>
      <c r="J33" s="993" t="str">
        <f t="shared" si="1"/>
        <v>С</v>
      </c>
      <c r="K33" s="993" t="str">
        <f t="shared" si="2"/>
        <v>ФИЛЬЧУГОВ С.</v>
      </c>
      <c r="L33" s="975">
        <v>12</v>
      </c>
      <c r="M33" s="1089">
        <f t="shared" ref="M33" si="13">SUM(L33:L36)</f>
        <v>49</v>
      </c>
      <c r="N33" s="1086">
        <f t="shared" ref="N33" si="14">RANK(M33,$M$9:$M$56,-1)</f>
        <v>5</v>
      </c>
    </row>
    <row r="34" spans="1:14" ht="17.25" customHeight="1" thickTop="1" thickBot="1" x14ac:dyDescent="0.3">
      <c r="A34" s="99">
        <v>26</v>
      </c>
      <c r="B34" s="112" t="s">
        <v>33</v>
      </c>
      <c r="C34" s="105" t="s">
        <v>2754</v>
      </c>
      <c r="D34" s="101" t="e">
        <f>IF(C34="","",VLOOKUP(C34,'R-Муж'!C:D,2,FALSE))</f>
        <v>#N/A</v>
      </c>
      <c r="E34" s="188">
        <f>IF(C34="","",LOOKUP(C34,'R-Муж'!C:C,'R-Муж'!B:B))</f>
        <v>20</v>
      </c>
      <c r="F34" s="990" t="s">
        <v>2752</v>
      </c>
      <c r="G34" s="184"/>
      <c r="H34" s="106" t="s">
        <v>2612</v>
      </c>
      <c r="I34" s="114" t="str">
        <f t="shared" si="0"/>
        <v>ТЫЛЕЧКИН</v>
      </c>
      <c r="J34" s="115" t="str">
        <f t="shared" si="1"/>
        <v>В</v>
      </c>
      <c r="K34" s="115" t="str">
        <f t="shared" si="2"/>
        <v>ТЫЛЕЧКИН В.</v>
      </c>
      <c r="L34" s="975">
        <v>15</v>
      </c>
      <c r="M34" s="1090"/>
      <c r="N34" s="1087"/>
    </row>
    <row r="35" spans="1:14" ht="17.25" customHeight="1" thickTop="1" thickBot="1" x14ac:dyDescent="0.25">
      <c r="A35" s="99">
        <v>27</v>
      </c>
      <c r="B35" s="111" t="s">
        <v>39</v>
      </c>
      <c r="C35" s="1023" t="s">
        <v>2755</v>
      </c>
      <c r="D35" s="101" t="e">
        <f>IF(C35="","",VLOOKUP(C35,'R-Муж'!C:D,2,FALSE))</f>
        <v>#N/A</v>
      </c>
      <c r="E35" s="188">
        <f>IF(C35="","",LOOKUP(C35,'R-Муж'!C:C,'R-Муж'!B:B))</f>
        <v>80</v>
      </c>
      <c r="F35" s="990" t="s">
        <v>2752</v>
      </c>
      <c r="G35" s="113"/>
      <c r="H35" s="106" t="s">
        <v>2602</v>
      </c>
      <c r="I35" s="116" t="str">
        <f t="shared" si="0"/>
        <v>ФИЛЬЧУГОВ</v>
      </c>
      <c r="J35" s="117" t="str">
        <f t="shared" si="1"/>
        <v>Г</v>
      </c>
      <c r="K35" s="117" t="str">
        <f t="shared" si="2"/>
        <v>ФИЛЬЧУГОВ Г.</v>
      </c>
      <c r="L35" s="975">
        <v>16</v>
      </c>
      <c r="M35" s="1090"/>
      <c r="N35" s="1087"/>
    </row>
    <row r="36" spans="1:14" ht="17.25" customHeight="1" thickTop="1" thickBot="1" x14ac:dyDescent="0.25">
      <c r="A36" s="99">
        <v>28</v>
      </c>
      <c r="B36" s="979" t="s">
        <v>26</v>
      </c>
      <c r="C36" s="1022" t="s">
        <v>2756</v>
      </c>
      <c r="D36" s="980" t="e">
        <f>IF(C36="","",VLOOKUP(C36,'R-Муж'!C:D,2,FALSE))</f>
        <v>#N/A</v>
      </c>
      <c r="E36" s="981">
        <f>IF(C36="","",LOOKUP(C36,'R-Муж'!C:C,'R-Муж'!B:B))</f>
        <v>20</v>
      </c>
      <c r="F36" s="990" t="s">
        <v>2752</v>
      </c>
      <c r="G36" s="983"/>
      <c r="H36" s="984" t="s">
        <v>2607</v>
      </c>
      <c r="I36" s="985" t="str">
        <f t="shared" si="0"/>
        <v>КОТОВА</v>
      </c>
      <c r="J36" s="985" t="str">
        <f t="shared" si="1"/>
        <v>Н</v>
      </c>
      <c r="K36" s="985" t="str">
        <f t="shared" si="2"/>
        <v>КОТОВА Н.</v>
      </c>
      <c r="L36" s="986">
        <v>6</v>
      </c>
      <c r="M36" s="1091"/>
      <c r="N36" s="1088"/>
    </row>
    <row r="37" spans="1:14" ht="17.25" customHeight="1" thickTop="1" thickBot="1" x14ac:dyDescent="0.25">
      <c r="A37" s="99">
        <v>29</v>
      </c>
      <c r="B37" s="987" t="s">
        <v>13</v>
      </c>
      <c r="C37" s="988" t="s">
        <v>2791</v>
      </c>
      <c r="D37" s="989" t="e">
        <f>IF(C37="","",VLOOKUP(C37,'R-Муж'!C:D,2,FALSE))</f>
        <v>#N/A</v>
      </c>
      <c r="E37" s="990">
        <f>IF(C37="","",LOOKUP(C37,'R-Муж'!C:C,'R-Муж'!B:B))</f>
        <v>32</v>
      </c>
      <c r="F37" s="990" t="s">
        <v>2787</v>
      </c>
      <c r="G37" s="991"/>
      <c r="H37" s="992" t="s">
        <v>2605</v>
      </c>
      <c r="I37" s="993" t="str">
        <f t="shared" si="0"/>
        <v>МУХАМЕТЖАНОВ</v>
      </c>
      <c r="J37" s="993" t="str">
        <f t="shared" si="1"/>
        <v>С</v>
      </c>
      <c r="K37" s="993" t="str">
        <f t="shared" si="2"/>
        <v>МУХАМЕТЖАНОВ С.</v>
      </c>
      <c r="L37" s="975">
        <v>34</v>
      </c>
      <c r="M37" s="1089">
        <f t="shared" ref="M37" si="15">SUM(L37:L40)</f>
        <v>107</v>
      </c>
      <c r="N37" s="1086">
        <f t="shared" ref="N37" si="16">RANK(M37,$M$9:$M$56,-1)</f>
        <v>12</v>
      </c>
    </row>
    <row r="38" spans="1:14" ht="17.25" customHeight="1" thickTop="1" thickBot="1" x14ac:dyDescent="0.3">
      <c r="A38" s="99">
        <v>30</v>
      </c>
      <c r="B38" s="112" t="s">
        <v>32</v>
      </c>
      <c r="C38" s="105" t="s">
        <v>2788</v>
      </c>
      <c r="D38" s="101" t="e">
        <f>IF(C38="","",VLOOKUP(C38,'R-Муж'!C:D,2,FALSE))</f>
        <v>#N/A</v>
      </c>
      <c r="E38" s="188">
        <f>IF(C38="","",LOOKUP(C38,'R-Муж'!C:C,'R-Муж'!B:B))</f>
        <v>40</v>
      </c>
      <c r="F38" s="990" t="s">
        <v>2787</v>
      </c>
      <c r="G38" s="113"/>
      <c r="H38" s="106" t="s">
        <v>2602</v>
      </c>
      <c r="I38" s="866" t="str">
        <f t="shared" si="0"/>
        <v>ВОЛКОВ</v>
      </c>
      <c r="J38" s="866" t="str">
        <f t="shared" si="1"/>
        <v>Е</v>
      </c>
      <c r="K38" s="866" t="str">
        <f t="shared" si="2"/>
        <v>ВОЛКОВ Е.</v>
      </c>
      <c r="L38" s="975">
        <v>35</v>
      </c>
      <c r="M38" s="1090"/>
      <c r="N38" s="1087"/>
    </row>
    <row r="39" spans="1:14" ht="17.25" customHeight="1" thickTop="1" thickBot="1" x14ac:dyDescent="0.3">
      <c r="A39" s="99">
        <v>31</v>
      </c>
      <c r="B39" s="111" t="s">
        <v>31</v>
      </c>
      <c r="C39" s="105" t="s">
        <v>2789</v>
      </c>
      <c r="D39" s="101" t="e">
        <f>IF(C39="","",VLOOKUP(C39,'R-Муж'!C:D,2,FALSE))</f>
        <v>#N/A</v>
      </c>
      <c r="E39" s="188">
        <f>IF(C39="","",LOOKUP(C39,'R-Муж'!C:C,'R-Муж'!B:B))</f>
        <v>86</v>
      </c>
      <c r="F39" s="990" t="s">
        <v>2787</v>
      </c>
      <c r="G39" s="184"/>
      <c r="H39" s="106" t="s">
        <v>2604</v>
      </c>
      <c r="I39" s="866" t="str">
        <f t="shared" si="0"/>
        <v>ПЕТУХОВ</v>
      </c>
      <c r="J39" s="866" t="str">
        <f t="shared" si="1"/>
        <v>Н</v>
      </c>
      <c r="K39" s="866" t="str">
        <f t="shared" si="2"/>
        <v>ПЕТУХОВ Н.</v>
      </c>
      <c r="L39" s="975">
        <v>36</v>
      </c>
      <c r="M39" s="1090"/>
      <c r="N39" s="1087"/>
    </row>
    <row r="40" spans="1:14" ht="17.25" customHeight="1" thickTop="1" thickBot="1" x14ac:dyDescent="0.3">
      <c r="A40" s="99">
        <v>32</v>
      </c>
      <c r="B40" s="979" t="s">
        <v>34</v>
      </c>
      <c r="C40" s="1019" t="s">
        <v>2790</v>
      </c>
      <c r="D40" s="980" t="e">
        <f>IF(C40="","",VLOOKUP(C40,'R-Муж'!C:D,2,FALSE))</f>
        <v>#N/A</v>
      </c>
      <c r="E40" s="981">
        <f>IF(C40="","",LOOKUP(C40,'R-Муж'!C:C,'R-Муж'!B:B))</f>
        <v>4</v>
      </c>
      <c r="F40" s="990" t="s">
        <v>2787</v>
      </c>
      <c r="G40" s="983"/>
      <c r="H40" s="984" t="s">
        <v>2614</v>
      </c>
      <c r="I40" s="985" t="str">
        <f t="shared" si="0"/>
        <v>РОЖЕНКОВА</v>
      </c>
      <c r="J40" s="985" t="str">
        <f t="shared" si="1"/>
        <v>Н</v>
      </c>
      <c r="K40" s="985" t="str">
        <f t="shared" si="2"/>
        <v>РОЖЕНКОВА Н.</v>
      </c>
      <c r="L40" s="986">
        <v>2</v>
      </c>
      <c r="M40" s="1091"/>
      <c r="N40" s="1088"/>
    </row>
    <row r="41" spans="1:14" ht="17.25" customHeight="1" thickTop="1" thickBot="1" x14ac:dyDescent="0.25">
      <c r="A41" s="99">
        <v>33</v>
      </c>
      <c r="B41" s="987" t="s">
        <v>24</v>
      </c>
      <c r="C41" s="988" t="s">
        <v>2719</v>
      </c>
      <c r="D41" s="989" t="e">
        <f>IF(C41="","",VLOOKUP(C41,'R-Муж'!C:D,2,FALSE))</f>
        <v>#N/A</v>
      </c>
      <c r="E41" s="990">
        <f>IF(C41="","",LOOKUP(C41,'R-Муж'!C:C,'R-Муж'!B:B))</f>
        <v>0</v>
      </c>
      <c r="F41" s="990" t="s">
        <v>2757</v>
      </c>
      <c r="G41" s="991"/>
      <c r="H41" s="992" t="s">
        <v>2600</v>
      </c>
      <c r="I41" s="993" t="str">
        <f t="shared" si="0"/>
        <v>ГАЛАНОВ</v>
      </c>
      <c r="J41" s="993" t="str">
        <f t="shared" si="1"/>
        <v>М</v>
      </c>
      <c r="K41" s="993" t="str">
        <f t="shared" si="2"/>
        <v>ГАЛАНОВ М.</v>
      </c>
      <c r="L41" s="975">
        <v>14</v>
      </c>
      <c r="M41" s="1089">
        <f t="shared" ref="M41" si="17">SUM(L41:L44)</f>
        <v>40</v>
      </c>
      <c r="N41" s="1086">
        <f t="shared" ref="N41" si="18">RANK(M41,$M$9:$M$56,-1)</f>
        <v>2</v>
      </c>
    </row>
    <row r="42" spans="1:14" ht="17.25" customHeight="1" thickTop="1" thickBot="1" x14ac:dyDescent="0.25">
      <c r="A42" s="99">
        <v>34</v>
      </c>
      <c r="B42" s="112" t="s">
        <v>20</v>
      </c>
      <c r="C42" s="100" t="s">
        <v>2794</v>
      </c>
      <c r="D42" s="101" t="e">
        <f>IF(C42="","",VLOOKUP(C42,'R-Муж'!C:D,2,FALSE))</f>
        <v>#N/A</v>
      </c>
      <c r="E42" s="188">
        <f>IF(C42="","",LOOKUP(C42,'R-Муж'!C:C,'R-Муж'!B:B))</f>
        <v>0</v>
      </c>
      <c r="F42" s="990" t="s">
        <v>2757</v>
      </c>
      <c r="G42" s="870"/>
      <c r="H42" s="182" t="s">
        <v>2601</v>
      </c>
      <c r="I42" s="866" t="str">
        <f t="shared" si="0"/>
        <v>ТИНЬКОВ</v>
      </c>
      <c r="J42" s="866" t="str">
        <f t="shared" si="1"/>
        <v>А</v>
      </c>
      <c r="K42" s="866" t="str">
        <f t="shared" si="2"/>
        <v>ТИНЬКОВ А.</v>
      </c>
      <c r="L42" s="975">
        <v>7</v>
      </c>
      <c r="M42" s="1090"/>
      <c r="N42" s="1087"/>
    </row>
    <row r="43" spans="1:14" ht="17.25" customHeight="1" thickTop="1" thickBot="1" x14ac:dyDescent="0.25">
      <c r="A43" s="99">
        <v>35</v>
      </c>
      <c r="B43" s="111" t="s">
        <v>16</v>
      </c>
      <c r="C43" s="100" t="s">
        <v>2720</v>
      </c>
      <c r="D43" s="101" t="e">
        <f>IF(C43="","",VLOOKUP(C43,'R-Муж'!C:D,2,FALSE))</f>
        <v>#N/A</v>
      </c>
      <c r="E43" s="188">
        <f>IF(C43="","",LOOKUP(C43,'R-Муж'!C:C,'R-Муж'!B:B))</f>
        <v>1</v>
      </c>
      <c r="F43" s="990" t="s">
        <v>2757</v>
      </c>
      <c r="G43" s="113"/>
      <c r="H43" s="103" t="s">
        <v>2607</v>
      </c>
      <c r="I43" s="866" t="str">
        <f t="shared" si="0"/>
        <v>ГРИШИН</v>
      </c>
      <c r="J43" s="866" t="str">
        <f t="shared" si="1"/>
        <v>И</v>
      </c>
      <c r="K43" s="866" t="str">
        <f t="shared" si="2"/>
        <v>ГРИШИН И.</v>
      </c>
      <c r="L43" s="975">
        <v>18</v>
      </c>
      <c r="M43" s="1090"/>
      <c r="N43" s="1087"/>
    </row>
    <row r="44" spans="1:14" ht="17.25" customHeight="1" thickTop="1" thickBot="1" x14ac:dyDescent="0.25">
      <c r="A44" s="99">
        <v>36</v>
      </c>
      <c r="B44" s="979" t="s">
        <v>11</v>
      </c>
      <c r="C44" s="997" t="s">
        <v>2795</v>
      </c>
      <c r="D44" s="980" t="e">
        <f>IF(C44="","",VLOOKUP(C44,'R-Муж'!C:D,2,FALSE))</f>
        <v>#N/A</v>
      </c>
      <c r="E44" s="981">
        <f>IF(C44="","",LOOKUP(C44,'R-Муж'!C:C,'R-Муж'!B:B))</f>
        <v>8</v>
      </c>
      <c r="F44" s="990" t="s">
        <v>2757</v>
      </c>
      <c r="G44" s="983"/>
      <c r="H44" s="984" t="s">
        <v>2598</v>
      </c>
      <c r="I44" s="985" t="str">
        <f t="shared" si="0"/>
        <v>ТКАЧЕНКО</v>
      </c>
      <c r="J44" s="985" t="str">
        <f t="shared" si="1"/>
        <v>С</v>
      </c>
      <c r="K44" s="985" t="str">
        <f t="shared" si="2"/>
        <v>ТКАЧЕНКО С.</v>
      </c>
      <c r="L44" s="986">
        <v>1</v>
      </c>
      <c r="M44" s="1091"/>
      <c r="N44" s="1088"/>
    </row>
    <row r="45" spans="1:14" ht="17.25" customHeight="1" thickTop="1" thickBot="1" x14ac:dyDescent="0.3">
      <c r="A45" s="99">
        <v>37</v>
      </c>
      <c r="B45" s="987" t="s">
        <v>21</v>
      </c>
      <c r="C45" s="1021" t="s">
        <v>2786</v>
      </c>
      <c r="D45" s="989" t="e">
        <f>IF(C45="","",VLOOKUP(C45,'R-Муж'!C:D,2,FALSE))</f>
        <v>#N/A</v>
      </c>
      <c r="E45" s="990">
        <f>IF(C45="","",LOOKUP(C45,'R-Муж'!C:C,'R-Муж'!B:B))</f>
        <v>46</v>
      </c>
      <c r="F45" s="990" t="s">
        <v>2758</v>
      </c>
      <c r="G45" s="991"/>
      <c r="H45" s="992" t="s">
        <v>2608</v>
      </c>
      <c r="I45" s="993" t="str">
        <f t="shared" si="0"/>
        <v>РОДИНОВ</v>
      </c>
      <c r="J45" s="993" t="str">
        <f t="shared" si="1"/>
        <v>А</v>
      </c>
      <c r="K45" s="993" t="str">
        <f t="shared" si="2"/>
        <v>РОДИНОВ А.</v>
      </c>
      <c r="L45" s="975">
        <v>1</v>
      </c>
      <c r="M45" s="1089">
        <f t="shared" ref="M45" si="19">SUM(L45:L48)</f>
        <v>18</v>
      </c>
      <c r="N45" s="1086">
        <f t="shared" ref="N45" si="20">RANK(M45,$M$9:$M$56,-1)</f>
        <v>1</v>
      </c>
    </row>
    <row r="46" spans="1:14" ht="17.25" customHeight="1" thickTop="1" thickBot="1" x14ac:dyDescent="0.3">
      <c r="A46" s="99">
        <v>38</v>
      </c>
      <c r="B46" s="112" t="s">
        <v>45</v>
      </c>
      <c r="C46" s="105" t="s">
        <v>2771</v>
      </c>
      <c r="D46" s="101" t="e">
        <f>IF(C46="","",VLOOKUP(C46,'R-Муж'!C:D,2,FALSE))</f>
        <v>#N/A</v>
      </c>
      <c r="E46" s="188">
        <f>IF(C46="","",LOOKUP(C46,'R-Муж'!C:C,'R-Муж'!B:B))</f>
        <v>45</v>
      </c>
      <c r="F46" s="990" t="s">
        <v>2758</v>
      </c>
      <c r="G46" s="877"/>
      <c r="H46" s="107" t="s">
        <v>2609</v>
      </c>
      <c r="I46" s="866" t="str">
        <f t="shared" si="0"/>
        <v>СИМУСЕВ</v>
      </c>
      <c r="J46" s="866" t="str">
        <f t="shared" si="1"/>
        <v>С</v>
      </c>
      <c r="K46" s="866" t="str">
        <f t="shared" si="2"/>
        <v>СИМУСЕВ С.</v>
      </c>
      <c r="L46" s="975">
        <v>3</v>
      </c>
      <c r="M46" s="1090"/>
      <c r="N46" s="1087"/>
    </row>
    <row r="47" spans="1:14" ht="17.25" customHeight="1" thickTop="1" thickBot="1" x14ac:dyDescent="0.25">
      <c r="A47" s="99">
        <v>39</v>
      </c>
      <c r="B47" s="111" t="s">
        <v>46</v>
      </c>
      <c r="C47" s="100" t="s">
        <v>2770</v>
      </c>
      <c r="D47" s="101" t="e">
        <f>IF(C47="","",VLOOKUP(C47,'R-Муж'!C:D,2,FALSE))</f>
        <v>#N/A</v>
      </c>
      <c r="E47" s="188">
        <f>IF(C47="","",LOOKUP(C47,'R-Муж'!C:C,'R-Муж'!B:B))</f>
        <v>58</v>
      </c>
      <c r="F47" s="990" t="s">
        <v>2758</v>
      </c>
      <c r="G47" s="102"/>
      <c r="H47" s="108" t="s">
        <v>2602</v>
      </c>
      <c r="I47" s="866" t="str">
        <f t="shared" si="0"/>
        <v>ИСУПОВ</v>
      </c>
      <c r="J47" s="866" t="str">
        <f t="shared" si="1"/>
        <v>М</v>
      </c>
      <c r="K47" s="866" t="str">
        <f t="shared" si="2"/>
        <v>ИСУПОВ М.</v>
      </c>
      <c r="L47" s="975">
        <v>9</v>
      </c>
      <c r="M47" s="1090"/>
      <c r="N47" s="1087"/>
    </row>
    <row r="48" spans="1:14" ht="17.25" customHeight="1" thickTop="1" thickBot="1" x14ac:dyDescent="0.25">
      <c r="A48" s="99">
        <v>40</v>
      </c>
      <c r="B48" s="979" t="s">
        <v>47</v>
      </c>
      <c r="C48" s="1022" t="s">
        <v>2761</v>
      </c>
      <c r="D48" s="980" t="e">
        <f>IF(C48="","",VLOOKUP(C48,'R-Муж'!C:D,2,FALSE))</f>
        <v>#N/A</v>
      </c>
      <c r="E48" s="981">
        <f>IF(C48="","",LOOKUP(C48,'R-Муж'!C:C,'R-Муж'!B:B))</f>
        <v>73</v>
      </c>
      <c r="F48" s="990" t="s">
        <v>2758</v>
      </c>
      <c r="G48" s="983"/>
      <c r="H48" s="984" t="s">
        <v>2605</v>
      </c>
      <c r="I48" s="996" t="str">
        <f t="shared" si="0"/>
        <v>МАНЗЕНКОВА</v>
      </c>
      <c r="J48" s="985" t="str">
        <f t="shared" si="1"/>
        <v>Н</v>
      </c>
      <c r="K48" s="985" t="str">
        <f t="shared" si="2"/>
        <v>МАНЗЕНКОВА Н.</v>
      </c>
      <c r="L48" s="986">
        <v>5</v>
      </c>
      <c r="M48" s="1091"/>
      <c r="N48" s="1088"/>
    </row>
    <row r="49" spans="1:14" ht="17.25" customHeight="1" thickTop="1" thickBot="1" x14ac:dyDescent="0.25">
      <c r="A49" s="99">
        <v>41</v>
      </c>
      <c r="B49" s="987" t="s">
        <v>48</v>
      </c>
      <c r="C49" s="988" t="s">
        <v>2781</v>
      </c>
      <c r="D49" s="989" t="e">
        <f>IF(C49="","",VLOOKUP(C49,'R-Муж'!C:D,2,FALSE))</f>
        <v>#N/A</v>
      </c>
      <c r="E49" s="990">
        <f>IF(C49="","",LOOKUP(C49,'R-Муж'!C:C,'R-Муж'!B:B))</f>
        <v>33</v>
      </c>
      <c r="F49" s="990" t="s">
        <v>2785</v>
      </c>
      <c r="G49" s="991"/>
      <c r="H49" s="992" t="s">
        <v>2599</v>
      </c>
      <c r="I49" s="993" t="str">
        <f t="shared" si="0"/>
        <v>ГЛЕБОВ</v>
      </c>
      <c r="J49" s="993" t="str">
        <f t="shared" si="1"/>
        <v>И</v>
      </c>
      <c r="K49" s="993" t="str">
        <f t="shared" si="2"/>
        <v>ГЛЕБОВ И.</v>
      </c>
      <c r="L49" s="975">
        <v>33</v>
      </c>
      <c r="M49" s="1089">
        <f t="shared" ref="M49" si="21">SUM(L49:L52)</f>
        <v>86</v>
      </c>
      <c r="N49" s="1086">
        <f t="shared" ref="N49" si="22">RANK(M49,$M$9:$M$56,-1)</f>
        <v>11</v>
      </c>
    </row>
    <row r="50" spans="1:14" ht="17.25" customHeight="1" thickTop="1" thickBot="1" x14ac:dyDescent="0.3">
      <c r="A50" s="99">
        <v>42</v>
      </c>
      <c r="B50" s="112" t="s">
        <v>49</v>
      </c>
      <c r="C50" s="105" t="s">
        <v>2782</v>
      </c>
      <c r="D50" s="101" t="e">
        <f>IF(C50="","",VLOOKUP(C50,'R-Муж'!C:D,2,FALSE))</f>
        <v>#N/A</v>
      </c>
      <c r="E50" s="188">
        <f>IF(C50="","",LOOKUP(C50,'R-Муж'!C:C,'R-Муж'!B:B))</f>
        <v>0</v>
      </c>
      <c r="F50" s="990" t="s">
        <v>2785</v>
      </c>
      <c r="G50" s="184"/>
      <c r="H50" s="106" t="s">
        <v>2612</v>
      </c>
      <c r="I50" s="114" t="str">
        <f t="shared" si="0"/>
        <v>ПАНИН</v>
      </c>
      <c r="J50" s="115" t="str">
        <f t="shared" si="1"/>
        <v>С</v>
      </c>
      <c r="K50" s="115" t="str">
        <f t="shared" si="2"/>
        <v>ПАНИН С.</v>
      </c>
      <c r="L50" s="975">
        <v>22</v>
      </c>
      <c r="M50" s="1090"/>
      <c r="N50" s="1087"/>
    </row>
    <row r="51" spans="1:14" ht="17.25" customHeight="1" thickTop="1" thickBot="1" x14ac:dyDescent="0.25">
      <c r="A51" s="99">
        <v>43</v>
      </c>
      <c r="B51" s="111" t="s">
        <v>50</v>
      </c>
      <c r="C51" s="1023" t="s">
        <v>2783</v>
      </c>
      <c r="D51" s="101" t="e">
        <f>IF(C51="","",VLOOKUP(C51,'R-Муж'!C:D,2,FALSE))</f>
        <v>#N/A</v>
      </c>
      <c r="E51" s="188">
        <f>IF(C51="","",LOOKUP(C51,'R-Муж'!C:C,'R-Муж'!B:B))</f>
        <v>128</v>
      </c>
      <c r="F51" s="990" t="s">
        <v>2785</v>
      </c>
      <c r="G51" s="113"/>
      <c r="H51" s="106" t="s">
        <v>2602</v>
      </c>
      <c r="I51" s="116" t="str">
        <f t="shared" si="0"/>
        <v>ЕСЬКИН</v>
      </c>
      <c r="J51" s="117" t="str">
        <f t="shared" si="1"/>
        <v>М</v>
      </c>
      <c r="K51" s="117" t="str">
        <f t="shared" si="2"/>
        <v>ЕСЬКИН М.</v>
      </c>
      <c r="L51" s="975">
        <v>24</v>
      </c>
      <c r="M51" s="1090"/>
      <c r="N51" s="1087"/>
    </row>
    <row r="52" spans="1:14" ht="17.25" customHeight="1" thickTop="1" thickBot="1" x14ac:dyDescent="0.25">
      <c r="A52" s="99">
        <v>44</v>
      </c>
      <c r="B52" s="979" t="s">
        <v>51</v>
      </c>
      <c r="C52" s="1022" t="s">
        <v>2784</v>
      </c>
      <c r="D52" s="980" t="e">
        <f>IF(C52="","",VLOOKUP(C52,'R-Муж'!C:D,2,FALSE))</f>
        <v>#N/A</v>
      </c>
      <c r="E52" s="981">
        <f>IF(C52="","",LOOKUP(C52,'R-Муж'!C:C,'R-Муж'!B:B))</f>
        <v>0</v>
      </c>
      <c r="F52" s="990" t="s">
        <v>2785</v>
      </c>
      <c r="G52" s="983"/>
      <c r="H52" s="984" t="s">
        <v>2607</v>
      </c>
      <c r="I52" s="985" t="str">
        <f t="shared" si="0"/>
        <v>ЦАРЕВА</v>
      </c>
      <c r="J52" s="985" t="str">
        <f t="shared" si="1"/>
        <v>А</v>
      </c>
      <c r="K52" s="985" t="str">
        <f t="shared" si="2"/>
        <v>ЦАРЕВА А.</v>
      </c>
      <c r="L52" s="986">
        <v>7</v>
      </c>
      <c r="M52" s="1091"/>
      <c r="N52" s="1088"/>
    </row>
    <row r="53" spans="1:14" ht="17.25" customHeight="1" thickTop="1" thickBot="1" x14ac:dyDescent="0.25">
      <c r="A53" s="99">
        <v>45</v>
      </c>
      <c r="B53" s="987" t="s">
        <v>52</v>
      </c>
      <c r="C53" s="988" t="s">
        <v>2760</v>
      </c>
      <c r="D53" s="989" t="e">
        <f>IF(C53="","",VLOOKUP(C53,'R-Муж'!C:D,2,FALSE))</f>
        <v>#N/A</v>
      </c>
      <c r="E53" s="990">
        <f>IF(C53="","",LOOKUP(C53,'R-Муж'!C:C,'R-Муж'!B:B))</f>
        <v>114</v>
      </c>
      <c r="F53" s="990" t="s">
        <v>2759</v>
      </c>
      <c r="G53" s="991"/>
      <c r="H53" s="992" t="s">
        <v>2605</v>
      </c>
      <c r="I53" s="993" t="str">
        <f t="shared" si="0"/>
        <v>ПЧЕЛИН</v>
      </c>
      <c r="J53" s="993" t="str">
        <f t="shared" si="1"/>
        <v>С</v>
      </c>
      <c r="K53" s="993" t="str">
        <f t="shared" si="2"/>
        <v>ПЧЕЛИН С.</v>
      </c>
      <c r="L53" s="975">
        <v>11</v>
      </c>
      <c r="M53" s="1089">
        <f t="shared" ref="M53" si="23">SUM(L53:L56)</f>
        <v>49</v>
      </c>
      <c r="N53" s="1086">
        <f t="shared" ref="N53" si="24">RANK(M53,$M$9:$M$56,-1)</f>
        <v>5</v>
      </c>
    </row>
    <row r="54" spans="1:14" ht="17.25" customHeight="1" thickTop="1" thickBot="1" x14ac:dyDescent="0.3">
      <c r="A54" s="99">
        <v>46</v>
      </c>
      <c r="B54" s="112" t="s">
        <v>53</v>
      </c>
      <c r="C54" s="105" t="s">
        <v>2776</v>
      </c>
      <c r="D54" s="101" t="e">
        <f>IF(C54="","",VLOOKUP(C54,'R-Муж'!C:D,2,FALSE))</f>
        <v>#N/A</v>
      </c>
      <c r="E54" s="188">
        <f>IF(C54="","",LOOKUP(C54,'R-Муж'!C:C,'R-Муж'!B:B))</f>
        <v>43</v>
      </c>
      <c r="F54" s="990" t="s">
        <v>2759</v>
      </c>
      <c r="G54" s="113"/>
      <c r="H54" s="106" t="s">
        <v>2602</v>
      </c>
      <c r="I54" s="866" t="str">
        <f t="shared" si="0"/>
        <v>МАТВЕЕВ</v>
      </c>
      <c r="J54" s="866" t="str">
        <f t="shared" si="1"/>
        <v>С</v>
      </c>
      <c r="K54" s="866" t="str">
        <f t="shared" si="2"/>
        <v>МАТВЕЕВ С.</v>
      </c>
      <c r="L54" s="975">
        <v>8</v>
      </c>
      <c r="M54" s="1090"/>
      <c r="N54" s="1087"/>
    </row>
    <row r="55" spans="1:14" ht="17.25" customHeight="1" thickTop="1" thickBot="1" x14ac:dyDescent="0.3">
      <c r="A55" s="99">
        <v>47</v>
      </c>
      <c r="B55" s="111" t="s">
        <v>54</v>
      </c>
      <c r="C55" s="105" t="s">
        <v>2777</v>
      </c>
      <c r="D55" s="101" t="e">
        <f>IF(C55="","",VLOOKUP(C55,'R-Муж'!C:D,2,FALSE))</f>
        <v>#N/A</v>
      </c>
      <c r="E55" s="188">
        <f>IF(C55="","",LOOKUP(C55,'R-Муж'!C:C,'R-Муж'!B:B))</f>
        <v>101</v>
      </c>
      <c r="F55" s="990" t="s">
        <v>2759</v>
      </c>
      <c r="G55" s="184"/>
      <c r="H55" s="106" t="s">
        <v>2604</v>
      </c>
      <c r="I55" s="866" t="str">
        <f t="shared" si="0"/>
        <v>БЕЛОУС</v>
      </c>
      <c r="J55" s="866" t="str">
        <f t="shared" si="1"/>
        <v>Д</v>
      </c>
      <c r="K55" s="866" t="str">
        <f t="shared" si="2"/>
        <v>БЕЛОУС Д.</v>
      </c>
      <c r="L55" s="975">
        <v>26</v>
      </c>
      <c r="M55" s="1090"/>
      <c r="N55" s="1087"/>
    </row>
    <row r="56" spans="1:14" ht="17.25" customHeight="1" thickTop="1" thickBot="1" x14ac:dyDescent="0.3">
      <c r="A56" s="99">
        <v>48</v>
      </c>
      <c r="B56" s="979" t="s">
        <v>55</v>
      </c>
      <c r="C56" s="1019" t="s">
        <v>2778</v>
      </c>
      <c r="D56" s="980" t="e">
        <f>IF(C56="","",VLOOKUP(C56,'R-Муж'!C:D,2,FALSE))</f>
        <v>#N/A</v>
      </c>
      <c r="E56" s="981">
        <f>IF(C56="","",LOOKUP(C56,'R-Муж'!C:C,'R-Муж'!B:B))</f>
        <v>0</v>
      </c>
      <c r="F56" s="990" t="s">
        <v>2759</v>
      </c>
      <c r="G56" s="983"/>
      <c r="H56" s="984" t="s">
        <v>2614</v>
      </c>
      <c r="I56" s="985" t="str">
        <f t="shared" si="0"/>
        <v>КАЗАРИНА</v>
      </c>
      <c r="J56" s="985" t="str">
        <f t="shared" si="1"/>
        <v>С</v>
      </c>
      <c r="K56" s="985" t="str">
        <f t="shared" si="2"/>
        <v>КАЗАРИНА С.</v>
      </c>
      <c r="L56" s="986">
        <v>4</v>
      </c>
      <c r="M56" s="1091"/>
      <c r="N56" s="1088"/>
    </row>
    <row r="57" spans="1:14" ht="17.25" hidden="1" thickTop="1" thickBot="1" x14ac:dyDescent="0.25">
      <c r="A57" s="99">
        <v>49</v>
      </c>
      <c r="B57" s="987" t="s">
        <v>59</v>
      </c>
      <c r="C57" s="988"/>
      <c r="D57" s="989" t="str">
        <f>IF(C57="","",VLOOKUP(C57,'R-Муж'!C:D,2,FALSE))</f>
        <v/>
      </c>
      <c r="E57" s="990" t="str">
        <f>IF(C57="","",LOOKUP(C57,'R-Муж'!C:C,'R-Муж'!B:B))</f>
        <v/>
      </c>
      <c r="F57" s="990"/>
      <c r="G57" s="991"/>
      <c r="H57" s="992" t="s">
        <v>2600</v>
      </c>
      <c r="I57" s="993" t="e">
        <f t="shared" ref="I57:I61" si="25">MID(C57,1,SEARCH(" ",C57)-1)</f>
        <v>#VALUE!</v>
      </c>
      <c r="J57" s="993" t="e">
        <f t="shared" ref="J57:J61" si="26">MID(C57,SEARCH(" ",C57)+1,1)</f>
        <v>#VALUE!</v>
      </c>
      <c r="K57" s="993" t="e">
        <f t="shared" ref="K57:K61" si="27">CONCATENATE(I57," ",J57,".")</f>
        <v>#VALUE!</v>
      </c>
      <c r="L57" s="975"/>
      <c r="M57" s="1089">
        <f>SUM(L57:L60)</f>
        <v>0</v>
      </c>
      <c r="N57" s="1097"/>
    </row>
    <row r="58" spans="1:14" ht="17.25" hidden="1" thickTop="1" thickBot="1" x14ac:dyDescent="0.25">
      <c r="A58" s="99">
        <v>50</v>
      </c>
      <c r="B58" s="112" t="s">
        <v>60</v>
      </c>
      <c r="C58" s="100"/>
      <c r="D58" s="101" t="str">
        <f>IF(C58="","",VLOOKUP(C58,'R-Муж'!C:D,2,FALSE))</f>
        <v/>
      </c>
      <c r="E58" s="188" t="str">
        <f>IF(C58="","",LOOKUP(C58,'R-Муж'!C:C,'R-Муж'!B:B))</f>
        <v/>
      </c>
      <c r="F58" s="102"/>
      <c r="G58" s="870"/>
      <c r="H58" s="182" t="s">
        <v>2601</v>
      </c>
      <c r="I58" s="866" t="e">
        <f t="shared" si="25"/>
        <v>#VALUE!</v>
      </c>
      <c r="J58" s="866" t="e">
        <f t="shared" si="26"/>
        <v>#VALUE!</v>
      </c>
      <c r="K58" s="866" t="e">
        <f t="shared" si="27"/>
        <v>#VALUE!</v>
      </c>
      <c r="L58" s="975"/>
      <c r="M58" s="1090"/>
      <c r="N58" s="1098"/>
    </row>
    <row r="59" spans="1:14" ht="17.25" hidden="1" thickTop="1" thickBot="1" x14ac:dyDescent="0.25">
      <c r="A59" s="99">
        <v>51</v>
      </c>
      <c r="B59" s="111" t="s">
        <v>61</v>
      </c>
      <c r="C59" s="100"/>
      <c r="D59" s="101" t="str">
        <f>IF(C59="","",VLOOKUP(C59,'R-Муж'!C:D,2,FALSE))</f>
        <v/>
      </c>
      <c r="E59" s="188" t="str">
        <f>IF(C59="","",LOOKUP(C59,'R-Муж'!C:C,'R-Муж'!B:B))</f>
        <v/>
      </c>
      <c r="F59" s="102"/>
      <c r="G59" s="113"/>
      <c r="H59" s="103" t="s">
        <v>2607</v>
      </c>
      <c r="I59" s="866" t="e">
        <f t="shared" si="25"/>
        <v>#VALUE!</v>
      </c>
      <c r="J59" s="866" t="e">
        <f t="shared" si="26"/>
        <v>#VALUE!</v>
      </c>
      <c r="K59" s="866" t="e">
        <f t="shared" si="27"/>
        <v>#VALUE!</v>
      </c>
      <c r="L59" s="975"/>
      <c r="M59" s="1090"/>
      <c r="N59" s="1098"/>
    </row>
    <row r="60" spans="1:14" ht="17.25" hidden="1" thickTop="1" thickBot="1" x14ac:dyDescent="0.25">
      <c r="A60" s="99">
        <v>52</v>
      </c>
      <c r="B60" s="979" t="s">
        <v>62</v>
      </c>
      <c r="C60" s="997"/>
      <c r="D60" s="980" t="str">
        <f>IF(C60="","",VLOOKUP(C60,'R-Муж'!C:D,2,FALSE))</f>
        <v/>
      </c>
      <c r="E60" s="981" t="str">
        <f>IF(C60="","",LOOKUP(C60,'R-Муж'!C:C,'R-Муж'!B:B))</f>
        <v/>
      </c>
      <c r="F60" s="982"/>
      <c r="G60" s="983"/>
      <c r="H60" s="984" t="s">
        <v>2598</v>
      </c>
      <c r="I60" s="985" t="e">
        <f t="shared" si="25"/>
        <v>#VALUE!</v>
      </c>
      <c r="J60" s="985" t="e">
        <f t="shared" si="26"/>
        <v>#VALUE!</v>
      </c>
      <c r="K60" s="985" t="e">
        <f t="shared" si="27"/>
        <v>#VALUE!</v>
      </c>
      <c r="L60" s="986"/>
      <c r="M60" s="1091"/>
      <c r="N60" s="1099"/>
    </row>
    <row r="61" spans="1:14" ht="30.75" hidden="1" thickTop="1" x14ac:dyDescent="0.2">
      <c r="A61" s="999">
        <v>60</v>
      </c>
      <c r="B61" s="185"/>
      <c r="C61" s="1001" t="s">
        <v>2621</v>
      </c>
      <c r="D61" s="1000"/>
      <c r="E61" s="1005"/>
      <c r="F61" s="1005"/>
      <c r="G61" s="1005"/>
      <c r="H61" s="1006"/>
      <c r="I61" s="866" t="str">
        <f t="shared" si="25"/>
        <v/>
      </c>
      <c r="J61" s="866" t="str">
        <f t="shared" si="26"/>
        <v>Х</v>
      </c>
      <c r="K61" s="866" t="str">
        <f t="shared" si="27"/>
        <v xml:space="preserve"> Х.</v>
      </c>
      <c r="L61" s="1007"/>
      <c r="M61" s="957"/>
      <c r="N61" s="1008"/>
    </row>
    <row r="62" spans="1:14" ht="13.5" thickTop="1" x14ac:dyDescent="0.2"/>
    <row r="63" spans="1:14" ht="15.75" x14ac:dyDescent="0.2">
      <c r="C63" s="1002" t="s">
        <v>760</v>
      </c>
      <c r="M63" s="1002" t="s">
        <v>2765</v>
      </c>
    </row>
    <row r="64" spans="1:14" ht="15.75" x14ac:dyDescent="0.2">
      <c r="C64" s="1002" t="s">
        <v>761</v>
      </c>
      <c r="M64" s="1002" t="s">
        <v>2766</v>
      </c>
    </row>
  </sheetData>
  <sortState ref="A9:L56">
    <sortCondition ref="A9:A56"/>
  </sortState>
  <mergeCells count="32">
    <mergeCell ref="M53:M56"/>
    <mergeCell ref="N53:N56"/>
    <mergeCell ref="M57:M60"/>
    <mergeCell ref="N57:N60"/>
    <mergeCell ref="B6:N6"/>
    <mergeCell ref="M45:M48"/>
    <mergeCell ref="N45:N48"/>
    <mergeCell ref="M49:M52"/>
    <mergeCell ref="N49:N52"/>
    <mergeCell ref="M9:M12"/>
    <mergeCell ref="M13:M16"/>
    <mergeCell ref="M17:M20"/>
    <mergeCell ref="M21:M24"/>
    <mergeCell ref="M25:M28"/>
    <mergeCell ref="M29:M32"/>
    <mergeCell ref="M33:M36"/>
    <mergeCell ref="B4:G4"/>
    <mergeCell ref="B5:G5"/>
    <mergeCell ref="A2:N2"/>
    <mergeCell ref="A1:N1"/>
    <mergeCell ref="F3:N3"/>
    <mergeCell ref="M37:M40"/>
    <mergeCell ref="M41:M44"/>
    <mergeCell ref="N41:N44"/>
    <mergeCell ref="N37:N40"/>
    <mergeCell ref="N33:N36"/>
    <mergeCell ref="N9:N12"/>
    <mergeCell ref="N29:N32"/>
    <mergeCell ref="N25:N28"/>
    <mergeCell ref="N21:N24"/>
    <mergeCell ref="N17:N20"/>
    <mergeCell ref="N13:N16"/>
  </mergeCells>
  <conditionalFormatting sqref="M4:M5 M7:M8 M62 M65:M1048576">
    <cfRule type="cellIs" dxfId="503" priority="12" stopIfTrue="1" operator="greaterThan">
      <formula>1</formula>
    </cfRule>
    <cfRule type="cellIs" dxfId="502" priority="13" stopIfTrue="1" operator="greaterThan">
      <formula>1</formula>
    </cfRule>
    <cfRule type="cellIs" dxfId="501" priority="14" stopIfTrue="1" operator="greaterThan">
      <formula>1</formula>
    </cfRule>
    <cfRule type="cellIs" dxfId="500" priority="15" stopIfTrue="1" operator="greaterThan">
      <formula>1</formula>
    </cfRule>
  </conditionalFormatting>
  <printOptions horizontalCentered="1"/>
  <pageMargins left="0.31496062992125984" right="0.31496062992125984" top="0.15748031496062992" bottom="0.15748031496062992" header="0.31496062992125984" footer="0.31496062992125984"/>
  <pageSetup paperSize="9" scale="77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" id="{F79B6640-013D-4F0A-AF7A-F15D5BDFE67D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1</xm:f>
              </x14:cfvo>
              <x14:cfIcon iconSet="NoIcons" iconId="0"/>
              <x14:cfIcon iconSet="NoIcons" iconId="0"/>
              <x14:cfIcon iconSet="3TrafficLights2" iconId="0"/>
            </x14:iconSet>
          </x14:cfRule>
          <xm:sqref>M62 M4:M5 M7:M8 M65:M1048576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84"/>
  <sheetViews>
    <sheetView view="pageBreakPreview" topLeftCell="A9" zoomScale="120" zoomScaleNormal="100" zoomScaleSheetLayoutView="120" workbookViewId="0">
      <selection activeCell="B65" sqref="B65:B70"/>
    </sheetView>
  </sheetViews>
  <sheetFormatPr defaultRowHeight="12.75" outlineLevelCol="1" x14ac:dyDescent="0.2"/>
  <cols>
    <col min="1" max="1" width="5.6640625" style="91" customWidth="1"/>
    <col min="2" max="2" width="5" style="91" hidden="1" customWidth="1" outlineLevel="1"/>
    <col min="3" max="3" width="30" style="91" customWidth="1" collapsed="1"/>
    <col min="4" max="30" width="2.83203125" style="91" customWidth="1"/>
    <col min="31" max="32" width="3.5" style="91" customWidth="1"/>
    <col min="33" max="33" width="9.5" style="91" customWidth="1"/>
    <col min="34" max="34" width="7.83203125" style="91" customWidth="1"/>
    <col min="35" max="51" width="3.5" style="91" customWidth="1"/>
    <col min="52" max="16384" width="9.33203125" style="91"/>
  </cols>
  <sheetData>
    <row r="1" spans="1:34" ht="45" customHeight="1" x14ac:dyDescent="0.25">
      <c r="C1" s="1167" t="str">
        <f>'Списки участников'!A1</f>
        <v xml:space="preserve">X Спартакиада
среди предприятий Нижегородской области ФСК "Профсоюзов",
под девизом "Будь спортивным - будь успешным!"
</v>
      </c>
      <c r="D1" s="1167"/>
      <c r="E1" s="1167"/>
      <c r="F1" s="1167"/>
      <c r="G1" s="1167"/>
      <c r="H1" s="1167"/>
      <c r="I1" s="1167"/>
      <c r="J1" s="1167"/>
      <c r="K1" s="1167"/>
      <c r="L1" s="1167"/>
      <c r="M1" s="1167"/>
      <c r="N1" s="1167"/>
      <c r="O1" s="1167"/>
      <c r="P1" s="1167"/>
      <c r="Q1" s="1167"/>
      <c r="R1" s="1167"/>
      <c r="S1" s="1167"/>
      <c r="T1" s="1167"/>
      <c r="U1" s="1167"/>
      <c r="V1" s="1167"/>
      <c r="W1" s="1167"/>
      <c r="X1" s="1167"/>
      <c r="Y1" s="1167"/>
      <c r="Z1" s="1167"/>
      <c r="AA1" s="1167"/>
      <c r="AB1" s="1167"/>
      <c r="AC1" s="1167"/>
      <c r="AD1" s="1167"/>
      <c r="AE1" s="1167"/>
      <c r="AF1" s="1167"/>
      <c r="AG1" s="1167"/>
    </row>
    <row r="2" spans="1:34" ht="15.75" x14ac:dyDescent="0.25">
      <c r="C2" s="438" t="str">
        <f>'Списки участников'!C3</f>
        <v>22 октября 2016 г.</v>
      </c>
      <c r="D2" s="1093"/>
      <c r="E2" s="1093"/>
      <c r="F2" s="1093"/>
      <c r="G2" s="1093"/>
      <c r="H2" s="1093"/>
      <c r="I2" s="1093"/>
      <c r="J2" s="1093"/>
      <c r="K2" s="1093"/>
      <c r="L2" s="1093"/>
      <c r="M2" s="1093"/>
      <c r="N2" s="1093"/>
      <c r="O2" s="1093"/>
      <c r="P2" s="1093"/>
      <c r="Q2" s="1093"/>
      <c r="R2" s="1093"/>
      <c r="S2" s="1093"/>
      <c r="T2" s="1093"/>
      <c r="U2" s="1093"/>
      <c r="V2" s="1093"/>
      <c r="W2" s="1093"/>
      <c r="X2" s="1093"/>
      <c r="Y2" s="1093"/>
      <c r="Z2" s="1093"/>
      <c r="AA2" s="1093"/>
      <c r="AB2" s="1168" t="str">
        <f>'Списки участников'!F3</f>
        <v xml:space="preserve">                                               г. Н. Новгород</v>
      </c>
      <c r="AC2" s="1168"/>
      <c r="AD2" s="1168"/>
      <c r="AE2" s="1168"/>
      <c r="AF2" s="1168"/>
      <c r="AG2" s="1168"/>
    </row>
    <row r="3" spans="1:34" ht="15.75" x14ac:dyDescent="0.25">
      <c r="A3" s="128"/>
      <c r="B3" s="128"/>
      <c r="C3" s="787" t="s">
        <v>2729</v>
      </c>
      <c r="D3" s="128"/>
      <c r="E3" s="128"/>
      <c r="F3" s="128"/>
      <c r="G3" s="1169" t="s">
        <v>954</v>
      </c>
      <c r="H3" s="1169"/>
      <c r="I3" s="1169"/>
      <c r="J3" s="1169"/>
      <c r="K3" s="1169"/>
      <c r="L3" s="1169"/>
      <c r="M3" s="1169"/>
      <c r="N3" s="1169"/>
      <c r="O3" s="1169"/>
      <c r="P3" s="1169"/>
      <c r="Q3" s="1169"/>
      <c r="R3" s="1169"/>
      <c r="S3" s="1169"/>
      <c r="T3" s="1169"/>
      <c r="U3" s="1169"/>
      <c r="V3" s="1169"/>
      <c r="W3" s="1169"/>
      <c r="X3" s="1169"/>
      <c r="Y3" s="1169"/>
      <c r="Z3" s="1169"/>
      <c r="AA3" s="1169"/>
      <c r="AB3" s="128"/>
      <c r="AC3" s="128"/>
      <c r="AD3" s="128"/>
      <c r="AE3" s="128"/>
      <c r="AF3" s="128"/>
      <c r="AG3" s="128"/>
      <c r="AH3" s="128"/>
    </row>
    <row r="4" spans="1:34" ht="12" customHeight="1" x14ac:dyDescent="0.2">
      <c r="A4" s="129" t="s">
        <v>3</v>
      </c>
      <c r="B4" s="846"/>
      <c r="C4" s="131" t="s">
        <v>757</v>
      </c>
      <c r="D4" s="1170">
        <v>1</v>
      </c>
      <c r="E4" s="1171"/>
      <c r="F4" s="1172"/>
      <c r="G4" s="1170">
        <v>2</v>
      </c>
      <c r="H4" s="1171"/>
      <c r="I4" s="1172"/>
      <c r="J4" s="1170">
        <v>3</v>
      </c>
      <c r="K4" s="1171"/>
      <c r="L4" s="1172"/>
      <c r="M4" s="1170">
        <v>4</v>
      </c>
      <c r="N4" s="1171"/>
      <c r="O4" s="1172"/>
      <c r="P4" s="1170">
        <v>5</v>
      </c>
      <c r="Q4" s="1171"/>
      <c r="R4" s="1172"/>
      <c r="S4" s="1170">
        <v>6</v>
      </c>
      <c r="T4" s="1171"/>
      <c r="U4" s="1172"/>
      <c r="V4" s="1170">
        <v>7</v>
      </c>
      <c r="W4" s="1171"/>
      <c r="X4" s="1172"/>
      <c r="Y4" s="1170">
        <v>8</v>
      </c>
      <c r="Z4" s="1171"/>
      <c r="AA4" s="1172"/>
      <c r="AB4" s="1170">
        <v>9</v>
      </c>
      <c r="AC4" s="1171"/>
      <c r="AD4" s="1172"/>
      <c r="AE4" s="1173" t="s">
        <v>758</v>
      </c>
      <c r="AF4" s="1174"/>
      <c r="AG4" s="847" t="s">
        <v>759</v>
      </c>
      <c r="AH4" s="440" t="s">
        <v>100</v>
      </c>
    </row>
    <row r="5" spans="1:34" ht="12" customHeight="1" x14ac:dyDescent="0.2">
      <c r="A5" s="1175">
        <v>1</v>
      </c>
      <c r="B5" s="1177"/>
      <c r="C5" s="441" t="str">
        <f>IF(B5="","",VLOOKUP(B5,'Списки участников'!A:H,3,FALSE))</f>
        <v/>
      </c>
      <c r="D5" s="1179"/>
      <c r="E5" s="1179"/>
      <c r="F5" s="1180"/>
      <c r="G5" s="1183"/>
      <c r="H5" s="1184"/>
      <c r="I5" s="1185"/>
      <c r="J5" s="1183"/>
      <c r="K5" s="1184"/>
      <c r="L5" s="1185"/>
      <c r="M5" s="1183"/>
      <c r="N5" s="1184"/>
      <c r="O5" s="1185"/>
      <c r="P5" s="1183"/>
      <c r="Q5" s="1184"/>
      <c r="R5" s="1185"/>
      <c r="S5" s="1183"/>
      <c r="T5" s="1184"/>
      <c r="U5" s="1185"/>
      <c r="V5" s="1183"/>
      <c r="W5" s="1184"/>
      <c r="X5" s="1185"/>
      <c r="Y5" s="1183"/>
      <c r="Z5" s="1184"/>
      <c r="AA5" s="1185"/>
      <c r="AB5" s="1183"/>
      <c r="AC5" s="1184"/>
      <c r="AD5" s="1185"/>
      <c r="AE5" s="1196" t="str">
        <f>IF(B5="","",SUM(G5,J5,M5,P5,S5,V5,Y5,AB5,))</f>
        <v/>
      </c>
      <c r="AF5" s="1197"/>
      <c r="AG5" s="1187"/>
      <c r="AH5" s="1186" t="str">
        <f>IF(B5="","",RANK(AE5,ГР9О))</f>
        <v/>
      </c>
    </row>
    <row r="6" spans="1:34" ht="12" customHeight="1" x14ac:dyDescent="0.2">
      <c r="A6" s="1176"/>
      <c r="B6" s="1178"/>
      <c r="C6" s="442" t="str">
        <f>IF(B5="","",VLOOKUP(B5,'Списки участников'!A:H,6,FALSE))</f>
        <v/>
      </c>
      <c r="D6" s="1181"/>
      <c r="E6" s="1181"/>
      <c r="F6" s="1182"/>
      <c r="G6" s="443"/>
      <c r="H6" s="444" t="str">
        <f>IF(G5="","",":")</f>
        <v/>
      </c>
      <c r="I6" s="445"/>
      <c r="J6" s="443"/>
      <c r="K6" s="444" t="str">
        <f>IF(J5="","",":")</f>
        <v/>
      </c>
      <c r="L6" s="445"/>
      <c r="M6" s="443"/>
      <c r="N6" s="444" t="str">
        <f>IF(M6="","",":")</f>
        <v/>
      </c>
      <c r="O6" s="445"/>
      <c r="P6" s="443"/>
      <c r="Q6" s="444" t="str">
        <f>IF(P6="","",":")</f>
        <v/>
      </c>
      <c r="R6" s="445"/>
      <c r="S6" s="443"/>
      <c r="T6" s="444" t="str">
        <f>IF(S6="","",":")</f>
        <v/>
      </c>
      <c r="U6" s="445"/>
      <c r="V6" s="443"/>
      <c r="W6" s="444" t="str">
        <f>IF(V6="","",":")</f>
        <v/>
      </c>
      <c r="X6" s="445"/>
      <c r="Y6" s="443"/>
      <c r="Z6" s="444" t="str">
        <f>IF(Y6="","",":")</f>
        <v/>
      </c>
      <c r="AA6" s="445"/>
      <c r="AB6" s="443"/>
      <c r="AC6" s="444" t="str">
        <f>IF(AB6="","",":")</f>
        <v/>
      </c>
      <c r="AD6" s="445"/>
      <c r="AE6" s="1198"/>
      <c r="AF6" s="1199"/>
      <c r="AG6" s="1188"/>
      <c r="AH6" s="1186"/>
    </row>
    <row r="7" spans="1:34" ht="12" customHeight="1" x14ac:dyDescent="0.2">
      <c r="A7" s="1175">
        <v>2</v>
      </c>
      <c r="B7" s="1177"/>
      <c r="C7" s="441" t="str">
        <f>IF(B7="","",VLOOKUP(B7,'Списки участников'!A:H,3,FALSE))</f>
        <v/>
      </c>
      <c r="D7" s="1189" t="str">
        <f>IF(G5="","",IF(G6="W",0,IF(G5=2,1,IF(G5=1,2,IF(G5=0,2)))))</f>
        <v/>
      </c>
      <c r="E7" s="1190"/>
      <c r="F7" s="1191"/>
      <c r="G7" s="1192"/>
      <c r="H7" s="1193"/>
      <c r="I7" s="1194"/>
      <c r="J7" s="1183"/>
      <c r="K7" s="1184"/>
      <c r="L7" s="1185"/>
      <c r="M7" s="1183"/>
      <c r="N7" s="1184"/>
      <c r="O7" s="1185"/>
      <c r="P7" s="1183"/>
      <c r="Q7" s="1184"/>
      <c r="R7" s="1185"/>
      <c r="S7" s="1183"/>
      <c r="T7" s="1184"/>
      <c r="U7" s="1185"/>
      <c r="V7" s="1183"/>
      <c r="W7" s="1184"/>
      <c r="X7" s="1185"/>
      <c r="Y7" s="1183"/>
      <c r="Z7" s="1184"/>
      <c r="AA7" s="1185"/>
      <c r="AB7" s="1183"/>
      <c r="AC7" s="1184"/>
      <c r="AD7" s="1185"/>
      <c r="AE7" s="1196" t="str">
        <f>IF(B7="","",SUM(D7,J7,M7,P7,S7,V7,Y7,AB7,))</f>
        <v/>
      </c>
      <c r="AF7" s="1197"/>
      <c r="AG7" s="1187"/>
      <c r="AH7" s="1186" t="str">
        <f>IF(B7="","",RANK(AE7,ГР9О))</f>
        <v/>
      </c>
    </row>
    <row r="8" spans="1:34" ht="12" customHeight="1" x14ac:dyDescent="0.2">
      <c r="A8" s="1176"/>
      <c r="B8" s="1178"/>
      <c r="C8" s="442" t="str">
        <f>IF(B7="","",VLOOKUP(B7,'Списки участников'!A:H,6,FALSE))</f>
        <v/>
      </c>
      <c r="D8" s="446" t="str">
        <f>IF(G6="","",IF(I6="l","W",I6))</f>
        <v/>
      </c>
      <c r="E8" s="447" t="str">
        <f>IF(G5="","",":")</f>
        <v/>
      </c>
      <c r="F8" s="448" t="str">
        <f>IF(I6="","",IF(G6="W","L",G6))</f>
        <v/>
      </c>
      <c r="G8" s="1195"/>
      <c r="H8" s="1181"/>
      <c r="I8" s="1182"/>
      <c r="J8" s="443"/>
      <c r="K8" s="444" t="str">
        <f>IF(J7="","",":")</f>
        <v/>
      </c>
      <c r="L8" s="445"/>
      <c r="M8" s="443"/>
      <c r="N8" s="444" t="str">
        <f>IF(M7="","",":")</f>
        <v/>
      </c>
      <c r="O8" s="445"/>
      <c r="P8" s="443"/>
      <c r="Q8" s="444" t="str">
        <f>IF(P7="","",":")</f>
        <v/>
      </c>
      <c r="R8" s="445"/>
      <c r="S8" s="443"/>
      <c r="T8" s="444" t="str">
        <f>IF(S8="","",":")</f>
        <v/>
      </c>
      <c r="U8" s="445"/>
      <c r="V8" s="443"/>
      <c r="W8" s="444" t="str">
        <f>IF(V8="","",":")</f>
        <v/>
      </c>
      <c r="X8" s="445"/>
      <c r="Y8" s="443"/>
      <c r="Z8" s="444" t="str">
        <f>IF(Y8="","",":")</f>
        <v/>
      </c>
      <c r="AA8" s="445"/>
      <c r="AB8" s="443"/>
      <c r="AC8" s="444" t="str">
        <f>IF(AB8="","",":")</f>
        <v/>
      </c>
      <c r="AD8" s="445"/>
      <c r="AE8" s="1198"/>
      <c r="AF8" s="1199"/>
      <c r="AG8" s="1188"/>
      <c r="AH8" s="1186"/>
    </row>
    <row r="9" spans="1:34" ht="12" customHeight="1" x14ac:dyDescent="0.2">
      <c r="A9" s="1175">
        <v>3</v>
      </c>
      <c r="B9" s="1177"/>
      <c r="C9" s="441" t="str">
        <f>IF(B9="","",VLOOKUP(B9,'Списки участников'!A:H,3,FALSE))</f>
        <v/>
      </c>
      <c r="D9" s="1189" t="str">
        <f>IF(J5="","",IF(J6="W",0,IF(J5=2,1,IF(J5=1,2,IF(J5=0,2)))))</f>
        <v/>
      </c>
      <c r="E9" s="1190"/>
      <c r="F9" s="1191"/>
      <c r="G9" s="1183" t="str">
        <f>IF(J7="","",IF(J8="W",0,IF(J7=2,1,IF(J7=1,2,IF(J7=0,2)))))</f>
        <v/>
      </c>
      <c r="H9" s="1184"/>
      <c r="I9" s="1185"/>
      <c r="J9" s="1192"/>
      <c r="K9" s="1193"/>
      <c r="L9" s="1194"/>
      <c r="M9" s="1183"/>
      <c r="N9" s="1184"/>
      <c r="O9" s="1185"/>
      <c r="P9" s="1183"/>
      <c r="Q9" s="1184"/>
      <c r="R9" s="1185"/>
      <c r="S9" s="1183"/>
      <c r="T9" s="1184"/>
      <c r="U9" s="1185"/>
      <c r="V9" s="1183"/>
      <c r="W9" s="1184"/>
      <c r="X9" s="1185"/>
      <c r="Y9" s="1183"/>
      <c r="Z9" s="1184"/>
      <c r="AA9" s="1185"/>
      <c r="AB9" s="1183"/>
      <c r="AC9" s="1184"/>
      <c r="AD9" s="1185"/>
      <c r="AE9" s="1196" t="str">
        <f>IF(B9="","",SUM(D9,G9,M9,P9,S9,V9,Y9,AB9,))</f>
        <v/>
      </c>
      <c r="AF9" s="1197"/>
      <c r="AG9" s="1200"/>
      <c r="AH9" s="1186" t="str">
        <f>IF(B9="","",RANK(AE9,ГР9О))</f>
        <v/>
      </c>
    </row>
    <row r="10" spans="1:34" ht="12" customHeight="1" x14ac:dyDescent="0.2">
      <c r="A10" s="1176"/>
      <c r="B10" s="1178"/>
      <c r="C10" s="442" t="str">
        <f>IF(B9="","",VLOOKUP(B9,'Списки участников'!A:H,6,FALSE))</f>
        <v/>
      </c>
      <c r="D10" s="449" t="str">
        <f>IF(J6="","",IF(L6="l","W",L6))</f>
        <v/>
      </c>
      <c r="E10" s="444" t="str">
        <f>IF(K6="","",":")</f>
        <v/>
      </c>
      <c r="F10" s="450" t="str">
        <f>IF(L6="","",IF(J6="W","L",J6))</f>
        <v/>
      </c>
      <c r="G10" s="449" t="str">
        <f>IF(J8="","",IF(L8="l","W",L8))</f>
        <v/>
      </c>
      <c r="H10" s="444" t="str">
        <f>IF(K8="","",":")</f>
        <v/>
      </c>
      <c r="I10" s="450" t="str">
        <f>IF(L8="","",IF(J8="W","L",J8))</f>
        <v/>
      </c>
      <c r="J10" s="1195"/>
      <c r="K10" s="1181"/>
      <c r="L10" s="1182"/>
      <c r="M10" s="443"/>
      <c r="N10" s="444" t="str">
        <f>IF(M9="","",":")</f>
        <v/>
      </c>
      <c r="O10" s="445"/>
      <c r="P10" s="443"/>
      <c r="Q10" s="444" t="str">
        <f>IF(P9="","",":")</f>
        <v/>
      </c>
      <c r="R10" s="445"/>
      <c r="S10" s="443"/>
      <c r="T10" s="444" t="str">
        <f>IF(S9="","",":")</f>
        <v/>
      </c>
      <c r="U10" s="445"/>
      <c r="V10" s="443"/>
      <c r="W10" s="444" t="str">
        <f>IF(V10="","",":")</f>
        <v/>
      </c>
      <c r="X10" s="445"/>
      <c r="Y10" s="443"/>
      <c r="Z10" s="444" t="str">
        <f>IF(Y10="","",":")</f>
        <v/>
      </c>
      <c r="AA10" s="445"/>
      <c r="AB10" s="443"/>
      <c r="AC10" s="444" t="str">
        <f>IF(AB10="","",":")</f>
        <v/>
      </c>
      <c r="AD10" s="445"/>
      <c r="AE10" s="1198"/>
      <c r="AF10" s="1199"/>
      <c r="AG10" s="1201"/>
      <c r="AH10" s="1186"/>
    </row>
    <row r="11" spans="1:34" ht="12" customHeight="1" x14ac:dyDescent="0.2">
      <c r="A11" s="1175">
        <v>4</v>
      </c>
      <c r="B11" s="1177"/>
      <c r="C11" s="441" t="str">
        <f>IF(B11="","",VLOOKUP(B11,'Списки участников'!A:H,3,FALSE))</f>
        <v/>
      </c>
      <c r="D11" s="1183" t="str">
        <f>IF(M5="","",IF(M6="W",0,IF(M5=2,1,IF(M5=1,2,IF(M5=0,2)))))</f>
        <v/>
      </c>
      <c r="E11" s="1184"/>
      <c r="F11" s="1185"/>
      <c r="G11" s="1183" t="str">
        <f>IF(M7="","",IF(M8="W",0,IF(M7=2,1,IF(M7=1,2,IF(M7=0,2)))))</f>
        <v/>
      </c>
      <c r="H11" s="1184"/>
      <c r="I11" s="1185"/>
      <c r="J11" s="1183" t="str">
        <f>IF(M9="","",IF(M10="W",0,IF(M9=2,1,IF(M9=1,2,IF(M9=0,2)))))</f>
        <v/>
      </c>
      <c r="K11" s="1184"/>
      <c r="L11" s="1185"/>
      <c r="M11" s="1193"/>
      <c r="N11" s="1193"/>
      <c r="O11" s="1193"/>
      <c r="P11" s="1183"/>
      <c r="Q11" s="1184"/>
      <c r="R11" s="1185"/>
      <c r="S11" s="1183"/>
      <c r="T11" s="1184"/>
      <c r="U11" s="1185"/>
      <c r="V11" s="1183"/>
      <c r="W11" s="1184"/>
      <c r="X11" s="1185"/>
      <c r="Y11" s="1183"/>
      <c r="Z11" s="1184"/>
      <c r="AA11" s="1185"/>
      <c r="AB11" s="1183"/>
      <c r="AC11" s="1184"/>
      <c r="AD11" s="1185"/>
      <c r="AE11" s="1196" t="str">
        <f>IF(B11="","",SUM(D11,J11,G11,P11,S11,V11,Y11,AB11,))</f>
        <v/>
      </c>
      <c r="AF11" s="1197"/>
      <c r="AG11" s="1200"/>
      <c r="AH11" s="1186" t="str">
        <f>IF(B11="","",RANK(AE11,ГР9О))</f>
        <v/>
      </c>
    </row>
    <row r="12" spans="1:34" ht="12" customHeight="1" x14ac:dyDescent="0.2">
      <c r="A12" s="1176"/>
      <c r="B12" s="1178"/>
      <c r="C12" s="442" t="str">
        <f>IF(B11="","",VLOOKUP(B11,'Списки участников'!A:H,6,FALSE))</f>
        <v/>
      </c>
      <c r="D12" s="449" t="str">
        <f>IF(M6="","",IF(O6="l","W",O6))</f>
        <v/>
      </c>
      <c r="E12" s="444" t="str">
        <f>IF(N6="","",":")</f>
        <v/>
      </c>
      <c r="F12" s="450" t="str">
        <f>IF(O6="","",IF(M6="W","L",M6))</f>
        <v/>
      </c>
      <c r="G12" s="449" t="str">
        <f>IF(M8="","",IF(O8="l","W",O8))</f>
        <v/>
      </c>
      <c r="H12" s="444" t="str">
        <f>IF(N8="","",":")</f>
        <v/>
      </c>
      <c r="I12" s="450" t="str">
        <f>IF(O8="","",IF(M8="W","L",M8))</f>
        <v/>
      </c>
      <c r="J12" s="449" t="str">
        <f>IF(M10="","",IF(O10="l","W",O10))</f>
        <v/>
      </c>
      <c r="K12" s="444" t="str">
        <f>IF(N10="","",":")</f>
        <v/>
      </c>
      <c r="L12" s="450" t="str">
        <f>IF(O10="","",IF(M10="W","L",M10))</f>
        <v/>
      </c>
      <c r="M12" s="1202"/>
      <c r="N12" s="1202"/>
      <c r="O12" s="1202"/>
      <c r="P12" s="443"/>
      <c r="Q12" s="444" t="str">
        <f>IF(P11="","",":")</f>
        <v/>
      </c>
      <c r="R12" s="445"/>
      <c r="S12" s="443"/>
      <c r="T12" s="444" t="str">
        <f>IF(S11="","",":")</f>
        <v/>
      </c>
      <c r="U12" s="445"/>
      <c r="V12" s="443"/>
      <c r="W12" s="444" t="str">
        <f>IF(V11="","",":")</f>
        <v/>
      </c>
      <c r="X12" s="445"/>
      <c r="Y12" s="443"/>
      <c r="Z12" s="444" t="str">
        <f>IF(Y12="","",":")</f>
        <v/>
      </c>
      <c r="AA12" s="445"/>
      <c r="AB12" s="443"/>
      <c r="AC12" s="444" t="str">
        <f>IF(AB12="","",":")</f>
        <v/>
      </c>
      <c r="AD12" s="445"/>
      <c r="AE12" s="1198"/>
      <c r="AF12" s="1199"/>
      <c r="AG12" s="1201"/>
      <c r="AH12" s="1186"/>
    </row>
    <row r="13" spans="1:34" ht="12" hidden="1" customHeight="1" x14ac:dyDescent="0.2">
      <c r="A13" s="1175">
        <v>5</v>
      </c>
      <c r="B13" s="1177"/>
      <c r="C13" s="441" t="str">
        <f>IF(B13="","",VLOOKUP(B13,'Списки участников'!A:H,3,FALSE))</f>
        <v/>
      </c>
      <c r="D13" s="1183" t="str">
        <f>IF(P5="","",IF(P6="W",0,IF(P5=2,1,IF(P5=1,2,IF(P5=0,2)))))</f>
        <v/>
      </c>
      <c r="E13" s="1184"/>
      <c r="F13" s="1185"/>
      <c r="G13" s="1183" t="str">
        <f>IF(P7="","",IF(P8="W",0,IF(P7=2,1,IF(P7=1,2,IF(P7=0,2)))))</f>
        <v/>
      </c>
      <c r="H13" s="1184"/>
      <c r="I13" s="1185"/>
      <c r="J13" s="1183" t="str">
        <f>IF(P9="","",IF(P10="W",0,IF(P9=2,1,IF(P9=1,2,IF(P9=0,2)))))</f>
        <v/>
      </c>
      <c r="K13" s="1184"/>
      <c r="L13" s="1185"/>
      <c r="M13" s="1183" t="str">
        <f>IF(P11="","",IF(P12="W",0,IF(P11=2,1,IF(P11=1,2,IF(P11=0,2)))))</f>
        <v/>
      </c>
      <c r="N13" s="1184"/>
      <c r="O13" s="1185"/>
      <c r="P13" s="1192"/>
      <c r="Q13" s="1193"/>
      <c r="R13" s="1194"/>
      <c r="S13" s="1183"/>
      <c r="T13" s="1184"/>
      <c r="U13" s="1185"/>
      <c r="V13" s="1183"/>
      <c r="W13" s="1184"/>
      <c r="X13" s="1185"/>
      <c r="Y13" s="1183"/>
      <c r="Z13" s="1184"/>
      <c r="AA13" s="1185"/>
      <c r="AB13" s="1183"/>
      <c r="AC13" s="1184"/>
      <c r="AD13" s="1185"/>
      <c r="AE13" s="1196" t="str">
        <f>IF(B13="","",SUM(D13,J13,M13,G13,S13,V13,Y13,AB13,))</f>
        <v/>
      </c>
      <c r="AF13" s="1197"/>
      <c r="AG13" s="1200"/>
      <c r="AH13" s="1186" t="str">
        <f>IF(B13="","",RANK(AE13,ГР9О))</f>
        <v/>
      </c>
    </row>
    <row r="14" spans="1:34" ht="12" hidden="1" customHeight="1" x14ac:dyDescent="0.2">
      <c r="A14" s="1176"/>
      <c r="B14" s="1178"/>
      <c r="C14" s="442" t="str">
        <f>IF(B13="","",VLOOKUP(B13,'Списки участников'!A:H,6,FALSE))</f>
        <v/>
      </c>
      <c r="D14" s="449" t="str">
        <f>IF(P6="","",IF(R6="l","W",R6))</f>
        <v/>
      </c>
      <c r="E14" s="444" t="str">
        <f>IF(Q6="","",":")</f>
        <v/>
      </c>
      <c r="F14" s="450" t="str">
        <f>IF(R6="","",IF(P6="W","L",P6))</f>
        <v/>
      </c>
      <c r="G14" s="449" t="str">
        <f>IF(P8="","",IF(R8="l","W",R8))</f>
        <v/>
      </c>
      <c r="H14" s="444" t="str">
        <f>IF(Q8="","",":")</f>
        <v/>
      </c>
      <c r="I14" s="450" t="str">
        <f>IF(R8="","",IF(P8="W","L",P8))</f>
        <v/>
      </c>
      <c r="J14" s="449" t="str">
        <f>IF(P10="","",IF(R10="l","W",R10))</f>
        <v/>
      </c>
      <c r="K14" s="444" t="str">
        <f>IF(Q10="","",":")</f>
        <v/>
      </c>
      <c r="L14" s="450" t="str">
        <f>IF(R10="","",IF(P10="W","L",P10))</f>
        <v/>
      </c>
      <c r="M14" s="449" t="str">
        <f>IF(P12="","",IF(R12="l","W",R12))</f>
        <v/>
      </c>
      <c r="N14" s="444" t="str">
        <f>IF(Q12="","",":")</f>
        <v/>
      </c>
      <c r="O14" s="450" t="str">
        <f>IF(R12="","",IF(P12="W","L",P12))</f>
        <v/>
      </c>
      <c r="P14" s="1195"/>
      <c r="Q14" s="1181"/>
      <c r="R14" s="1182"/>
      <c r="S14" s="443"/>
      <c r="T14" s="444" t="str">
        <f>IF(S13="","",":")</f>
        <v/>
      </c>
      <c r="U14" s="445"/>
      <c r="V14" s="443"/>
      <c r="W14" s="444" t="str">
        <f>IF(V13="","",":")</f>
        <v/>
      </c>
      <c r="X14" s="445"/>
      <c r="Y14" s="443"/>
      <c r="Z14" s="444" t="str">
        <f>IF(Y13="","",":")</f>
        <v/>
      </c>
      <c r="AA14" s="445"/>
      <c r="AB14" s="443"/>
      <c r="AC14" s="444" t="str">
        <f>IF(AB14="","",":")</f>
        <v/>
      </c>
      <c r="AD14" s="445"/>
      <c r="AE14" s="1198"/>
      <c r="AF14" s="1199"/>
      <c r="AG14" s="1201"/>
      <c r="AH14" s="1186"/>
    </row>
    <row r="15" spans="1:34" ht="12" hidden="1" customHeight="1" x14ac:dyDescent="0.2">
      <c r="A15" s="1175">
        <v>6</v>
      </c>
      <c r="B15" s="1177"/>
      <c r="C15" s="441" t="str">
        <f>IF(B15="","",VLOOKUP(B15,'Списки участников'!A:H,3,FALSE))</f>
        <v/>
      </c>
      <c r="D15" s="1183" t="str">
        <f>IF(S5="","",IF(S6="W",0,IF(S5=2,1,IF(S5=1,2,IF(S5=0,2)))))</f>
        <v/>
      </c>
      <c r="E15" s="1184"/>
      <c r="F15" s="1185"/>
      <c r="G15" s="1183" t="str">
        <f>IF(S7="","",IF(S8="W",0,IF(S7=2,1,IF(S7=1,2,IF(S7=0,2)))))</f>
        <v/>
      </c>
      <c r="H15" s="1184"/>
      <c r="I15" s="1185"/>
      <c r="J15" s="1183" t="str">
        <f>IF(S9="","",IF(S10="W",0,IF(S9=2,1,IF(S9=1,2,IF(S9=0,2)))))</f>
        <v/>
      </c>
      <c r="K15" s="1184"/>
      <c r="L15" s="1185"/>
      <c r="M15" s="1183" t="str">
        <f>IF(S11="","",IF(S12="W",0,IF(S11=2,1,IF(S11=1,2,IF(S11=0,2)))))</f>
        <v/>
      </c>
      <c r="N15" s="1184"/>
      <c r="O15" s="1185"/>
      <c r="P15" s="1183" t="str">
        <f>IF(S13="","",IF(S14="W",0,IF(S13=2,1,IF(S13=1,2,IF(S13=0,2)))))</f>
        <v/>
      </c>
      <c r="Q15" s="1184"/>
      <c r="R15" s="1185"/>
      <c r="S15" s="1192"/>
      <c r="T15" s="1193"/>
      <c r="U15" s="1194"/>
      <c r="V15" s="1183"/>
      <c r="W15" s="1184"/>
      <c r="X15" s="1185"/>
      <c r="Y15" s="1183"/>
      <c r="Z15" s="1184"/>
      <c r="AA15" s="1185"/>
      <c r="AB15" s="1183"/>
      <c r="AC15" s="1184"/>
      <c r="AD15" s="1185"/>
      <c r="AE15" s="1196" t="str">
        <f>IF(B15="","",SUM(D15,J15,M15,P15,G15,V15,Y15,AB15,))</f>
        <v/>
      </c>
      <c r="AF15" s="1197"/>
      <c r="AG15" s="1200"/>
      <c r="AH15" s="1186" t="str">
        <f>IF(B15="","",RANK(AE15,ГР9О))</f>
        <v/>
      </c>
    </row>
    <row r="16" spans="1:34" ht="12" hidden="1" customHeight="1" x14ac:dyDescent="0.2">
      <c r="A16" s="1176"/>
      <c r="B16" s="1178"/>
      <c r="C16" s="442" t="str">
        <f>IF(B15="","",VLOOKUP(B15,'Списки участников'!A:H,6,FALSE))</f>
        <v/>
      </c>
      <c r="D16" s="449" t="str">
        <f>IF(S6="","",IF(U6="l","W",U6))</f>
        <v/>
      </c>
      <c r="E16" s="444" t="str">
        <f>IF(T6="","",":")</f>
        <v/>
      </c>
      <c r="F16" s="450" t="str">
        <f>IF(U6="","",IF(S6="W","L",S6))</f>
        <v/>
      </c>
      <c r="G16" s="449" t="str">
        <f>IF(S8="","",IF(U8="l","W",U8))</f>
        <v/>
      </c>
      <c r="H16" s="444" t="str">
        <f>IF(Q8="","",":")</f>
        <v/>
      </c>
      <c r="I16" s="450" t="str">
        <f>IF(U8="","",IF(S8="W","L",S8))</f>
        <v/>
      </c>
      <c r="J16" s="449" t="str">
        <f>IF(S10="","",IF(U10="l","W",U10))</f>
        <v/>
      </c>
      <c r="K16" s="444" t="str">
        <f>IF(T10="","",":")</f>
        <v/>
      </c>
      <c r="L16" s="450" t="str">
        <f>IF(U10="","",IF(S10="W","L",S10))</f>
        <v/>
      </c>
      <c r="M16" s="449" t="str">
        <f>IF(S12="","",IF(U12="l","W",U12))</f>
        <v/>
      </c>
      <c r="N16" s="444" t="str">
        <f>IF(T12="","",":")</f>
        <v/>
      </c>
      <c r="O16" s="450" t="str">
        <f>IF(U12="","",IF(S12="W","L",S12))</f>
        <v/>
      </c>
      <c r="P16" s="449" t="str">
        <f>IF(S14="","",IF(U14="l","W",U14))</f>
        <v/>
      </c>
      <c r="Q16" s="444" t="str">
        <f>IF(T14="","",":")</f>
        <v/>
      </c>
      <c r="R16" s="450" t="str">
        <f>IF(U14="","",IF(S14="W","L",S14))</f>
        <v/>
      </c>
      <c r="S16" s="1195"/>
      <c r="T16" s="1181"/>
      <c r="U16" s="1182"/>
      <c r="V16" s="443"/>
      <c r="W16" s="444" t="str">
        <f>IF(V15="","",":")</f>
        <v/>
      </c>
      <c r="X16" s="445"/>
      <c r="Y16" s="443"/>
      <c r="Z16" s="444" t="str">
        <f>IF(Y15="","",":")</f>
        <v/>
      </c>
      <c r="AA16" s="445"/>
      <c r="AB16" s="443"/>
      <c r="AC16" s="444" t="str">
        <f>IF(AB15="","",":")</f>
        <v/>
      </c>
      <c r="AD16" s="445"/>
      <c r="AE16" s="1198"/>
      <c r="AF16" s="1199"/>
      <c r="AG16" s="1201"/>
      <c r="AH16" s="1186"/>
    </row>
    <row r="17" spans="1:34" ht="12" hidden="1" customHeight="1" x14ac:dyDescent="0.2">
      <c r="A17" s="1175">
        <v>7</v>
      </c>
      <c r="B17" s="1177"/>
      <c r="C17" s="441" t="str">
        <f>IF(B17="","",VLOOKUP(B17,'Списки участников'!A:H,3,FALSE))</f>
        <v/>
      </c>
      <c r="D17" s="1183" t="str">
        <f>IF(V5="","",IF(V6="W",0,IF(V5=2,1,IF(V5=1,2,IF(V5=0,2)))))</f>
        <v/>
      </c>
      <c r="E17" s="1184"/>
      <c r="F17" s="1185"/>
      <c r="G17" s="1183" t="str">
        <f>IF(V7="","",IF(V8="W",0,IF(V7=2,1,IF(V7=1,2,IF(V7=0,2)))))</f>
        <v/>
      </c>
      <c r="H17" s="1184"/>
      <c r="I17" s="1185"/>
      <c r="J17" s="1183" t="str">
        <f>IF(V9="","",IF(V10="W",0,IF(V9=2,1,IF(V9=1,2,IF(V9=0,2)))))</f>
        <v/>
      </c>
      <c r="K17" s="1184"/>
      <c r="L17" s="1185"/>
      <c r="M17" s="1183" t="str">
        <f>IF(V11="","",IF(V12="W",0,IF(V11=2,1,IF(V11=1,2,IF(V11=0,2)))))</f>
        <v/>
      </c>
      <c r="N17" s="1184"/>
      <c r="O17" s="1185"/>
      <c r="P17" s="1183" t="str">
        <f>IF(V13="","",IF(V14="W",0,IF(V13=2,1,IF(V13=1,2,IF(V13=0,2)))))</f>
        <v/>
      </c>
      <c r="Q17" s="1184"/>
      <c r="R17" s="1185"/>
      <c r="S17" s="1183" t="str">
        <f>IF(V15="","",IF(V16="W",0,IF(V15=2,1,IF(V15=1,2,IF(V15=0,2)))))</f>
        <v/>
      </c>
      <c r="T17" s="1184"/>
      <c r="U17" s="1185"/>
      <c r="V17" s="1203"/>
      <c r="W17" s="1179"/>
      <c r="X17" s="1180"/>
      <c r="Y17" s="1183"/>
      <c r="Z17" s="1184"/>
      <c r="AA17" s="1185"/>
      <c r="AB17" s="1183"/>
      <c r="AC17" s="1184"/>
      <c r="AD17" s="1185"/>
      <c r="AE17" s="1196" t="str">
        <f>IF(B17="","",SUM(D17,J17,M17,P17,S17,G17,Y17,AB17,))</f>
        <v/>
      </c>
      <c r="AF17" s="1197"/>
      <c r="AG17" s="1200"/>
      <c r="AH17" s="1186" t="str">
        <f>IF(B17="","",RANK(AE17,ГР9О))</f>
        <v/>
      </c>
    </row>
    <row r="18" spans="1:34" ht="12" hidden="1" customHeight="1" x14ac:dyDescent="0.2">
      <c r="A18" s="1176"/>
      <c r="B18" s="1178"/>
      <c r="C18" s="442" t="str">
        <f>IF(B17="","",VLOOKUP(B17,'Списки участников'!A:H,6,FALSE))</f>
        <v/>
      </c>
      <c r="D18" s="449" t="str">
        <f>IF(V6="","",IF(X6="l","W",X6))</f>
        <v/>
      </c>
      <c r="E18" s="444" t="str">
        <f>IF(W6="","",":")</f>
        <v/>
      </c>
      <c r="F18" s="450" t="str">
        <f>IF(X6="","",IF(V6="W","L",V6))</f>
        <v/>
      </c>
      <c r="G18" s="449" t="str">
        <f>IF(V8="","",IF(X8="l","W",X8))</f>
        <v/>
      </c>
      <c r="H18" s="444" t="str">
        <f>IF(W8="","",":")</f>
        <v/>
      </c>
      <c r="I18" s="450" t="str">
        <f>IF(X8="","",IF(V8="W","L",V8))</f>
        <v/>
      </c>
      <c r="J18" s="449" t="str">
        <f>IF(V10="","",IF(X10="l","W",X10))</f>
        <v/>
      </c>
      <c r="K18" s="444" t="str">
        <f>IF(W10="","",":")</f>
        <v/>
      </c>
      <c r="L18" s="450" t="str">
        <f>IF(X10="","",IF(V10="W","L",V10))</f>
        <v/>
      </c>
      <c r="M18" s="449" t="str">
        <f>IF(V12="","",IF(X12="l","W",X12))</f>
        <v/>
      </c>
      <c r="N18" s="444" t="str">
        <f>IF(W12="","",":")</f>
        <v/>
      </c>
      <c r="O18" s="450" t="str">
        <f>IF(X12="","",IF(V12="W","L",V12))</f>
        <v/>
      </c>
      <c r="P18" s="449" t="str">
        <f>IF(V14="","",IF(X14="l","W",X14))</f>
        <v/>
      </c>
      <c r="Q18" s="444" t="str">
        <f>IF(W14="","",":")</f>
        <v/>
      </c>
      <c r="R18" s="450" t="str">
        <f>IF(X14="","",IF(V14="W","L",V14))</f>
        <v/>
      </c>
      <c r="S18" s="449" t="str">
        <f>IF(V16="","",IF(X16="l","W",X16))</f>
        <v/>
      </c>
      <c r="T18" s="444" t="str">
        <f>IF(W16="","",":")</f>
        <v/>
      </c>
      <c r="U18" s="450" t="str">
        <f>IF(X16="","",IF(V16="W","L",V16))</f>
        <v/>
      </c>
      <c r="V18" s="1195"/>
      <c r="W18" s="1181"/>
      <c r="X18" s="1182"/>
      <c r="Y18" s="443"/>
      <c r="Z18" s="444" t="str">
        <f>IF(Y17="","",":")</f>
        <v/>
      </c>
      <c r="AA18" s="445"/>
      <c r="AB18" s="443"/>
      <c r="AC18" s="444" t="str">
        <f>IF(AB17="","",":")</f>
        <v/>
      </c>
      <c r="AD18" s="445"/>
      <c r="AE18" s="1198"/>
      <c r="AF18" s="1199"/>
      <c r="AG18" s="1201"/>
      <c r="AH18" s="1186"/>
    </row>
    <row r="19" spans="1:34" ht="12" hidden="1" customHeight="1" x14ac:dyDescent="0.2">
      <c r="A19" s="1175">
        <v>8</v>
      </c>
      <c r="B19" s="1177"/>
      <c r="C19" s="441" t="str">
        <f>IF(B19="","",VLOOKUP(B19,'Списки участников'!A:H,3,FALSE))</f>
        <v/>
      </c>
      <c r="D19" s="1183" t="str">
        <f>IF(Y5="","",IF(Y6="W",0,IF(Y5=2,1,IF(Y5=1,2,IF(Y5=0,2)))))</f>
        <v/>
      </c>
      <c r="E19" s="1184"/>
      <c r="F19" s="1185"/>
      <c r="G19" s="1183" t="str">
        <f>IF(Y7="","",IF(Y8="W",0,IF(Y7=2,1,IF(Y7=1,2,IF(Y7=0,2)))))</f>
        <v/>
      </c>
      <c r="H19" s="1184"/>
      <c r="I19" s="1185"/>
      <c r="J19" s="1183" t="str">
        <f>IF(Y9="","",IF(Y10="W",0,IF(Y9=2,1,IF(Y9=1,2,IF(Y9=0,2)))))</f>
        <v/>
      </c>
      <c r="K19" s="1184"/>
      <c r="L19" s="1185"/>
      <c r="M19" s="1183" t="str">
        <f>IF(Y11="","",IF(Y12="W",0,IF(Y11=2,1,IF(Y11=1,2,IF(Y11=0,2)))))</f>
        <v/>
      </c>
      <c r="N19" s="1184"/>
      <c r="O19" s="1185"/>
      <c r="P19" s="1183" t="str">
        <f>IF(Y13="","",IF(Y14="W",0,IF(Y13=2,1,IF(Y13=1,2,IF(Y13=0,2)))))</f>
        <v/>
      </c>
      <c r="Q19" s="1184"/>
      <c r="R19" s="1185"/>
      <c r="S19" s="1183" t="str">
        <f>IF(Y15="","",IF(Y16="W",0,IF(Y15=2,1,IF(Y15=1,2,IF(Y15=0,2)))))</f>
        <v/>
      </c>
      <c r="T19" s="1184"/>
      <c r="U19" s="1185"/>
      <c r="V19" s="1183" t="str">
        <f>IF(Y17="","",IF(Y18="W",0,IF(Y17=2,1,IF(Y17=1,2,IF(Y17=0,2)))))</f>
        <v/>
      </c>
      <c r="W19" s="1184"/>
      <c r="X19" s="1185"/>
      <c r="Y19" s="1192"/>
      <c r="Z19" s="1193"/>
      <c r="AA19" s="1194"/>
      <c r="AB19" s="1183"/>
      <c r="AC19" s="1184"/>
      <c r="AD19" s="1185"/>
      <c r="AE19" s="1196" t="str">
        <f>IF(B19="","",SUM(D19,J19,M19,P19,S19,V19,G19,AB19,))</f>
        <v/>
      </c>
      <c r="AF19" s="1197"/>
      <c r="AG19" s="1200"/>
      <c r="AH19" s="1186" t="str">
        <f>IF(B19="","",RANK(AE19,ГР9О))</f>
        <v/>
      </c>
    </row>
    <row r="20" spans="1:34" ht="12" hidden="1" customHeight="1" x14ac:dyDescent="0.2">
      <c r="A20" s="1176"/>
      <c r="B20" s="1178"/>
      <c r="C20" s="442" t="str">
        <f>IF(B19="","",VLOOKUP(B19,'Списки участников'!A:H,6,FALSE))</f>
        <v/>
      </c>
      <c r="D20" s="449" t="str">
        <f>IF(Y6="","",IF(AA6="l","W",AA6))</f>
        <v/>
      </c>
      <c r="E20" s="444" t="str">
        <f>IF(Z6="","",":")</f>
        <v/>
      </c>
      <c r="F20" s="450" t="str">
        <f>IF(AA6="","",IF(Y6="W","L",Y6))</f>
        <v/>
      </c>
      <c r="G20" s="449" t="str">
        <f>IF(Y8="","",IF(AA8="l","W",AA8))</f>
        <v/>
      </c>
      <c r="H20" s="444" t="str">
        <f>IF(Z8="","",":")</f>
        <v/>
      </c>
      <c r="I20" s="450" t="str">
        <f>IF(AA8="","",IF(Y8="W","L",Y8))</f>
        <v/>
      </c>
      <c r="J20" s="449" t="str">
        <f>IF(Y10="","",IF(AA10="l","W",AA10))</f>
        <v/>
      </c>
      <c r="K20" s="444" t="str">
        <f>IF(Z10="","",":")</f>
        <v/>
      </c>
      <c r="L20" s="450" t="str">
        <f>IF(AA10="","",IF(Y10="W","L",Y10))</f>
        <v/>
      </c>
      <c r="M20" s="449" t="str">
        <f>IF(Y12="","",IF(AA12="l","W",AA12))</f>
        <v/>
      </c>
      <c r="N20" s="444" t="str">
        <f>IF(Z12="","",":")</f>
        <v/>
      </c>
      <c r="O20" s="450" t="str">
        <f>IF(AA12="","",IF(Y12="W","L",Y12))</f>
        <v/>
      </c>
      <c r="P20" s="449" t="str">
        <f>IF(Y14="","",IF(AA14="l","W",AA14))</f>
        <v/>
      </c>
      <c r="Q20" s="444" t="str">
        <f>IF(Z14="","",":")</f>
        <v/>
      </c>
      <c r="R20" s="450" t="str">
        <f>IF(AA14="","",IF(Y14="W","L",Y14))</f>
        <v/>
      </c>
      <c r="S20" s="449" t="str">
        <f>IF(Y16="","",IF(AA16="l","W",AA16))</f>
        <v/>
      </c>
      <c r="T20" s="444" t="str">
        <f>IF(Z16="","",":")</f>
        <v/>
      </c>
      <c r="U20" s="450" t="str">
        <f>IF(AA16="","",IF(Y16="W","L",Y16))</f>
        <v/>
      </c>
      <c r="V20" s="449" t="str">
        <f>IF(Y18="","",IF(AA18="l","W",AA18))</f>
        <v/>
      </c>
      <c r="W20" s="444" t="str">
        <f>IF(Z18="","",":")</f>
        <v/>
      </c>
      <c r="X20" s="450" t="str">
        <f>IF(AA18="","",IF(Y18="W","L",Y18))</f>
        <v/>
      </c>
      <c r="Y20" s="1195"/>
      <c r="Z20" s="1181"/>
      <c r="AA20" s="1182"/>
      <c r="AB20" s="443"/>
      <c r="AC20" s="444" t="str">
        <f>IF(AB19="","",":")</f>
        <v/>
      </c>
      <c r="AD20" s="445"/>
      <c r="AE20" s="1198"/>
      <c r="AF20" s="1199"/>
      <c r="AG20" s="1201"/>
      <c r="AH20" s="1186"/>
    </row>
    <row r="21" spans="1:34" ht="12" hidden="1" customHeight="1" x14ac:dyDescent="0.2">
      <c r="A21" s="1175">
        <v>9</v>
      </c>
      <c r="B21" s="1177"/>
      <c r="C21" s="441" t="str">
        <f>IF(B21="","",VLOOKUP(B21,'Списки участников'!A:H,3,FALSE))</f>
        <v/>
      </c>
      <c r="D21" s="1183" t="str">
        <f>IF(AB5="","",IF(AB6="W",0,IF(AB5=2,1,IF(AB5=1,2,IF(AB5=0,2)))))</f>
        <v/>
      </c>
      <c r="E21" s="1184"/>
      <c r="F21" s="1185"/>
      <c r="G21" s="1183" t="str">
        <f>IF(AB7="","",IF(AB8="W",0,IF(AB7=2,1,IF(AB7=1,2,IF(AB7=0,2)))))</f>
        <v/>
      </c>
      <c r="H21" s="1184"/>
      <c r="I21" s="1185"/>
      <c r="J21" s="1183" t="str">
        <f>IF(AB9="","",IF(AB10="W",0,IF(AB9=2,1,IF(AB9=1,2,IF(AB9=0,2)))))</f>
        <v/>
      </c>
      <c r="K21" s="1184"/>
      <c r="L21" s="1185"/>
      <c r="M21" s="1183" t="str">
        <f>IF(AB11="","",IF(AB12="W",0,IF(AB11=2,1,IF(AB11=1,2,IF(AB11=0,2)))))</f>
        <v/>
      </c>
      <c r="N21" s="1184"/>
      <c r="O21" s="1185"/>
      <c r="P21" s="1183" t="str">
        <f>IF(AB13="","",IF(AB14="W",0,IF(AB13=2,1,IF(AB13=1,2,IF(AB13=0,2)))))</f>
        <v/>
      </c>
      <c r="Q21" s="1184"/>
      <c r="R21" s="1185"/>
      <c r="S21" s="1183" t="str">
        <f>IF(AB15="","",IF(AB16="W",0,IF(AB15=2,1,IF(AB15=1,2,IF(AB15=0,2)))))</f>
        <v/>
      </c>
      <c r="T21" s="1184"/>
      <c r="U21" s="1185"/>
      <c r="V21" s="1183" t="str">
        <f>IF(AB17="","",IF(AB18="W",0,IF(AB17=2,1,IF(AB17=1,2,IF(AB17=0,2)))))</f>
        <v/>
      </c>
      <c r="W21" s="1184"/>
      <c r="X21" s="1185"/>
      <c r="Y21" s="1183" t="str">
        <f>IF(AB19="","",IF(AB20="W",0,IF(AB19=2,1,IF(AB19=1,2,IF(AB19=0,2)))))</f>
        <v/>
      </c>
      <c r="Z21" s="1184"/>
      <c r="AA21" s="1185"/>
      <c r="AB21" s="1203"/>
      <c r="AC21" s="1179"/>
      <c r="AD21" s="1180"/>
      <c r="AE21" s="1196" t="str">
        <f>IF(B21="","",SUM(D21,J21,M21,P21,S21,V21,Y21,G21,))</f>
        <v/>
      </c>
      <c r="AF21" s="1197"/>
      <c r="AG21" s="1200"/>
      <c r="AH21" s="1186" t="str">
        <f>IF(B21="","",RANK(AE21,ГР9О))</f>
        <v/>
      </c>
    </row>
    <row r="22" spans="1:34" ht="12" hidden="1" customHeight="1" x14ac:dyDescent="0.2">
      <c r="A22" s="1176"/>
      <c r="B22" s="1178"/>
      <c r="C22" s="442" t="str">
        <f>IF(B21="","",VLOOKUP(B21,'Списки участников'!A:H,6,FALSE))</f>
        <v/>
      </c>
      <c r="D22" s="449" t="str">
        <f>IF(AB6="","",IF(AD6="l","W",AD6))</f>
        <v/>
      </c>
      <c r="E22" s="444" t="str">
        <f>IF(AC6="","",":")</f>
        <v/>
      </c>
      <c r="F22" s="450" t="str">
        <f>IF(AD6="","",IF(AB6="W","L",AB6))</f>
        <v/>
      </c>
      <c r="G22" s="449" t="str">
        <f>IF(AB8="","",IF(AD8="l","W",AD8))</f>
        <v/>
      </c>
      <c r="H22" s="444" t="str">
        <f>IF(AC8="","",":")</f>
        <v/>
      </c>
      <c r="I22" s="450" t="str">
        <f>IF(AD8="","",IF(AB8="W","L",AB8))</f>
        <v/>
      </c>
      <c r="J22" s="449" t="str">
        <f>IF(AB10="","",IF(AD10="l","W",AD10))</f>
        <v/>
      </c>
      <c r="K22" s="444" t="str">
        <f>IF(AC10="","",":")</f>
        <v/>
      </c>
      <c r="L22" s="450" t="str">
        <f>IF(AD10="","",IF(AB10="W","L",AB10))</f>
        <v/>
      </c>
      <c r="M22" s="449" t="str">
        <f>IF(AB12="","",IF(AD12="l","W",AD12))</f>
        <v/>
      </c>
      <c r="N22" s="444" t="str">
        <f>IF(AC12="","",":")</f>
        <v/>
      </c>
      <c r="O22" s="450" t="str">
        <f>IF(AD12="","",IF(AB12="W","L",AB12))</f>
        <v/>
      </c>
      <c r="P22" s="449" t="str">
        <f>IF(AB14="","",IF(AD14="l","W",AD14))</f>
        <v/>
      </c>
      <c r="Q22" s="444" t="str">
        <f>IF(AC14="","",":")</f>
        <v/>
      </c>
      <c r="R22" s="450" t="str">
        <f>IF(AD14="","",IF(AB14="W","L",AB14))</f>
        <v/>
      </c>
      <c r="S22" s="449" t="str">
        <f>IF(AB16="","",IF(AD16="l","W",AD16))</f>
        <v/>
      </c>
      <c r="T22" s="444" t="str">
        <f>IF(AC16="","",":")</f>
        <v/>
      </c>
      <c r="U22" s="450" t="str">
        <f>IF(AD16="","",IF(AB16="W","L",AB16))</f>
        <v/>
      </c>
      <c r="V22" s="449" t="str">
        <f>IF(AB18="","",IF(AD18="l","W",AD18))</f>
        <v/>
      </c>
      <c r="W22" s="444" t="str">
        <f>IF(AC18="","",":")</f>
        <v/>
      </c>
      <c r="X22" s="450" t="str">
        <f>IF(AD18="","",IF(AB18="W","L",AB18))</f>
        <v/>
      </c>
      <c r="Y22" s="449" t="str">
        <f>IF(AB20="","",IF(AD20="l","W",AD20))</f>
        <v/>
      </c>
      <c r="Z22" s="444" t="str">
        <f>IF(AC20="","",":")</f>
        <v/>
      </c>
      <c r="AA22" s="450" t="str">
        <f>IF(AD20="","",IF(AB20="W","L",AB20))</f>
        <v/>
      </c>
      <c r="AB22" s="1195"/>
      <c r="AC22" s="1181"/>
      <c r="AD22" s="1182"/>
      <c r="AE22" s="1198"/>
      <c r="AF22" s="1199"/>
      <c r="AG22" s="1201"/>
      <c r="AH22" s="1186"/>
    </row>
    <row r="23" spans="1:34" ht="12" customHeight="1" x14ac:dyDescent="0.25">
      <c r="A23" s="128"/>
      <c r="B23" s="128"/>
      <c r="C23" s="451"/>
      <c r="D23" s="128"/>
      <c r="E23" s="128"/>
      <c r="F23" s="128"/>
      <c r="G23" s="1204" t="s">
        <v>955</v>
      </c>
      <c r="H23" s="1204"/>
      <c r="I23" s="1204"/>
      <c r="J23" s="1204"/>
      <c r="K23" s="1204"/>
      <c r="L23" s="1204"/>
      <c r="M23" s="1204"/>
      <c r="N23" s="1204"/>
      <c r="O23" s="1204"/>
      <c r="P23" s="1204"/>
      <c r="Q23" s="1204"/>
      <c r="R23" s="1204"/>
      <c r="S23" s="1204"/>
      <c r="T23" s="1204"/>
      <c r="U23" s="1204"/>
      <c r="V23" s="1204"/>
      <c r="W23" s="1204"/>
      <c r="X23" s="1204"/>
      <c r="Y23" s="1204"/>
      <c r="Z23" s="1204"/>
      <c r="AA23" s="1204"/>
      <c r="AB23" s="128"/>
      <c r="AC23" s="128"/>
      <c r="AD23" s="128"/>
      <c r="AE23" s="128"/>
      <c r="AF23" s="128"/>
      <c r="AG23" s="128"/>
      <c r="AH23" s="128"/>
    </row>
    <row r="24" spans="1:34" ht="12" customHeight="1" x14ac:dyDescent="0.2">
      <c r="A24" s="129" t="s">
        <v>3</v>
      </c>
      <c r="B24" s="846"/>
      <c r="C24" s="131" t="s">
        <v>757</v>
      </c>
      <c r="D24" s="1170">
        <v>1</v>
      </c>
      <c r="E24" s="1171"/>
      <c r="F24" s="1172"/>
      <c r="G24" s="1170">
        <v>2</v>
      </c>
      <c r="H24" s="1171"/>
      <c r="I24" s="1172"/>
      <c r="J24" s="1170">
        <v>3</v>
      </c>
      <c r="K24" s="1171"/>
      <c r="L24" s="1172"/>
      <c r="M24" s="1170">
        <v>4</v>
      </c>
      <c r="N24" s="1171"/>
      <c r="O24" s="1172"/>
      <c r="P24" s="1170">
        <v>5</v>
      </c>
      <c r="Q24" s="1171"/>
      <c r="R24" s="1172"/>
      <c r="S24" s="1170">
        <v>6</v>
      </c>
      <c r="T24" s="1171"/>
      <c r="U24" s="1172"/>
      <c r="V24" s="1170">
        <v>7</v>
      </c>
      <c r="W24" s="1171"/>
      <c r="X24" s="1172"/>
      <c r="Y24" s="1170">
        <v>8</v>
      </c>
      <c r="Z24" s="1171"/>
      <c r="AA24" s="1172"/>
      <c r="AB24" s="1170">
        <v>9</v>
      </c>
      <c r="AC24" s="1171"/>
      <c r="AD24" s="1172"/>
      <c r="AE24" s="1173" t="s">
        <v>758</v>
      </c>
      <c r="AF24" s="1174"/>
      <c r="AG24" s="847" t="s">
        <v>759</v>
      </c>
      <c r="AH24" s="440" t="s">
        <v>100</v>
      </c>
    </row>
    <row r="25" spans="1:34" ht="12" customHeight="1" x14ac:dyDescent="0.2">
      <c r="A25" s="1175">
        <v>1</v>
      </c>
      <c r="B25" s="1205"/>
      <c r="C25" s="441" t="str">
        <f>IF(B25="","",VLOOKUP(B25,'Списки участников'!A:H,3,FALSE))</f>
        <v/>
      </c>
      <c r="D25" s="1179"/>
      <c r="E25" s="1179"/>
      <c r="F25" s="1180"/>
      <c r="G25" s="1183"/>
      <c r="H25" s="1184"/>
      <c r="I25" s="1185"/>
      <c r="J25" s="1183"/>
      <c r="K25" s="1184"/>
      <c r="L25" s="1185"/>
      <c r="M25" s="1183"/>
      <c r="N25" s="1184"/>
      <c r="O25" s="1185"/>
      <c r="P25" s="1183"/>
      <c r="Q25" s="1184"/>
      <c r="R25" s="1185"/>
      <c r="S25" s="1183"/>
      <c r="T25" s="1184"/>
      <c r="U25" s="1185"/>
      <c r="V25" s="1183"/>
      <c r="W25" s="1184"/>
      <c r="X25" s="1185"/>
      <c r="Y25" s="1183"/>
      <c r="Z25" s="1184"/>
      <c r="AA25" s="1185"/>
      <c r="AB25" s="1183"/>
      <c r="AC25" s="1184"/>
      <c r="AD25" s="1185"/>
      <c r="AE25" s="1196" t="str">
        <f>IF(B25="","",SUM(G25,J25,M25,P25,S25,V25,Y25,AB25,))</f>
        <v/>
      </c>
      <c r="AF25" s="1197"/>
      <c r="AG25" s="1187"/>
      <c r="AH25" s="1186" t="str">
        <f>IF(B25="","",RANK(AE25,ГР10О))</f>
        <v/>
      </c>
    </row>
    <row r="26" spans="1:34" ht="12" customHeight="1" x14ac:dyDescent="0.2">
      <c r="A26" s="1176"/>
      <c r="B26" s="1206"/>
      <c r="C26" s="442" t="str">
        <f>IF(B25="","",VLOOKUP(B25,'Списки участников'!A:H,6,FALSE))</f>
        <v/>
      </c>
      <c r="D26" s="1181"/>
      <c r="E26" s="1181"/>
      <c r="F26" s="1182"/>
      <c r="G26" s="443"/>
      <c r="H26" s="444" t="str">
        <f>IF(G25="","",":")</f>
        <v/>
      </c>
      <c r="I26" s="445"/>
      <c r="J26" s="443"/>
      <c r="K26" s="444" t="str">
        <f>IF(J25="","",":")</f>
        <v/>
      </c>
      <c r="L26" s="445"/>
      <c r="M26" s="443"/>
      <c r="N26" s="444" t="str">
        <f>IF(M26="","",":")</f>
        <v/>
      </c>
      <c r="O26" s="445"/>
      <c r="P26" s="443"/>
      <c r="Q26" s="444" t="str">
        <f>IF(P26="","",":")</f>
        <v/>
      </c>
      <c r="R26" s="445"/>
      <c r="S26" s="443"/>
      <c r="T26" s="444" t="str">
        <f>IF(S26="","",":")</f>
        <v/>
      </c>
      <c r="U26" s="445"/>
      <c r="V26" s="443"/>
      <c r="W26" s="444" t="str">
        <f>IF(V26="","",":")</f>
        <v/>
      </c>
      <c r="X26" s="445"/>
      <c r="Y26" s="443"/>
      <c r="Z26" s="444" t="str">
        <f>IF(Y26="","",":")</f>
        <v/>
      </c>
      <c r="AA26" s="445"/>
      <c r="AB26" s="443"/>
      <c r="AC26" s="444" t="str">
        <f>IF(AB26="","",":")</f>
        <v/>
      </c>
      <c r="AD26" s="445"/>
      <c r="AE26" s="1198"/>
      <c r="AF26" s="1199"/>
      <c r="AG26" s="1188"/>
      <c r="AH26" s="1186"/>
    </row>
    <row r="27" spans="1:34" ht="12" customHeight="1" x14ac:dyDescent="0.2">
      <c r="A27" s="1175">
        <v>2</v>
      </c>
      <c r="B27" s="1205"/>
      <c r="C27" s="441" t="str">
        <f>IF(B27="","",VLOOKUP(B27,'Списки участников'!A:H,3,FALSE))</f>
        <v/>
      </c>
      <c r="D27" s="1189" t="str">
        <f>IF(G25="","",IF(G26="W",0,IF(G25=2,1,IF(G25=1,2,IF(G25=0,2)))))</f>
        <v/>
      </c>
      <c r="E27" s="1190"/>
      <c r="F27" s="1191"/>
      <c r="G27" s="1192"/>
      <c r="H27" s="1193"/>
      <c r="I27" s="1194"/>
      <c r="J27" s="1183"/>
      <c r="K27" s="1184"/>
      <c r="L27" s="1185"/>
      <c r="M27" s="1183"/>
      <c r="N27" s="1184"/>
      <c r="O27" s="1185"/>
      <c r="P27" s="1183"/>
      <c r="Q27" s="1184"/>
      <c r="R27" s="1185"/>
      <c r="S27" s="1183"/>
      <c r="T27" s="1184"/>
      <c r="U27" s="1185"/>
      <c r="V27" s="1183"/>
      <c r="W27" s="1184"/>
      <c r="X27" s="1185"/>
      <c r="Y27" s="1183"/>
      <c r="Z27" s="1184"/>
      <c r="AA27" s="1185"/>
      <c r="AB27" s="1183"/>
      <c r="AC27" s="1184"/>
      <c r="AD27" s="1185"/>
      <c r="AE27" s="1196" t="str">
        <f>IF(B27="","",SUM(D27,J27,M27,P27,S27,V27,Y27,AB27,))</f>
        <v/>
      </c>
      <c r="AF27" s="1197"/>
      <c r="AG27" s="1187"/>
      <c r="AH27" s="1186" t="str">
        <f>IF(B27="","",RANK(AE27,ГР10О))</f>
        <v/>
      </c>
    </row>
    <row r="28" spans="1:34" ht="12" customHeight="1" x14ac:dyDescent="0.2">
      <c r="A28" s="1176"/>
      <c r="B28" s="1206"/>
      <c r="C28" s="442" t="str">
        <f>IF(B27="","",VLOOKUP(B27,'Списки участников'!A:H,6,FALSE))</f>
        <v/>
      </c>
      <c r="D28" s="446" t="str">
        <f>IF(G26="","",IF(I26="l","W",I26))</f>
        <v/>
      </c>
      <c r="E28" s="447" t="str">
        <f>IF(G25="","",":")</f>
        <v/>
      </c>
      <c r="F28" s="448" t="str">
        <f>IF(I26="","",IF(G26="W","L",G26))</f>
        <v/>
      </c>
      <c r="G28" s="1195"/>
      <c r="H28" s="1181"/>
      <c r="I28" s="1182"/>
      <c r="J28" s="443"/>
      <c r="K28" s="444" t="str">
        <f>IF(J27="","",":")</f>
        <v/>
      </c>
      <c r="L28" s="445"/>
      <c r="M28" s="443"/>
      <c r="N28" s="444" t="str">
        <f>IF(M27="","",":")</f>
        <v/>
      </c>
      <c r="O28" s="445"/>
      <c r="P28" s="443"/>
      <c r="Q28" s="444" t="str">
        <f>IF(P27="","",":")</f>
        <v/>
      </c>
      <c r="R28" s="445"/>
      <c r="S28" s="443"/>
      <c r="T28" s="444" t="str">
        <f>IF(S28="","",":")</f>
        <v/>
      </c>
      <c r="U28" s="445"/>
      <c r="V28" s="443"/>
      <c r="W28" s="444" t="str">
        <f>IF(V28="","",":")</f>
        <v/>
      </c>
      <c r="X28" s="445"/>
      <c r="Y28" s="443"/>
      <c r="Z28" s="444" t="str">
        <f>IF(Y28="","",":")</f>
        <v/>
      </c>
      <c r="AA28" s="445"/>
      <c r="AB28" s="443"/>
      <c r="AC28" s="444" t="str">
        <f>IF(AB28="","",":")</f>
        <v/>
      </c>
      <c r="AD28" s="445"/>
      <c r="AE28" s="1198"/>
      <c r="AF28" s="1199"/>
      <c r="AG28" s="1188"/>
      <c r="AH28" s="1186"/>
    </row>
    <row r="29" spans="1:34" ht="12" customHeight="1" x14ac:dyDescent="0.2">
      <c r="A29" s="1175">
        <v>3</v>
      </c>
      <c r="B29" s="1205"/>
      <c r="C29" s="441" t="str">
        <f>IF(B29="","",VLOOKUP(B29,'Списки участников'!A:H,3,FALSE))</f>
        <v/>
      </c>
      <c r="D29" s="1189" t="str">
        <f>IF(J25="","",IF(J26="W",0,IF(J25=2,1,IF(J25=1,2,IF(J25=0,2)))))</f>
        <v/>
      </c>
      <c r="E29" s="1190"/>
      <c r="F29" s="1191"/>
      <c r="G29" s="1183" t="str">
        <f>IF(J27="","",IF(J28="W",0,IF(J27=2,1,IF(J27=1,2,IF(J27=0,2)))))</f>
        <v/>
      </c>
      <c r="H29" s="1184"/>
      <c r="I29" s="1185"/>
      <c r="J29" s="1192"/>
      <c r="K29" s="1193"/>
      <c r="L29" s="1194"/>
      <c r="M29" s="1183"/>
      <c r="N29" s="1184"/>
      <c r="O29" s="1185"/>
      <c r="P29" s="1183"/>
      <c r="Q29" s="1184"/>
      <c r="R29" s="1185"/>
      <c r="S29" s="1183"/>
      <c r="T29" s="1184"/>
      <c r="U29" s="1185"/>
      <c r="V29" s="1183"/>
      <c r="W29" s="1184"/>
      <c r="X29" s="1185"/>
      <c r="Y29" s="1183"/>
      <c r="Z29" s="1184"/>
      <c r="AA29" s="1185"/>
      <c r="AB29" s="1183"/>
      <c r="AC29" s="1184"/>
      <c r="AD29" s="1185"/>
      <c r="AE29" s="1196" t="str">
        <f>IF(B29="","",SUM(G29,D29,M29,P29,S29,V29,Y29,AB29,))</f>
        <v/>
      </c>
      <c r="AF29" s="1197"/>
      <c r="AG29" s="1200"/>
      <c r="AH29" s="1186" t="str">
        <f>IF(B29="","",RANK(AE29,ГР10О))</f>
        <v/>
      </c>
    </row>
    <row r="30" spans="1:34" ht="12" customHeight="1" x14ac:dyDescent="0.2">
      <c r="A30" s="1176"/>
      <c r="B30" s="1207"/>
      <c r="C30" s="442" t="str">
        <f>IF(B29="","",VLOOKUP(B29,'Списки участников'!A:H,6,FALSE))</f>
        <v/>
      </c>
      <c r="D30" s="449" t="str">
        <f>IF(J26="","",IF(L26="l","W",L26))</f>
        <v/>
      </c>
      <c r="E30" s="444" t="str">
        <f>IF(K26="","",":")</f>
        <v/>
      </c>
      <c r="F30" s="450" t="str">
        <f>IF(L26="","",IF(J26="W","L",J26))</f>
        <v/>
      </c>
      <c r="G30" s="449" t="str">
        <f>IF(J28="","",IF(L28="l","W",L28))</f>
        <v/>
      </c>
      <c r="H30" s="444" t="str">
        <f>IF(K28="","",":")</f>
        <v/>
      </c>
      <c r="I30" s="450" t="str">
        <f>IF(L28="","",IF(J28="W","L",J28))</f>
        <v/>
      </c>
      <c r="J30" s="1195"/>
      <c r="K30" s="1181"/>
      <c r="L30" s="1182"/>
      <c r="M30" s="443"/>
      <c r="N30" s="444" t="str">
        <f>IF(M29="","",":")</f>
        <v/>
      </c>
      <c r="O30" s="445"/>
      <c r="P30" s="443"/>
      <c r="Q30" s="444" t="str">
        <f>IF(P29="","",":")</f>
        <v/>
      </c>
      <c r="R30" s="445"/>
      <c r="S30" s="443"/>
      <c r="T30" s="444" t="str">
        <f>IF(S29="","",":")</f>
        <v/>
      </c>
      <c r="U30" s="445"/>
      <c r="V30" s="443"/>
      <c r="W30" s="444" t="str">
        <f>IF(V30="","",":")</f>
        <v/>
      </c>
      <c r="X30" s="445"/>
      <c r="Y30" s="443"/>
      <c r="Z30" s="444" t="str">
        <f>IF(Y30="","",":")</f>
        <v/>
      </c>
      <c r="AA30" s="445"/>
      <c r="AB30" s="443"/>
      <c r="AC30" s="444" t="str">
        <f>IF(AB30="","",":")</f>
        <v/>
      </c>
      <c r="AD30" s="445"/>
      <c r="AE30" s="1198"/>
      <c r="AF30" s="1199"/>
      <c r="AG30" s="1201"/>
      <c r="AH30" s="1186"/>
    </row>
    <row r="31" spans="1:34" ht="12" customHeight="1" x14ac:dyDescent="0.2">
      <c r="A31" s="1175">
        <v>4</v>
      </c>
      <c r="B31" s="1205"/>
      <c r="C31" s="441" t="str">
        <f>IF(B31="","",VLOOKUP(B31,'Списки участников'!A:H,3,FALSE))</f>
        <v/>
      </c>
      <c r="D31" s="1183" t="str">
        <f>IF(M25="","",IF(M26="W",0,IF(M25=2,1,IF(M25=1,2,IF(M25=0,2)))))</f>
        <v/>
      </c>
      <c r="E31" s="1184"/>
      <c r="F31" s="1185"/>
      <c r="G31" s="1183" t="str">
        <f>IF(M27="","",IF(M28="W",0,IF(M27=2,1,IF(M27=1,2,IF(M27=0,2)))))</f>
        <v/>
      </c>
      <c r="H31" s="1184"/>
      <c r="I31" s="1185"/>
      <c r="J31" s="1183" t="str">
        <f>IF(M29="","",IF(M30="W",0,IF(M29=2,1,IF(M29=1,2,IF(M29=0,2)))))</f>
        <v/>
      </c>
      <c r="K31" s="1184"/>
      <c r="L31" s="1185"/>
      <c r="M31" s="1193"/>
      <c r="N31" s="1193"/>
      <c r="O31" s="1193"/>
      <c r="P31" s="1183"/>
      <c r="Q31" s="1184"/>
      <c r="R31" s="1185"/>
      <c r="S31" s="1183"/>
      <c r="T31" s="1184"/>
      <c r="U31" s="1185"/>
      <c r="V31" s="1183"/>
      <c r="W31" s="1184"/>
      <c r="X31" s="1185"/>
      <c r="Y31" s="1183"/>
      <c r="Z31" s="1184"/>
      <c r="AA31" s="1185"/>
      <c r="AB31" s="1183"/>
      <c r="AC31" s="1184"/>
      <c r="AD31" s="1185"/>
      <c r="AE31" s="1196" t="str">
        <f>IF(B31="","",SUM(G31,J31,D31,P31,S31,V31,Y31,AB31,))</f>
        <v/>
      </c>
      <c r="AF31" s="1197"/>
      <c r="AG31" s="1200"/>
      <c r="AH31" s="1186" t="str">
        <f>IF(B31="","",RANK(AE31,ГР10О))</f>
        <v/>
      </c>
    </row>
    <row r="32" spans="1:34" ht="12" customHeight="1" x14ac:dyDescent="0.2">
      <c r="A32" s="1176"/>
      <c r="B32" s="1207"/>
      <c r="C32" s="442" t="str">
        <f>IF(B31="","",VLOOKUP(B31,'Списки участников'!A:H,6,FALSE))</f>
        <v/>
      </c>
      <c r="D32" s="449" t="str">
        <f>IF(M26="","",IF(O26="l","W",O26))</f>
        <v/>
      </c>
      <c r="E32" s="444" t="str">
        <f>IF(N26="","",":")</f>
        <v/>
      </c>
      <c r="F32" s="450" t="str">
        <f>IF(O26="","",IF(M26="W","L",M26))</f>
        <v/>
      </c>
      <c r="G32" s="449" t="str">
        <f>IF(M28="","",IF(O28="l","W",O28))</f>
        <v/>
      </c>
      <c r="H32" s="444" t="str">
        <f>IF(N28="","",":")</f>
        <v/>
      </c>
      <c r="I32" s="450" t="str">
        <f>IF(O28="","",IF(M28="W","L",M28))</f>
        <v/>
      </c>
      <c r="J32" s="449" t="str">
        <f>IF(M30="","",IF(O30="l","W",O30))</f>
        <v/>
      </c>
      <c r="K32" s="444" t="str">
        <f>IF(N30="","",":")</f>
        <v/>
      </c>
      <c r="L32" s="450" t="str">
        <f>IF(O30="","",IF(M30="W","L",M30))</f>
        <v/>
      </c>
      <c r="M32" s="1202"/>
      <c r="N32" s="1202"/>
      <c r="O32" s="1202"/>
      <c r="P32" s="443"/>
      <c r="Q32" s="444" t="str">
        <f>IF(P31="","",":")</f>
        <v/>
      </c>
      <c r="R32" s="445"/>
      <c r="S32" s="443"/>
      <c r="T32" s="444" t="str">
        <f>IF(S31="","",":")</f>
        <v/>
      </c>
      <c r="U32" s="445"/>
      <c r="V32" s="443"/>
      <c r="W32" s="444" t="str">
        <f>IF(V31="","",":")</f>
        <v/>
      </c>
      <c r="X32" s="445"/>
      <c r="Y32" s="443"/>
      <c r="Z32" s="444" t="str">
        <f>IF(Y32="","",":")</f>
        <v/>
      </c>
      <c r="AA32" s="445"/>
      <c r="AB32" s="443"/>
      <c r="AC32" s="444" t="str">
        <f>IF(AB32="","",":")</f>
        <v/>
      </c>
      <c r="AD32" s="445"/>
      <c r="AE32" s="1198"/>
      <c r="AF32" s="1199"/>
      <c r="AG32" s="1201"/>
      <c r="AH32" s="1186"/>
    </row>
    <row r="33" spans="1:34" ht="12" hidden="1" customHeight="1" x14ac:dyDescent="0.2">
      <c r="A33" s="1175">
        <v>5</v>
      </c>
      <c r="B33" s="1208"/>
      <c r="C33" s="441" t="str">
        <f>IF(B33="","",VLOOKUP(B33,'Списки участников'!A:H,3,FALSE))</f>
        <v/>
      </c>
      <c r="D33" s="1183" t="str">
        <f>IF(P25="","",IF(P26="W",0,IF(P25=2,1,IF(P25=1,2,IF(P25=0,2)))))</f>
        <v/>
      </c>
      <c r="E33" s="1184"/>
      <c r="F33" s="1185"/>
      <c r="G33" s="1183" t="str">
        <f>IF(P27="","",IF(P28="W",0,IF(P27=2,1,IF(P27=1,2,IF(P27=0,2)))))</f>
        <v/>
      </c>
      <c r="H33" s="1184"/>
      <c r="I33" s="1185"/>
      <c r="J33" s="1183" t="str">
        <f>IF(P29="","",IF(P30="W",0,IF(P29=2,1,IF(P29=1,2,IF(P29=0,2)))))</f>
        <v/>
      </c>
      <c r="K33" s="1184"/>
      <c r="L33" s="1185"/>
      <c r="M33" s="1183" t="str">
        <f>IF(P31="","",IF(P32="W",0,IF(P31=2,1,IF(P31=1,2,IF(P31=0,2)))))</f>
        <v/>
      </c>
      <c r="N33" s="1184"/>
      <c r="O33" s="1185"/>
      <c r="P33" s="1192"/>
      <c r="Q33" s="1193"/>
      <c r="R33" s="1194"/>
      <c r="S33" s="1183"/>
      <c r="T33" s="1184"/>
      <c r="U33" s="1185"/>
      <c r="V33" s="1183"/>
      <c r="W33" s="1184"/>
      <c r="X33" s="1185"/>
      <c r="Y33" s="1183"/>
      <c r="Z33" s="1184"/>
      <c r="AA33" s="1185"/>
      <c r="AB33" s="1183"/>
      <c r="AC33" s="1184"/>
      <c r="AD33" s="1185"/>
      <c r="AE33" s="1196" t="str">
        <f>IF(B33="","",SUM(G33,J33,M33,D33,S33,V33,Y33,AB33,))</f>
        <v/>
      </c>
      <c r="AF33" s="1197"/>
      <c r="AG33" s="1200"/>
      <c r="AH33" s="1186" t="str">
        <f>IF(B33="","",RANK(AE33,ГР10О))</f>
        <v/>
      </c>
    </row>
    <row r="34" spans="1:34" ht="12" hidden="1" customHeight="1" x14ac:dyDescent="0.2">
      <c r="A34" s="1176"/>
      <c r="B34" s="1209"/>
      <c r="C34" s="442" t="str">
        <f>IF(B33="","",VLOOKUP(B33,'Списки участников'!A:H,6,FALSE))</f>
        <v/>
      </c>
      <c r="D34" s="449" t="str">
        <f>IF(P26="","",IF(R26="l","W",R26))</f>
        <v/>
      </c>
      <c r="E34" s="444" t="str">
        <f>IF(Q26="","",":")</f>
        <v/>
      </c>
      <c r="F34" s="450" t="str">
        <f>IF(R26="","",IF(P26="W","L",P26))</f>
        <v/>
      </c>
      <c r="G34" s="449" t="str">
        <f>IF(P28="","",IF(R28="l","W",R28))</f>
        <v/>
      </c>
      <c r="H34" s="444" t="str">
        <f>IF(Q28="","",":")</f>
        <v/>
      </c>
      <c r="I34" s="450" t="str">
        <f>IF(R28="","",IF(P28="W","L",P28))</f>
        <v/>
      </c>
      <c r="J34" s="449" t="str">
        <f>IF(P30="","",IF(R30="l","W",R30))</f>
        <v/>
      </c>
      <c r="K34" s="444" t="str">
        <f>IF(Q30="","",":")</f>
        <v/>
      </c>
      <c r="L34" s="450" t="str">
        <f>IF(R30="","",IF(P30="W","L",P30))</f>
        <v/>
      </c>
      <c r="M34" s="449" t="str">
        <f>IF(P32="","",IF(R32="l","W",R32))</f>
        <v/>
      </c>
      <c r="N34" s="444" t="str">
        <f>IF(Q32="","",":")</f>
        <v/>
      </c>
      <c r="O34" s="450" t="str">
        <f>IF(R32="","",IF(P32="W","L",P32))</f>
        <v/>
      </c>
      <c r="P34" s="1195"/>
      <c r="Q34" s="1181"/>
      <c r="R34" s="1182"/>
      <c r="S34" s="443"/>
      <c r="T34" s="444" t="str">
        <f>IF(S33="","",":")</f>
        <v/>
      </c>
      <c r="U34" s="445"/>
      <c r="V34" s="443"/>
      <c r="W34" s="444" t="str">
        <f>IF(V33="","",":")</f>
        <v/>
      </c>
      <c r="X34" s="445"/>
      <c r="Y34" s="443"/>
      <c r="Z34" s="444" t="str">
        <f>IF(Y33="","",":")</f>
        <v/>
      </c>
      <c r="AA34" s="445"/>
      <c r="AB34" s="443"/>
      <c r="AC34" s="444" t="str">
        <f>IF(AB34="","",":")</f>
        <v/>
      </c>
      <c r="AD34" s="445"/>
      <c r="AE34" s="1198"/>
      <c r="AF34" s="1199"/>
      <c r="AG34" s="1201"/>
      <c r="AH34" s="1186"/>
    </row>
    <row r="35" spans="1:34" ht="12" hidden="1" customHeight="1" x14ac:dyDescent="0.2">
      <c r="A35" s="1175">
        <v>6</v>
      </c>
      <c r="B35" s="1208"/>
      <c r="C35" s="441" t="str">
        <f>IF(B35="","",VLOOKUP(B35,'Списки участников'!A:H,3,FALSE))</f>
        <v/>
      </c>
      <c r="D35" s="1183" t="str">
        <f>IF(S25="","",IF(S26="W",0,IF(S25=2,1,IF(S25=1,2,IF(S25=0,2)))))</f>
        <v/>
      </c>
      <c r="E35" s="1184"/>
      <c r="F35" s="1185"/>
      <c r="G35" s="1183" t="str">
        <f>IF(S27="","",IF(S28="W",0,IF(S27=2,1,IF(S27=1,2,IF(S27=0,2)))))</f>
        <v/>
      </c>
      <c r="H35" s="1184"/>
      <c r="I35" s="1185"/>
      <c r="J35" s="1183" t="str">
        <f>IF(S29="","",IF(S30="W",0,IF(S29=2,1,IF(S29=1,2,IF(S29=0,2)))))</f>
        <v/>
      </c>
      <c r="K35" s="1184"/>
      <c r="L35" s="1185"/>
      <c r="M35" s="1183" t="str">
        <f>IF(S31="","",IF(S32="W",0,IF(S31=2,1,IF(S31=1,2,IF(S31=0,2)))))</f>
        <v/>
      </c>
      <c r="N35" s="1184"/>
      <c r="O35" s="1185"/>
      <c r="P35" s="1183" t="str">
        <f>IF(S33="","",IF(S34="W",0,IF(S33=2,1,IF(S33=1,2,IF(S33=0,2)))))</f>
        <v/>
      </c>
      <c r="Q35" s="1184"/>
      <c r="R35" s="1185"/>
      <c r="S35" s="1192"/>
      <c r="T35" s="1193"/>
      <c r="U35" s="1194"/>
      <c r="V35" s="1183"/>
      <c r="W35" s="1184"/>
      <c r="X35" s="1185"/>
      <c r="Y35" s="1183"/>
      <c r="Z35" s="1184"/>
      <c r="AA35" s="1185"/>
      <c r="AB35" s="1183"/>
      <c r="AC35" s="1184"/>
      <c r="AD35" s="1185"/>
      <c r="AE35" s="1196" t="str">
        <f>IF(B35="","",SUM(G35,J35,M35,P35,D35,V35,Y35,AB35,))</f>
        <v/>
      </c>
      <c r="AF35" s="1197"/>
      <c r="AG35" s="1200"/>
      <c r="AH35" s="1186" t="str">
        <f>IF(B35="","",RANK(AE35,ГР10О))</f>
        <v/>
      </c>
    </row>
    <row r="36" spans="1:34" ht="12" hidden="1" customHeight="1" x14ac:dyDescent="0.2">
      <c r="A36" s="1176"/>
      <c r="B36" s="1209"/>
      <c r="C36" s="442" t="str">
        <f>IF(B35="","",VLOOKUP(B35,'Списки участников'!A:H,6,FALSE))</f>
        <v/>
      </c>
      <c r="D36" s="449" t="str">
        <f>IF(S26="","",IF(U26="l","W",U26))</f>
        <v/>
      </c>
      <c r="E36" s="444" t="str">
        <f>IF(T26="","",":")</f>
        <v/>
      </c>
      <c r="F36" s="450" t="str">
        <f>IF(U26="","",IF(S26="W","L",S26))</f>
        <v/>
      </c>
      <c r="G36" s="449" t="str">
        <f>IF(S28="","",IF(U28="l","W",U28))</f>
        <v/>
      </c>
      <c r="H36" s="444" t="str">
        <f>IF(Q28="","",":")</f>
        <v/>
      </c>
      <c r="I36" s="450" t="str">
        <f>IF(U28="","",IF(S28="W","L",S28))</f>
        <v/>
      </c>
      <c r="J36" s="449" t="str">
        <f>IF(S30="","",IF(U30="l","W",U30))</f>
        <v/>
      </c>
      <c r="K36" s="444" t="str">
        <f>IF(T30="","",":")</f>
        <v/>
      </c>
      <c r="L36" s="450" t="str">
        <f>IF(U30="","",IF(S30="W","L",S30))</f>
        <v/>
      </c>
      <c r="M36" s="449" t="str">
        <f>IF(S32="","",IF(U32="l","W",U32))</f>
        <v/>
      </c>
      <c r="N36" s="444" t="str">
        <f>IF(T32="","",":")</f>
        <v/>
      </c>
      <c r="O36" s="450" t="str">
        <f>IF(U32="","",IF(S32="W","L",S32))</f>
        <v/>
      </c>
      <c r="P36" s="449" t="str">
        <f>IF(S34="","",IF(U34="l","W",U34))</f>
        <v/>
      </c>
      <c r="Q36" s="444" t="str">
        <f>IF(T34="","",":")</f>
        <v/>
      </c>
      <c r="R36" s="450" t="str">
        <f>IF(U34="","",IF(S34="W","L",S34))</f>
        <v/>
      </c>
      <c r="S36" s="1195"/>
      <c r="T36" s="1181"/>
      <c r="U36" s="1182"/>
      <c r="V36" s="443"/>
      <c r="W36" s="444" t="str">
        <f>IF(V35="","",":")</f>
        <v/>
      </c>
      <c r="X36" s="445"/>
      <c r="Y36" s="443"/>
      <c r="Z36" s="444" t="str">
        <f>IF(Y35="","",":")</f>
        <v/>
      </c>
      <c r="AA36" s="445"/>
      <c r="AB36" s="443"/>
      <c r="AC36" s="444" t="str">
        <f>IF(AB35="","",":")</f>
        <v/>
      </c>
      <c r="AD36" s="445"/>
      <c r="AE36" s="1198"/>
      <c r="AF36" s="1199"/>
      <c r="AG36" s="1201"/>
      <c r="AH36" s="1186"/>
    </row>
    <row r="37" spans="1:34" ht="12" hidden="1" customHeight="1" x14ac:dyDescent="0.2">
      <c r="A37" s="1175">
        <v>7</v>
      </c>
      <c r="B37" s="1208"/>
      <c r="C37" s="441" t="str">
        <f>IF(B37="","",VLOOKUP(B37,'Списки участников'!A:H,3,FALSE))</f>
        <v/>
      </c>
      <c r="D37" s="1183" t="str">
        <f>IF(V25="","",IF(V26="W",0,IF(V25=2,1,IF(V25=1,2,IF(V25=0,2)))))</f>
        <v/>
      </c>
      <c r="E37" s="1184"/>
      <c r="F37" s="1185"/>
      <c r="G37" s="1183" t="str">
        <f>IF(V27="","",IF(V28="W",0,IF(V27=2,1,IF(V27=1,2,IF(V27=0,2)))))</f>
        <v/>
      </c>
      <c r="H37" s="1184"/>
      <c r="I37" s="1185"/>
      <c r="J37" s="1183" t="str">
        <f>IF(V29="","",IF(V30="W",0,IF(V29=2,1,IF(V29=1,2,IF(V29=0,2)))))</f>
        <v/>
      </c>
      <c r="K37" s="1184"/>
      <c r="L37" s="1185"/>
      <c r="M37" s="1183" t="str">
        <f>IF(V31="","",IF(V32="W",0,IF(V31=2,1,IF(V31=1,2,IF(V31=0,2)))))</f>
        <v/>
      </c>
      <c r="N37" s="1184"/>
      <c r="O37" s="1185"/>
      <c r="P37" s="1183" t="str">
        <f>IF(V33="","",IF(V34="W",0,IF(V33=2,1,IF(V33=1,2,IF(V33=0,2)))))</f>
        <v/>
      </c>
      <c r="Q37" s="1184"/>
      <c r="R37" s="1185"/>
      <c r="S37" s="1183" t="str">
        <f>IF(V35="","",IF(V36="W",0,IF(V35=2,1,IF(V35=1,2,IF(V35=0,2)))))</f>
        <v/>
      </c>
      <c r="T37" s="1184"/>
      <c r="U37" s="1185"/>
      <c r="V37" s="1203"/>
      <c r="W37" s="1179"/>
      <c r="X37" s="1180"/>
      <c r="Y37" s="1183"/>
      <c r="Z37" s="1184"/>
      <c r="AA37" s="1185"/>
      <c r="AB37" s="1183"/>
      <c r="AC37" s="1184"/>
      <c r="AD37" s="1185"/>
      <c r="AE37" s="1196" t="str">
        <f>IF(B37="","",SUM(G37,J37,M37,P37,S37,D37,Y37,AB37,))</f>
        <v/>
      </c>
      <c r="AF37" s="1197"/>
      <c r="AG37" s="1200"/>
      <c r="AH37" s="1186" t="str">
        <f>IF(B37="","",RANK(AE37,ГР10О))</f>
        <v/>
      </c>
    </row>
    <row r="38" spans="1:34" ht="12" hidden="1" customHeight="1" x14ac:dyDescent="0.2">
      <c r="A38" s="1176"/>
      <c r="B38" s="1209"/>
      <c r="C38" s="442" t="str">
        <f>IF(B37="","",VLOOKUP(B37,'Списки участников'!A:H,6,FALSE))</f>
        <v/>
      </c>
      <c r="D38" s="449" t="str">
        <f>IF(V26="","",IF(X26="l","W",X26))</f>
        <v/>
      </c>
      <c r="E38" s="444" t="str">
        <f>IF(W26="","",":")</f>
        <v/>
      </c>
      <c r="F38" s="450" t="str">
        <f>IF(X26="","",IF(V26="W","L",V26))</f>
        <v/>
      </c>
      <c r="G38" s="449" t="str">
        <f>IF(V28="","",IF(X28="l","W",X28))</f>
        <v/>
      </c>
      <c r="H38" s="444" t="str">
        <f>IF(W28="","",":")</f>
        <v/>
      </c>
      <c r="I38" s="450" t="str">
        <f>IF(X28="","",IF(V28="W","L",V28))</f>
        <v/>
      </c>
      <c r="J38" s="449" t="str">
        <f>IF(V30="","",IF(X30="l","W",X30))</f>
        <v/>
      </c>
      <c r="K38" s="444" t="str">
        <f>IF(W30="","",":")</f>
        <v/>
      </c>
      <c r="L38" s="450" t="str">
        <f>IF(X30="","",IF(V30="W","L",V30))</f>
        <v/>
      </c>
      <c r="M38" s="449" t="str">
        <f>IF(V32="","",IF(X32="l","W",X32))</f>
        <v/>
      </c>
      <c r="N38" s="444" t="str">
        <f>IF(W32="","",":")</f>
        <v/>
      </c>
      <c r="O38" s="450" t="str">
        <f>IF(X32="","",IF(V32="W","L",V32))</f>
        <v/>
      </c>
      <c r="P38" s="449" t="str">
        <f>IF(V34="","",IF(X34="l","W",X34))</f>
        <v/>
      </c>
      <c r="Q38" s="444" t="str">
        <f>IF(W34="","",":")</f>
        <v/>
      </c>
      <c r="R38" s="450" t="str">
        <f>IF(X34="","",IF(V34="W","L",V34))</f>
        <v/>
      </c>
      <c r="S38" s="449" t="str">
        <f>IF(V36="","",IF(X36="l","W",X36))</f>
        <v/>
      </c>
      <c r="T38" s="444" t="str">
        <f>IF(W36="","",":")</f>
        <v/>
      </c>
      <c r="U38" s="450" t="str">
        <f>IF(X36="","",IF(V36="W","L",V36))</f>
        <v/>
      </c>
      <c r="V38" s="1195"/>
      <c r="W38" s="1181"/>
      <c r="X38" s="1182"/>
      <c r="Y38" s="443"/>
      <c r="Z38" s="444" t="str">
        <f>IF(Y37="","",":")</f>
        <v/>
      </c>
      <c r="AA38" s="445"/>
      <c r="AB38" s="443"/>
      <c r="AC38" s="444" t="str">
        <f>IF(AB37="","",":")</f>
        <v/>
      </c>
      <c r="AD38" s="445"/>
      <c r="AE38" s="1198"/>
      <c r="AF38" s="1199"/>
      <c r="AG38" s="1201"/>
      <c r="AH38" s="1186"/>
    </row>
    <row r="39" spans="1:34" ht="12" hidden="1" customHeight="1" x14ac:dyDescent="0.2">
      <c r="A39" s="1175">
        <v>8</v>
      </c>
      <c r="B39" s="1208"/>
      <c r="C39" s="441" t="str">
        <f>IF(B39="","",VLOOKUP(B39,'Списки участников'!A:H,3,FALSE))</f>
        <v/>
      </c>
      <c r="D39" s="1183" t="str">
        <f>IF(Y25="","",IF(Y26="W",0,IF(Y25=2,1,IF(Y25=1,2,IF(Y25=0,2)))))</f>
        <v/>
      </c>
      <c r="E39" s="1184"/>
      <c r="F39" s="1185"/>
      <c r="G39" s="1183" t="str">
        <f>IF(Y27="","",IF(Y28="W",0,IF(Y27=2,1,IF(Y27=1,2,IF(Y27=0,2)))))</f>
        <v/>
      </c>
      <c r="H39" s="1184"/>
      <c r="I39" s="1185"/>
      <c r="J39" s="1183" t="str">
        <f>IF(Y29="","",IF(Y30="W",0,IF(Y29=2,1,IF(Y29=1,2,IF(Y29=0,2)))))</f>
        <v/>
      </c>
      <c r="K39" s="1184"/>
      <c r="L39" s="1185"/>
      <c r="M39" s="1183" t="str">
        <f>IF(Y31="","",IF(Y32="W",0,IF(Y31=2,1,IF(Y31=1,2,IF(Y31=0,2)))))</f>
        <v/>
      </c>
      <c r="N39" s="1184"/>
      <c r="O39" s="1185"/>
      <c r="P39" s="1183" t="str">
        <f>IF(Y33="","",IF(Y34="W",0,IF(Y33=2,1,IF(Y33=1,2,IF(Y33=0,2)))))</f>
        <v/>
      </c>
      <c r="Q39" s="1184"/>
      <c r="R39" s="1185"/>
      <c r="S39" s="1183" t="str">
        <f>IF(Y35="","",IF(Y36="W",0,IF(Y35=2,1,IF(Y35=1,2,IF(Y35=0,2)))))</f>
        <v/>
      </c>
      <c r="T39" s="1184"/>
      <c r="U39" s="1185"/>
      <c r="V39" s="1183" t="str">
        <f>IF(Y37="","",IF(Y38="W",0,IF(Y37=2,1,IF(Y37=1,2,IF(Y37=0,2)))))</f>
        <v/>
      </c>
      <c r="W39" s="1184"/>
      <c r="X39" s="1185"/>
      <c r="Y39" s="1192"/>
      <c r="Z39" s="1193"/>
      <c r="AA39" s="1194"/>
      <c r="AB39" s="1183"/>
      <c r="AC39" s="1184"/>
      <c r="AD39" s="1185"/>
      <c r="AE39" s="1196" t="str">
        <f>IF(B39="","",SUM(G39,J39,M39,P39,S39,V39,D39,AB39,))</f>
        <v/>
      </c>
      <c r="AF39" s="1197"/>
      <c r="AG39" s="1200"/>
      <c r="AH39" s="1186" t="str">
        <f>IF(B39="","",RANK(AE39,ГР10О))</f>
        <v/>
      </c>
    </row>
    <row r="40" spans="1:34" ht="12" hidden="1" customHeight="1" x14ac:dyDescent="0.2">
      <c r="A40" s="1176"/>
      <c r="B40" s="1209"/>
      <c r="C40" s="442" t="str">
        <f>IF(B39="","",VLOOKUP(B39,'Списки участников'!A:H,6,FALSE))</f>
        <v/>
      </c>
      <c r="D40" s="449" t="str">
        <f>IF(Y26="","",IF(AA26="l","W",AA26))</f>
        <v/>
      </c>
      <c r="E40" s="444" t="str">
        <f>IF(Z26="","",":")</f>
        <v/>
      </c>
      <c r="F40" s="450" t="str">
        <f>IF(AA26="","",IF(Y26="W","L",Y26))</f>
        <v/>
      </c>
      <c r="G40" s="449" t="str">
        <f>IF(Y28="","",IF(AA28="l","W",AA28))</f>
        <v/>
      </c>
      <c r="H40" s="444" t="str">
        <f>IF(Z28="","",":")</f>
        <v/>
      </c>
      <c r="I40" s="450" t="str">
        <f>IF(AA28="","",IF(Y28="W","L",Y28))</f>
        <v/>
      </c>
      <c r="J40" s="449" t="str">
        <f>IF(Y30="","",IF(AA30="l","W",AA30))</f>
        <v/>
      </c>
      <c r="K40" s="444" t="str">
        <f>IF(Z30="","",":")</f>
        <v/>
      </c>
      <c r="L40" s="450" t="str">
        <f>IF(AA30="","",IF(Y30="W","L",Y30))</f>
        <v/>
      </c>
      <c r="M40" s="449" t="str">
        <f>IF(Y32="","",IF(AA32="l","W",AA32))</f>
        <v/>
      </c>
      <c r="N40" s="444" t="str">
        <f>IF(Z32="","",":")</f>
        <v/>
      </c>
      <c r="O40" s="450" t="str">
        <f>IF(AA32="","",IF(Y32="W","L",Y32))</f>
        <v/>
      </c>
      <c r="P40" s="449" t="str">
        <f>IF(Y34="","",IF(AA34="l","W",AA34))</f>
        <v/>
      </c>
      <c r="Q40" s="444" t="str">
        <f>IF(Z34="","",":")</f>
        <v/>
      </c>
      <c r="R40" s="450" t="str">
        <f>IF(AA34="","",IF(Y34="W","L",Y34))</f>
        <v/>
      </c>
      <c r="S40" s="449" t="str">
        <f>IF(Y36="","",IF(AA36="l","W",AA36))</f>
        <v/>
      </c>
      <c r="T40" s="444" t="str">
        <f>IF(Z36="","",":")</f>
        <v/>
      </c>
      <c r="U40" s="450" t="str">
        <f>IF(AA36="","",IF(Y36="W","L",Y36))</f>
        <v/>
      </c>
      <c r="V40" s="449" t="str">
        <f>IF(Y38="","",IF(AA38="l","W",AA38))</f>
        <v/>
      </c>
      <c r="W40" s="444" t="str">
        <f>IF(Z38="","",":")</f>
        <v/>
      </c>
      <c r="X40" s="450" t="str">
        <f>IF(AA38="","",IF(Y38="W","L",Y38))</f>
        <v/>
      </c>
      <c r="Y40" s="1195"/>
      <c r="Z40" s="1181"/>
      <c r="AA40" s="1182"/>
      <c r="AB40" s="443"/>
      <c r="AC40" s="444" t="str">
        <f>IF(AB39="","",":")</f>
        <v/>
      </c>
      <c r="AD40" s="445"/>
      <c r="AE40" s="1198"/>
      <c r="AF40" s="1199"/>
      <c r="AG40" s="1201"/>
      <c r="AH40" s="1186"/>
    </row>
    <row r="41" spans="1:34" ht="12" hidden="1" customHeight="1" x14ac:dyDescent="0.2">
      <c r="A41" s="1175">
        <v>9</v>
      </c>
      <c r="B41" s="1177"/>
      <c r="C41" s="441" t="str">
        <f>IF(B41="","",VLOOKUP(B41,'Списки участников'!A:H,3,FALSE))</f>
        <v/>
      </c>
      <c r="D41" s="1183" t="str">
        <f>IF(AB25="","",IF(AB26="W",0,IF(AB25=2,1,IF(AB25=1,2,IF(AB25=0,2)))))</f>
        <v/>
      </c>
      <c r="E41" s="1184"/>
      <c r="F41" s="1185"/>
      <c r="G41" s="1183" t="str">
        <f>IF(AB27="","",IF(AB28="W",0,IF(AB27=2,1,IF(AB27=1,2,IF(AB27=0,2)))))</f>
        <v/>
      </c>
      <c r="H41" s="1184"/>
      <c r="I41" s="1185"/>
      <c r="J41" s="1183" t="str">
        <f>IF(AB29="","",IF(AB30="W",0,IF(AB29=2,1,IF(AB29=1,2,IF(AB29=0,2)))))</f>
        <v/>
      </c>
      <c r="K41" s="1184"/>
      <c r="L41" s="1185"/>
      <c r="M41" s="1183" t="str">
        <f>IF(AB31="","",IF(AB32="W",0,IF(AB31=2,1,IF(AB31=1,2,IF(AB31=0,2)))))</f>
        <v/>
      </c>
      <c r="N41" s="1184"/>
      <c r="O41" s="1185"/>
      <c r="P41" s="1183" t="str">
        <f>IF(AB33="","",IF(AB34="W",0,IF(AB33=2,1,IF(AB33=1,2,IF(AB33=0,2)))))</f>
        <v/>
      </c>
      <c r="Q41" s="1184"/>
      <c r="R41" s="1185"/>
      <c r="S41" s="1183" t="str">
        <f>IF(AB35="","",IF(AB36="W",0,IF(AB35=2,1,IF(AB35=1,2,IF(AB35=0,2)))))</f>
        <v/>
      </c>
      <c r="T41" s="1184"/>
      <c r="U41" s="1185"/>
      <c r="V41" s="1183" t="str">
        <f>IF(AB37="","",IF(AB38="W",0,IF(AB37=2,1,IF(AB37=1,2,IF(AB37=0,2)))))</f>
        <v/>
      </c>
      <c r="W41" s="1184"/>
      <c r="X41" s="1185"/>
      <c r="Y41" s="1183" t="str">
        <f>IF(AB39="","",IF(AB40="W",0,IF(AB39=2,1,IF(AB39=1,2,IF(AB39=0,2)))))</f>
        <v/>
      </c>
      <c r="Z41" s="1184"/>
      <c r="AA41" s="1185"/>
      <c r="AB41" s="1203"/>
      <c r="AC41" s="1179"/>
      <c r="AD41" s="1180"/>
      <c r="AE41" s="1196" t="str">
        <f>IF(B41="","",SUM(G41,J41,M41,P41,S41,V41,Y41,D41,))</f>
        <v/>
      </c>
      <c r="AF41" s="1197"/>
      <c r="AG41" s="1200"/>
      <c r="AH41" s="1186" t="str">
        <f>IF(B41="","",RANK(AE41,ГР10О))</f>
        <v/>
      </c>
    </row>
    <row r="42" spans="1:34" ht="12" hidden="1" customHeight="1" x14ac:dyDescent="0.2">
      <c r="A42" s="1176"/>
      <c r="B42" s="1178"/>
      <c r="C42" s="442" t="str">
        <f>IF(B41="","",VLOOKUP(B41,'Списки участников'!A:H,6,FALSE))</f>
        <v/>
      </c>
      <c r="D42" s="449" t="str">
        <f>IF(AB26="","",IF(AD26="l","W",AD26))</f>
        <v/>
      </c>
      <c r="E42" s="444" t="str">
        <f>IF(AC26="","",":")</f>
        <v/>
      </c>
      <c r="F42" s="450" t="str">
        <f>IF(AD26="","",IF(AB26="W","L",AB26))</f>
        <v/>
      </c>
      <c r="G42" s="449" t="str">
        <f>IF(AB28="","",IF(AD28="l","W",AD28))</f>
        <v/>
      </c>
      <c r="H42" s="444" t="str">
        <f>IF(AC28="","",":")</f>
        <v/>
      </c>
      <c r="I42" s="450" t="str">
        <f>IF(AD28="","",IF(AB28="W","L",AB28))</f>
        <v/>
      </c>
      <c r="J42" s="449" t="str">
        <f>IF(AB30="","",IF(AD30="l","W",AD30))</f>
        <v/>
      </c>
      <c r="K42" s="444" t="str">
        <f>IF(AC30="","",":")</f>
        <v/>
      </c>
      <c r="L42" s="450" t="str">
        <f>IF(AD30="","",IF(AB30="W","L",AB30))</f>
        <v/>
      </c>
      <c r="M42" s="449" t="str">
        <f>IF(AB32="","",IF(AD32="l","W",AD32))</f>
        <v/>
      </c>
      <c r="N42" s="444" t="str">
        <f>IF(AC32="","",":")</f>
        <v/>
      </c>
      <c r="O42" s="450" t="str">
        <f>IF(AD32="","",IF(AB32="W","L",AB32))</f>
        <v/>
      </c>
      <c r="P42" s="449" t="str">
        <f>IF(AB34="","",IF(AD34="l","W",AD34))</f>
        <v/>
      </c>
      <c r="Q42" s="444" t="str">
        <f>IF(AC34="","",":")</f>
        <v/>
      </c>
      <c r="R42" s="450" t="str">
        <f>IF(AD34="","",IF(AB34="W","L",AB34))</f>
        <v/>
      </c>
      <c r="S42" s="449" t="str">
        <f>IF(AB36="","",IF(AD36="l","W",AD36))</f>
        <v/>
      </c>
      <c r="T42" s="444" t="str">
        <f>IF(AC36="","",":")</f>
        <v/>
      </c>
      <c r="U42" s="450" t="str">
        <f>IF(AD36="","",IF(AB36="W","L",AB36))</f>
        <v/>
      </c>
      <c r="V42" s="449" t="str">
        <f>IF(AB38="","",IF(AD38="l","W",AD38))</f>
        <v/>
      </c>
      <c r="W42" s="444" t="str">
        <f>IF(AC38="","",":")</f>
        <v/>
      </c>
      <c r="X42" s="450" t="str">
        <f>IF(AD38="","",IF(AB38="W","L",AB38))</f>
        <v/>
      </c>
      <c r="Y42" s="449" t="str">
        <f>IF(AB40="","",IF(AD40="l","W",AD40))</f>
        <v/>
      </c>
      <c r="Z42" s="444" t="str">
        <f>IF(AC40="","",":")</f>
        <v/>
      </c>
      <c r="AA42" s="450" t="str">
        <f>IF(AD40="","",IF(AB40="W","L",AB40))</f>
        <v/>
      </c>
      <c r="AB42" s="1195"/>
      <c r="AC42" s="1181"/>
      <c r="AD42" s="1182"/>
      <c r="AE42" s="1198"/>
      <c r="AF42" s="1199"/>
      <c r="AG42" s="1201"/>
      <c r="AH42" s="1186"/>
    </row>
    <row r="43" spans="1:34" ht="12" customHeight="1" x14ac:dyDescent="0.25">
      <c r="A43" s="128"/>
      <c r="B43" s="128"/>
      <c r="C43" s="452"/>
      <c r="D43" s="128"/>
      <c r="E43" s="128"/>
      <c r="F43" s="128"/>
      <c r="G43" s="1204" t="s">
        <v>956</v>
      </c>
      <c r="H43" s="1204"/>
      <c r="I43" s="1204"/>
      <c r="J43" s="1204"/>
      <c r="K43" s="1204"/>
      <c r="L43" s="1204"/>
      <c r="M43" s="1204"/>
      <c r="N43" s="1204"/>
      <c r="O43" s="1204"/>
      <c r="P43" s="1204"/>
      <c r="Q43" s="1204"/>
      <c r="R43" s="1204"/>
      <c r="S43" s="1204"/>
      <c r="T43" s="1204"/>
      <c r="U43" s="1204"/>
      <c r="V43" s="1204"/>
      <c r="W43" s="1204"/>
      <c r="X43" s="1204"/>
      <c r="Y43" s="1204"/>
      <c r="Z43" s="1204"/>
      <c r="AA43" s="1204"/>
      <c r="AB43" s="128"/>
      <c r="AC43" s="128"/>
      <c r="AD43" s="128"/>
      <c r="AE43" s="128"/>
      <c r="AF43" s="128"/>
      <c r="AG43" s="128"/>
      <c r="AH43" s="128"/>
    </row>
    <row r="44" spans="1:34" ht="12" customHeight="1" x14ac:dyDescent="0.2">
      <c r="A44" s="129" t="s">
        <v>3</v>
      </c>
      <c r="B44" s="846"/>
      <c r="C44" s="131" t="s">
        <v>757</v>
      </c>
      <c r="D44" s="1170">
        <v>1</v>
      </c>
      <c r="E44" s="1171"/>
      <c r="F44" s="1172"/>
      <c r="G44" s="1170">
        <v>2</v>
      </c>
      <c r="H44" s="1171"/>
      <c r="I44" s="1172"/>
      <c r="J44" s="1170">
        <v>3</v>
      </c>
      <c r="K44" s="1171"/>
      <c r="L44" s="1172"/>
      <c r="M44" s="1170">
        <v>4</v>
      </c>
      <c r="N44" s="1171"/>
      <c r="O44" s="1172"/>
      <c r="P44" s="1170">
        <v>5</v>
      </c>
      <c r="Q44" s="1171"/>
      <c r="R44" s="1172"/>
      <c r="S44" s="1170">
        <v>6</v>
      </c>
      <c r="T44" s="1171"/>
      <c r="U44" s="1172"/>
      <c r="V44" s="1170">
        <v>7</v>
      </c>
      <c r="W44" s="1171"/>
      <c r="X44" s="1172"/>
      <c r="Y44" s="1170">
        <v>8</v>
      </c>
      <c r="Z44" s="1171"/>
      <c r="AA44" s="1172"/>
      <c r="AB44" s="1170">
        <v>9</v>
      </c>
      <c r="AC44" s="1171"/>
      <c r="AD44" s="1172"/>
      <c r="AE44" s="1173" t="s">
        <v>758</v>
      </c>
      <c r="AF44" s="1174"/>
      <c r="AG44" s="847" t="s">
        <v>759</v>
      </c>
      <c r="AH44" s="440" t="s">
        <v>100</v>
      </c>
    </row>
    <row r="45" spans="1:34" ht="12" customHeight="1" x14ac:dyDescent="0.2">
      <c r="A45" s="1175">
        <v>1</v>
      </c>
      <c r="B45" s="1205"/>
      <c r="C45" s="441" t="str">
        <f>IF(B45="","",VLOOKUP(B45,'Списки участников'!A:H,3,FALSE))</f>
        <v/>
      </c>
      <c r="D45" s="1179"/>
      <c r="E45" s="1179"/>
      <c r="F45" s="1180"/>
      <c r="G45" s="1183"/>
      <c r="H45" s="1184"/>
      <c r="I45" s="1185"/>
      <c r="J45" s="1183"/>
      <c r="K45" s="1184"/>
      <c r="L45" s="1185"/>
      <c r="M45" s="1183"/>
      <c r="N45" s="1184"/>
      <c r="O45" s="1185"/>
      <c r="P45" s="1183"/>
      <c r="Q45" s="1184"/>
      <c r="R45" s="1185"/>
      <c r="S45" s="1183"/>
      <c r="T45" s="1184"/>
      <c r="U45" s="1185"/>
      <c r="V45" s="1183"/>
      <c r="W45" s="1184"/>
      <c r="X45" s="1185"/>
      <c r="Y45" s="1183"/>
      <c r="Z45" s="1184"/>
      <c r="AA45" s="1185"/>
      <c r="AB45" s="1183"/>
      <c r="AC45" s="1184"/>
      <c r="AD45" s="1185"/>
      <c r="AE45" s="1196" t="str">
        <f>IF(B45="","",SUM(G45,J45,M45,P45,S45,V45,Y45,AB45,))</f>
        <v/>
      </c>
      <c r="AF45" s="1197"/>
      <c r="AG45" s="1187"/>
      <c r="AH45" s="1186" t="str">
        <f>IF(B45="","",RANK(AE45,ГР11О))</f>
        <v/>
      </c>
    </row>
    <row r="46" spans="1:34" ht="12" customHeight="1" x14ac:dyDescent="0.2">
      <c r="A46" s="1176"/>
      <c r="B46" s="1206"/>
      <c r="C46" s="442" t="str">
        <f>IF(B45="","",VLOOKUP(B45,'Списки участников'!A:H,6,FALSE))</f>
        <v/>
      </c>
      <c r="D46" s="1181"/>
      <c r="E46" s="1181"/>
      <c r="F46" s="1182"/>
      <c r="G46" s="443"/>
      <c r="H46" s="444" t="str">
        <f>IF(G45="","",":")</f>
        <v/>
      </c>
      <c r="I46" s="445"/>
      <c r="J46" s="443"/>
      <c r="K46" s="444" t="str">
        <f>IF(J45="","",":")</f>
        <v/>
      </c>
      <c r="L46" s="445"/>
      <c r="M46" s="443"/>
      <c r="N46" s="444" t="str">
        <f>IF(M46="","",":")</f>
        <v/>
      </c>
      <c r="O46" s="445"/>
      <c r="P46" s="443"/>
      <c r="Q46" s="444" t="str">
        <f>IF(P46="","",":")</f>
        <v/>
      </c>
      <c r="R46" s="445"/>
      <c r="S46" s="443"/>
      <c r="T46" s="444" t="str">
        <f>IF(S46="","",":")</f>
        <v/>
      </c>
      <c r="U46" s="445"/>
      <c r="V46" s="443"/>
      <c r="W46" s="444" t="str">
        <f>IF(V46="","",":")</f>
        <v/>
      </c>
      <c r="X46" s="445"/>
      <c r="Y46" s="443"/>
      <c r="Z46" s="444" t="str">
        <f>IF(Y46="","",":")</f>
        <v/>
      </c>
      <c r="AA46" s="445"/>
      <c r="AB46" s="443"/>
      <c r="AC46" s="444" t="str">
        <f>IF(AB46="","",":")</f>
        <v/>
      </c>
      <c r="AD46" s="445"/>
      <c r="AE46" s="1198"/>
      <c r="AF46" s="1199"/>
      <c r="AG46" s="1188"/>
      <c r="AH46" s="1186"/>
    </row>
    <row r="47" spans="1:34" ht="12" customHeight="1" x14ac:dyDescent="0.2">
      <c r="A47" s="1175">
        <v>2</v>
      </c>
      <c r="B47" s="1205"/>
      <c r="C47" s="441" t="str">
        <f>IF(B47="","",VLOOKUP(B47,'Списки участников'!A:H,3,FALSE))</f>
        <v/>
      </c>
      <c r="D47" s="1189" t="str">
        <f>IF(G45="","",IF(G46="W",0,IF(G45=2,1,IF(G45=1,2,IF(G45=0,2)))))</f>
        <v/>
      </c>
      <c r="E47" s="1190"/>
      <c r="F47" s="1191"/>
      <c r="G47" s="1192"/>
      <c r="H47" s="1193"/>
      <c r="I47" s="1194"/>
      <c r="J47" s="1183"/>
      <c r="K47" s="1184"/>
      <c r="L47" s="1185"/>
      <c r="M47" s="1183"/>
      <c r="N47" s="1184"/>
      <c r="O47" s="1185"/>
      <c r="P47" s="1183"/>
      <c r="Q47" s="1184"/>
      <c r="R47" s="1185"/>
      <c r="S47" s="1183"/>
      <c r="T47" s="1184"/>
      <c r="U47" s="1185"/>
      <c r="V47" s="1183"/>
      <c r="W47" s="1184"/>
      <c r="X47" s="1185"/>
      <c r="Y47" s="1183"/>
      <c r="Z47" s="1184"/>
      <c r="AA47" s="1185"/>
      <c r="AB47" s="1183"/>
      <c r="AC47" s="1184"/>
      <c r="AD47" s="1185"/>
      <c r="AE47" s="1196" t="str">
        <f>IF(B47="","",SUM(D47,J47,M47,P47,S47,V47,Y47,AB47,))</f>
        <v/>
      </c>
      <c r="AF47" s="1197"/>
      <c r="AG47" s="1187"/>
      <c r="AH47" s="1186" t="str">
        <f>IF(B47="","",RANK(AE47,ГР11О))</f>
        <v/>
      </c>
    </row>
    <row r="48" spans="1:34" ht="12" customHeight="1" x14ac:dyDescent="0.2">
      <c r="A48" s="1176"/>
      <c r="B48" s="1206"/>
      <c r="C48" s="442" t="str">
        <f>IF(B47="","",VLOOKUP(B47,'Списки участников'!A:H,6,FALSE))</f>
        <v/>
      </c>
      <c r="D48" s="446" t="str">
        <f>IF(G46="","",IF(I46="l","W",I46))</f>
        <v/>
      </c>
      <c r="E48" s="447" t="str">
        <f>IF(G45="","",":")</f>
        <v/>
      </c>
      <c r="F48" s="448" t="str">
        <f>IF(I46="","",IF(G46="W","L",G46))</f>
        <v/>
      </c>
      <c r="G48" s="1195"/>
      <c r="H48" s="1181"/>
      <c r="I48" s="1182"/>
      <c r="J48" s="443"/>
      <c r="K48" s="444" t="str">
        <f>IF(J47="","",":")</f>
        <v/>
      </c>
      <c r="L48" s="445"/>
      <c r="M48" s="443"/>
      <c r="N48" s="444" t="str">
        <f>IF(M47="","",":")</f>
        <v/>
      </c>
      <c r="O48" s="445"/>
      <c r="P48" s="443"/>
      <c r="Q48" s="444" t="str">
        <f>IF(P47="","",":")</f>
        <v/>
      </c>
      <c r="R48" s="445"/>
      <c r="S48" s="443"/>
      <c r="T48" s="444" t="str">
        <f>IF(S48="","",":")</f>
        <v/>
      </c>
      <c r="U48" s="445"/>
      <c r="V48" s="443"/>
      <c r="W48" s="444" t="str">
        <f>IF(V48="","",":")</f>
        <v/>
      </c>
      <c r="X48" s="445"/>
      <c r="Y48" s="443"/>
      <c r="Z48" s="444" t="str">
        <f>IF(Y48="","",":")</f>
        <v/>
      </c>
      <c r="AA48" s="445"/>
      <c r="AB48" s="443"/>
      <c r="AC48" s="444" t="str">
        <f>IF(AB48="","",":")</f>
        <v/>
      </c>
      <c r="AD48" s="445"/>
      <c r="AE48" s="1198"/>
      <c r="AF48" s="1199"/>
      <c r="AG48" s="1188"/>
      <c r="AH48" s="1186"/>
    </row>
    <row r="49" spans="1:34" ht="12" customHeight="1" x14ac:dyDescent="0.2">
      <c r="A49" s="1175">
        <v>3</v>
      </c>
      <c r="B49" s="1205"/>
      <c r="C49" s="441" t="str">
        <f>IF(B49="","",VLOOKUP(B49,'Списки участников'!A:H,3,FALSE))</f>
        <v/>
      </c>
      <c r="D49" s="1189" t="str">
        <f>IF(J45="","",IF(J46="W",0,IF(J45=2,1,IF(J45=1,2,IF(J45=0,2)))))</f>
        <v/>
      </c>
      <c r="E49" s="1190"/>
      <c r="F49" s="1191"/>
      <c r="G49" s="1183" t="str">
        <f>IF(J47="","",IF(J48="W",0,IF(J47=2,1,IF(J47=1,2,IF(J47=0,2)))))</f>
        <v/>
      </c>
      <c r="H49" s="1184"/>
      <c r="I49" s="1185"/>
      <c r="J49" s="1192"/>
      <c r="K49" s="1193"/>
      <c r="L49" s="1194"/>
      <c r="M49" s="1183"/>
      <c r="N49" s="1184"/>
      <c r="O49" s="1185"/>
      <c r="P49" s="1183"/>
      <c r="Q49" s="1184"/>
      <c r="R49" s="1185"/>
      <c r="S49" s="1183"/>
      <c r="T49" s="1184"/>
      <c r="U49" s="1185"/>
      <c r="V49" s="1183"/>
      <c r="W49" s="1184"/>
      <c r="X49" s="1185"/>
      <c r="Y49" s="1183"/>
      <c r="Z49" s="1184"/>
      <c r="AA49" s="1185"/>
      <c r="AB49" s="1183"/>
      <c r="AC49" s="1184"/>
      <c r="AD49" s="1185"/>
      <c r="AE49" s="1196" t="str">
        <f>IF(B49="","",SUM(G49,D49,M49,P49,S49,V49,Y49,AB49,))</f>
        <v/>
      </c>
      <c r="AF49" s="1197"/>
      <c r="AG49" s="1200"/>
      <c r="AH49" s="1186" t="str">
        <f>IF(B49="","",RANK(AE49,ГР11О))</f>
        <v/>
      </c>
    </row>
    <row r="50" spans="1:34" ht="12" customHeight="1" x14ac:dyDescent="0.2">
      <c r="A50" s="1176"/>
      <c r="B50" s="1206"/>
      <c r="C50" s="442" t="str">
        <f>IF(B49="","",VLOOKUP(B49,'Списки участников'!A:H,6,FALSE))</f>
        <v/>
      </c>
      <c r="D50" s="449" t="str">
        <f>IF(J46="","",IF(L46="l","W",L46))</f>
        <v/>
      </c>
      <c r="E50" s="444" t="str">
        <f>IF(K46="","",":")</f>
        <v/>
      </c>
      <c r="F50" s="450" t="str">
        <f>IF(L46="","",IF(J46="W","L",J46))</f>
        <v/>
      </c>
      <c r="G50" s="449" t="str">
        <f>IF(J48="","",IF(L48="l","W",L48))</f>
        <v/>
      </c>
      <c r="H50" s="444" t="str">
        <f>IF(K48="","",":")</f>
        <v/>
      </c>
      <c r="I50" s="450" t="str">
        <f>IF(L48="","",IF(J48="W","L",J48))</f>
        <v/>
      </c>
      <c r="J50" s="1195"/>
      <c r="K50" s="1181"/>
      <c r="L50" s="1182"/>
      <c r="M50" s="443"/>
      <c r="N50" s="444" t="str">
        <f>IF(M49="","",":")</f>
        <v/>
      </c>
      <c r="O50" s="445"/>
      <c r="P50" s="443"/>
      <c r="Q50" s="444" t="str">
        <f>IF(P49="","",":")</f>
        <v/>
      </c>
      <c r="R50" s="445"/>
      <c r="S50" s="443"/>
      <c r="T50" s="444" t="str">
        <f>IF(S49="","",":")</f>
        <v/>
      </c>
      <c r="U50" s="445"/>
      <c r="V50" s="443"/>
      <c r="W50" s="444" t="str">
        <f>IF(V50="","",":")</f>
        <v/>
      </c>
      <c r="X50" s="445"/>
      <c r="Y50" s="443"/>
      <c r="Z50" s="444" t="str">
        <f>IF(Y50="","",":")</f>
        <v/>
      </c>
      <c r="AA50" s="445"/>
      <c r="AB50" s="443"/>
      <c r="AC50" s="444" t="str">
        <f>IF(AB50="","",":")</f>
        <v/>
      </c>
      <c r="AD50" s="445"/>
      <c r="AE50" s="1198"/>
      <c r="AF50" s="1199"/>
      <c r="AG50" s="1201"/>
      <c r="AH50" s="1186"/>
    </row>
    <row r="51" spans="1:34" ht="12" customHeight="1" x14ac:dyDescent="0.2">
      <c r="A51" s="1175">
        <v>4</v>
      </c>
      <c r="B51" s="1205"/>
      <c r="C51" s="441" t="str">
        <f>IF(B51="","",VLOOKUP(B51,'Списки участников'!A:H,3,FALSE))</f>
        <v/>
      </c>
      <c r="D51" s="1183" t="str">
        <f>IF(M45="","",IF(M46="W",0,IF(M45=2,1,IF(M45=1,2,IF(M45=0,2)))))</f>
        <v/>
      </c>
      <c r="E51" s="1184"/>
      <c r="F51" s="1185"/>
      <c r="G51" s="1183" t="str">
        <f>IF(M47="","",IF(M48="W",0,IF(M47=2,1,IF(M47=1,2,IF(M47=0,2)))))</f>
        <v/>
      </c>
      <c r="H51" s="1184"/>
      <c r="I51" s="1185"/>
      <c r="J51" s="1183" t="str">
        <f>IF(M49="","",IF(M50="W",0,IF(M49=2,1,IF(M49=1,2,IF(M49=0,2)))))</f>
        <v/>
      </c>
      <c r="K51" s="1184"/>
      <c r="L51" s="1185"/>
      <c r="M51" s="1193"/>
      <c r="N51" s="1193"/>
      <c r="O51" s="1193"/>
      <c r="P51" s="1183"/>
      <c r="Q51" s="1184"/>
      <c r="R51" s="1185"/>
      <c r="S51" s="1183"/>
      <c r="T51" s="1184"/>
      <c r="U51" s="1185"/>
      <c r="V51" s="1183"/>
      <c r="W51" s="1184"/>
      <c r="X51" s="1185"/>
      <c r="Y51" s="1183"/>
      <c r="Z51" s="1184"/>
      <c r="AA51" s="1185"/>
      <c r="AB51" s="1183"/>
      <c r="AC51" s="1184"/>
      <c r="AD51" s="1185"/>
      <c r="AE51" s="1196" t="str">
        <f>IF(B51="","",SUM(G51,J51,D51,P51,S51,V51,Y51,AB51,))</f>
        <v/>
      </c>
      <c r="AF51" s="1197"/>
      <c r="AG51" s="1200"/>
      <c r="AH51" s="1186" t="str">
        <f>IF(B51="","",RANK(AE51,ГР11О))</f>
        <v/>
      </c>
    </row>
    <row r="52" spans="1:34" ht="12" customHeight="1" x14ac:dyDescent="0.2">
      <c r="A52" s="1176"/>
      <c r="B52" s="1207"/>
      <c r="C52" s="442" t="str">
        <f>IF(B51="","",VLOOKUP(B51,'Списки участников'!A:H,6,FALSE))</f>
        <v/>
      </c>
      <c r="D52" s="449" t="str">
        <f>IF(M46="","",IF(O46="l","W",O46))</f>
        <v/>
      </c>
      <c r="E52" s="444" t="str">
        <f>IF(N46="","",":")</f>
        <v/>
      </c>
      <c r="F52" s="450" t="str">
        <f>IF(O46="","",IF(M46="W","L",M46))</f>
        <v/>
      </c>
      <c r="G52" s="449" t="str">
        <f>IF(M48="","",IF(O48="l","W",O48))</f>
        <v/>
      </c>
      <c r="H52" s="444" t="str">
        <f>IF(N48="","",":")</f>
        <v/>
      </c>
      <c r="I52" s="450" t="str">
        <f>IF(O48="","",IF(M48="W","L",M48))</f>
        <v/>
      </c>
      <c r="J52" s="449" t="str">
        <f>IF(M50="","",IF(O50="l","W",O50))</f>
        <v/>
      </c>
      <c r="K52" s="444" t="str">
        <f>IF(N50="","",":")</f>
        <v/>
      </c>
      <c r="L52" s="450" t="str">
        <f>IF(O50="","",IF(M50="W","L",M50))</f>
        <v/>
      </c>
      <c r="M52" s="1202"/>
      <c r="N52" s="1202"/>
      <c r="O52" s="1202"/>
      <c r="P52" s="443"/>
      <c r="Q52" s="444" t="str">
        <f>IF(P51="","",":")</f>
        <v/>
      </c>
      <c r="R52" s="445"/>
      <c r="S52" s="443"/>
      <c r="T52" s="444" t="str">
        <f>IF(S51="","",":")</f>
        <v/>
      </c>
      <c r="U52" s="445"/>
      <c r="V52" s="443"/>
      <c r="W52" s="444" t="str">
        <f>IF(V51="","",":")</f>
        <v/>
      </c>
      <c r="X52" s="445"/>
      <c r="Y52" s="443"/>
      <c r="Z52" s="444" t="str">
        <f>IF(Y52="","",":")</f>
        <v/>
      </c>
      <c r="AA52" s="445"/>
      <c r="AB52" s="443"/>
      <c r="AC52" s="444" t="str">
        <f>IF(AB52="","",":")</f>
        <v/>
      </c>
      <c r="AD52" s="445"/>
      <c r="AE52" s="1198"/>
      <c r="AF52" s="1199"/>
      <c r="AG52" s="1201"/>
      <c r="AH52" s="1186"/>
    </row>
    <row r="53" spans="1:34" ht="12" hidden="1" customHeight="1" x14ac:dyDescent="0.2">
      <c r="A53" s="1175">
        <v>5</v>
      </c>
      <c r="B53" s="1205"/>
      <c r="C53" s="441" t="str">
        <f>IF(B53="","",VLOOKUP(B53,'Списки участников'!A:H,3,FALSE))</f>
        <v/>
      </c>
      <c r="D53" s="1183" t="str">
        <f>IF(P45="","",IF(P46="W",0,IF(P45=2,1,IF(P45=1,2,IF(P45=0,2)))))</f>
        <v/>
      </c>
      <c r="E53" s="1184"/>
      <c r="F53" s="1185"/>
      <c r="G53" s="1183" t="str">
        <f>IF(P47="","",IF(P48="W",0,IF(P47=2,1,IF(P47=1,2,IF(P47=0,2)))))</f>
        <v/>
      </c>
      <c r="H53" s="1184"/>
      <c r="I53" s="1185"/>
      <c r="J53" s="1183" t="str">
        <f>IF(P49="","",IF(P50="W",0,IF(P49=2,1,IF(P49=1,2,IF(P49=0,2)))))</f>
        <v/>
      </c>
      <c r="K53" s="1184"/>
      <c r="L53" s="1185"/>
      <c r="M53" s="1183" t="str">
        <f>IF(P51="","",IF(P52="W",0,IF(P51=2,1,IF(P51=1,2,IF(P51=0,2)))))</f>
        <v/>
      </c>
      <c r="N53" s="1184"/>
      <c r="O53" s="1185"/>
      <c r="P53" s="1192"/>
      <c r="Q53" s="1193"/>
      <c r="R53" s="1194"/>
      <c r="S53" s="1183"/>
      <c r="T53" s="1184"/>
      <c r="U53" s="1185"/>
      <c r="V53" s="1183"/>
      <c r="W53" s="1184"/>
      <c r="X53" s="1185"/>
      <c r="Y53" s="1183"/>
      <c r="Z53" s="1184"/>
      <c r="AA53" s="1185"/>
      <c r="AB53" s="1183"/>
      <c r="AC53" s="1184"/>
      <c r="AD53" s="1185"/>
      <c r="AE53" s="1196" t="str">
        <f>IF(B53="","",SUM(G53,J53,M53,D53,S53,V53,Y53,AB53,))</f>
        <v/>
      </c>
      <c r="AF53" s="1197"/>
      <c r="AG53" s="1200"/>
      <c r="AH53" s="1186" t="str">
        <f>IF(B53="","",RANK(AE53,ГР11О))</f>
        <v/>
      </c>
    </row>
    <row r="54" spans="1:34" ht="12" hidden="1" customHeight="1" x14ac:dyDescent="0.2">
      <c r="A54" s="1176"/>
      <c r="B54" s="1207"/>
      <c r="C54" s="442" t="str">
        <f>IF(B53="","",VLOOKUP(B53,'Списки участников'!A:H,6,FALSE))</f>
        <v/>
      </c>
      <c r="D54" s="449" t="str">
        <f>IF(P46="","",IF(R46="l","W",R46))</f>
        <v/>
      </c>
      <c r="E54" s="444" t="str">
        <f>IF(Q46="","",":")</f>
        <v/>
      </c>
      <c r="F54" s="450" t="str">
        <f>IF(R46="","",IF(P46="W","L",P46))</f>
        <v/>
      </c>
      <c r="G54" s="449" t="str">
        <f>IF(P48="","",IF(R48="l","W",R48))</f>
        <v/>
      </c>
      <c r="H54" s="444" t="str">
        <f>IF(Q48="","",":")</f>
        <v/>
      </c>
      <c r="I54" s="450" t="str">
        <f>IF(R48="","",IF(P48="W","L",P48))</f>
        <v/>
      </c>
      <c r="J54" s="449" t="str">
        <f>IF(P50="","",IF(R50="l","W",R50))</f>
        <v/>
      </c>
      <c r="K54" s="444" t="str">
        <f>IF(Q50="","",":")</f>
        <v/>
      </c>
      <c r="L54" s="450" t="str">
        <f>IF(R50="","",IF(P50="W","L",P50))</f>
        <v/>
      </c>
      <c r="M54" s="449" t="str">
        <f>IF(P52="","",IF(R52="l","W",R52))</f>
        <v/>
      </c>
      <c r="N54" s="444" t="str">
        <f>IF(Q52="","",":")</f>
        <v/>
      </c>
      <c r="O54" s="450" t="str">
        <f>IF(R52="","",IF(P52="W","L",P52))</f>
        <v/>
      </c>
      <c r="P54" s="1195"/>
      <c r="Q54" s="1181"/>
      <c r="R54" s="1182"/>
      <c r="S54" s="443"/>
      <c r="T54" s="444" t="str">
        <f>IF(S53="","",":")</f>
        <v/>
      </c>
      <c r="U54" s="445"/>
      <c r="V54" s="443"/>
      <c r="W54" s="444" t="str">
        <f>IF(V53="","",":")</f>
        <v/>
      </c>
      <c r="X54" s="445"/>
      <c r="Y54" s="443"/>
      <c r="Z54" s="444" t="str">
        <f>IF(Y53="","",":")</f>
        <v/>
      </c>
      <c r="AA54" s="445"/>
      <c r="AB54" s="443"/>
      <c r="AC54" s="444" t="str">
        <f>IF(AB54="","",":")</f>
        <v/>
      </c>
      <c r="AD54" s="445"/>
      <c r="AE54" s="1198"/>
      <c r="AF54" s="1199"/>
      <c r="AG54" s="1201"/>
      <c r="AH54" s="1186"/>
    </row>
    <row r="55" spans="1:34" ht="12" hidden="1" customHeight="1" x14ac:dyDescent="0.2">
      <c r="A55" s="1175">
        <v>6</v>
      </c>
      <c r="B55" s="1208"/>
      <c r="C55" s="441" t="str">
        <f>IF(B55="","",VLOOKUP(B55,'Списки участников'!A:H,3,FALSE))</f>
        <v/>
      </c>
      <c r="D55" s="1183" t="str">
        <f>IF(S45="","",IF(S46="W",0,IF(S45=2,1,IF(S45=1,2,IF(S45=0,2)))))</f>
        <v/>
      </c>
      <c r="E55" s="1184"/>
      <c r="F55" s="1185"/>
      <c r="G55" s="1183" t="str">
        <f>IF(S47="","",IF(S48="W",0,IF(S47=2,1,IF(S47=1,2,IF(S47=0,2)))))</f>
        <v/>
      </c>
      <c r="H55" s="1184"/>
      <c r="I55" s="1185"/>
      <c r="J55" s="1183" t="str">
        <f>IF(S49="","",IF(S50="W",0,IF(S49=2,1,IF(S49=1,2,IF(S49=0,2)))))</f>
        <v/>
      </c>
      <c r="K55" s="1184"/>
      <c r="L55" s="1185"/>
      <c r="M55" s="1183" t="str">
        <f>IF(S51="","",IF(S52="W",0,IF(S51=2,1,IF(S51=1,2,IF(S51=0,2)))))</f>
        <v/>
      </c>
      <c r="N55" s="1184"/>
      <c r="O55" s="1185"/>
      <c r="P55" s="1183" t="str">
        <f>IF(S53="","",IF(S54="W",0,IF(S53=2,1,IF(S53=1,2,IF(S53=0,2)))))</f>
        <v/>
      </c>
      <c r="Q55" s="1184"/>
      <c r="R55" s="1185"/>
      <c r="S55" s="1192"/>
      <c r="T55" s="1193"/>
      <c r="U55" s="1194"/>
      <c r="V55" s="1183"/>
      <c r="W55" s="1184"/>
      <c r="X55" s="1185"/>
      <c r="Y55" s="1183"/>
      <c r="Z55" s="1184"/>
      <c r="AA55" s="1185"/>
      <c r="AB55" s="1183"/>
      <c r="AC55" s="1184"/>
      <c r="AD55" s="1185"/>
      <c r="AE55" s="1196" t="str">
        <f>IF(B55="","",SUM(G55,J55,M55,P55,D55,V55,Y55,AB55,))</f>
        <v/>
      </c>
      <c r="AF55" s="1197"/>
      <c r="AG55" s="1200"/>
      <c r="AH55" s="1186" t="str">
        <f>IF(B55="","",RANK(AE55,ГР11О))</f>
        <v/>
      </c>
    </row>
    <row r="56" spans="1:34" ht="12" hidden="1" customHeight="1" x14ac:dyDescent="0.2">
      <c r="A56" s="1176"/>
      <c r="B56" s="1209"/>
      <c r="C56" s="442" t="str">
        <f>IF(B55="","",VLOOKUP(B55,'Списки участников'!A:H,6,FALSE))</f>
        <v/>
      </c>
      <c r="D56" s="449" t="str">
        <f>IF(S46="","",IF(U46="l","W",U46))</f>
        <v/>
      </c>
      <c r="E56" s="444" t="str">
        <f>IF(T46="","",":")</f>
        <v/>
      </c>
      <c r="F56" s="450" t="str">
        <f>IF(U46="","",IF(S46="W","L",S46))</f>
        <v/>
      </c>
      <c r="G56" s="449" t="str">
        <f>IF(S48="","",IF(U48="l","W",U48))</f>
        <v/>
      </c>
      <c r="H56" s="444" t="str">
        <f>IF(Q48="","",":")</f>
        <v/>
      </c>
      <c r="I56" s="450" t="str">
        <f>IF(U48="","",IF(S48="W","L",S48))</f>
        <v/>
      </c>
      <c r="J56" s="449" t="str">
        <f>IF(S50="","",IF(U50="l","W",U50))</f>
        <v/>
      </c>
      <c r="K56" s="444" t="str">
        <f>IF(T50="","",":")</f>
        <v/>
      </c>
      <c r="L56" s="450" t="str">
        <f>IF(U50="","",IF(S50="W","L",S50))</f>
        <v/>
      </c>
      <c r="M56" s="449" t="str">
        <f>IF(S52="","",IF(U52="l","W",U52))</f>
        <v/>
      </c>
      <c r="N56" s="444" t="str">
        <f>IF(T52="","",":")</f>
        <v/>
      </c>
      <c r="O56" s="450" t="str">
        <f>IF(U52="","",IF(S52="W","L",S52))</f>
        <v/>
      </c>
      <c r="P56" s="449" t="str">
        <f>IF(S54="","",IF(U54="l","W",U54))</f>
        <v/>
      </c>
      <c r="Q56" s="444" t="str">
        <f>IF(T54="","",":")</f>
        <v/>
      </c>
      <c r="R56" s="450" t="str">
        <f>IF(U54="","",IF(S54="W","L",S54))</f>
        <v/>
      </c>
      <c r="S56" s="1195"/>
      <c r="T56" s="1181"/>
      <c r="U56" s="1182"/>
      <c r="V56" s="443"/>
      <c r="W56" s="444" t="str">
        <f>IF(V55="","",":")</f>
        <v/>
      </c>
      <c r="X56" s="445"/>
      <c r="Y56" s="443"/>
      <c r="Z56" s="444" t="str">
        <f>IF(Y55="","",":")</f>
        <v/>
      </c>
      <c r="AA56" s="445"/>
      <c r="AB56" s="443"/>
      <c r="AC56" s="444" t="str">
        <f>IF(AB55="","",":")</f>
        <v/>
      </c>
      <c r="AD56" s="445"/>
      <c r="AE56" s="1198"/>
      <c r="AF56" s="1199"/>
      <c r="AG56" s="1201"/>
      <c r="AH56" s="1186"/>
    </row>
    <row r="57" spans="1:34" ht="12" hidden="1" customHeight="1" x14ac:dyDescent="0.2">
      <c r="A57" s="1175">
        <v>7</v>
      </c>
      <c r="B57" s="1208"/>
      <c r="C57" s="441" t="str">
        <f>IF(B57="","",VLOOKUP(B57,'Списки участников'!A:H,3,FALSE))</f>
        <v/>
      </c>
      <c r="D57" s="1183" t="str">
        <f>IF(V45="","",IF(V46="W",0,IF(V45=2,1,IF(V45=1,2,IF(V45=0,2)))))</f>
        <v/>
      </c>
      <c r="E57" s="1184"/>
      <c r="F57" s="1185"/>
      <c r="G57" s="1183" t="str">
        <f>IF(V47="","",IF(V48="W",0,IF(V47=2,1,IF(V47=1,2,IF(V47=0,2)))))</f>
        <v/>
      </c>
      <c r="H57" s="1184"/>
      <c r="I57" s="1185"/>
      <c r="J57" s="1183" t="str">
        <f>IF(V49="","",IF(V50="W",0,IF(V49=2,1,IF(V49=1,2,IF(V49=0,2)))))</f>
        <v/>
      </c>
      <c r="K57" s="1184"/>
      <c r="L57" s="1185"/>
      <c r="M57" s="1183" t="str">
        <f>IF(V51="","",IF(V52="W",0,IF(V51=2,1,IF(V51=1,2,IF(V51=0,2)))))</f>
        <v/>
      </c>
      <c r="N57" s="1184"/>
      <c r="O57" s="1185"/>
      <c r="P57" s="1183" t="str">
        <f>IF(V53="","",IF(V54="W",0,IF(V53=2,1,IF(V53=1,2,IF(V53=0,2)))))</f>
        <v/>
      </c>
      <c r="Q57" s="1184"/>
      <c r="R57" s="1185"/>
      <c r="S57" s="1183" t="str">
        <f>IF(V55="","",IF(V56="W",0,IF(V55=2,1,IF(V55=1,2,IF(V55=0,2)))))</f>
        <v/>
      </c>
      <c r="T57" s="1184"/>
      <c r="U57" s="1185"/>
      <c r="V57" s="1203"/>
      <c r="W57" s="1179"/>
      <c r="X57" s="1180"/>
      <c r="Y57" s="1183"/>
      <c r="Z57" s="1184"/>
      <c r="AA57" s="1185"/>
      <c r="AB57" s="1183"/>
      <c r="AC57" s="1184"/>
      <c r="AD57" s="1185"/>
      <c r="AE57" s="1196" t="str">
        <f>IF(B57="","",SUM(G57,J57,M57,P57,S57,D57,Y57,AB57,))</f>
        <v/>
      </c>
      <c r="AF57" s="1197"/>
      <c r="AG57" s="1200"/>
      <c r="AH57" s="1186" t="str">
        <f>IF(B57="","",RANK(AE57,ГР11О))</f>
        <v/>
      </c>
    </row>
    <row r="58" spans="1:34" ht="12" hidden="1" customHeight="1" x14ac:dyDescent="0.2">
      <c r="A58" s="1176"/>
      <c r="B58" s="1209"/>
      <c r="C58" s="442" t="str">
        <f>IF(B57="","",VLOOKUP(B57,'Списки участников'!A:H,6,FALSE))</f>
        <v/>
      </c>
      <c r="D58" s="449" t="str">
        <f>IF(V46="","",IF(X46="l","W",X46))</f>
        <v/>
      </c>
      <c r="E58" s="444" t="str">
        <f>IF(W46="","",":")</f>
        <v/>
      </c>
      <c r="F58" s="450" t="str">
        <f>IF(X46="","",IF(V46="W","L",V46))</f>
        <v/>
      </c>
      <c r="G58" s="449" t="str">
        <f>IF(V48="","",IF(X48="l","W",X48))</f>
        <v/>
      </c>
      <c r="H58" s="444" t="str">
        <f>IF(W48="","",":")</f>
        <v/>
      </c>
      <c r="I58" s="450" t="str">
        <f>IF(X48="","",IF(V48="W","L",V48))</f>
        <v/>
      </c>
      <c r="J58" s="449" t="str">
        <f>IF(V50="","",IF(X50="l","W",X50))</f>
        <v/>
      </c>
      <c r="K58" s="444" t="str">
        <f>IF(W50="","",":")</f>
        <v/>
      </c>
      <c r="L58" s="450" t="str">
        <f>IF(X50="","",IF(V50="W","L",V50))</f>
        <v/>
      </c>
      <c r="M58" s="449" t="str">
        <f>IF(V52="","",IF(X52="l","W",X52))</f>
        <v/>
      </c>
      <c r="N58" s="444" t="str">
        <f>IF(W52="","",":")</f>
        <v/>
      </c>
      <c r="O58" s="450" t="str">
        <f>IF(X52="","",IF(V52="W","L",V52))</f>
        <v/>
      </c>
      <c r="P58" s="449" t="str">
        <f>IF(V54="","",IF(X54="l","W",X54))</f>
        <v/>
      </c>
      <c r="Q58" s="444" t="str">
        <f>IF(W54="","",":")</f>
        <v/>
      </c>
      <c r="R58" s="450" t="str">
        <f>IF(X54="","",IF(V54="W","L",V54))</f>
        <v/>
      </c>
      <c r="S58" s="449" t="str">
        <f>IF(V56="","",IF(X56="l","W",X56))</f>
        <v/>
      </c>
      <c r="T58" s="444" t="str">
        <f>IF(W56="","",":")</f>
        <v/>
      </c>
      <c r="U58" s="450" t="str">
        <f>IF(X56="","",IF(V56="W","L",V56))</f>
        <v/>
      </c>
      <c r="V58" s="1195"/>
      <c r="W58" s="1181"/>
      <c r="X58" s="1182"/>
      <c r="Y58" s="443"/>
      <c r="Z58" s="444" t="str">
        <f>IF(Y57="","",":")</f>
        <v/>
      </c>
      <c r="AA58" s="445"/>
      <c r="AB58" s="443"/>
      <c r="AC58" s="444" t="str">
        <f>IF(AB57="","",":")</f>
        <v/>
      </c>
      <c r="AD58" s="445"/>
      <c r="AE58" s="1198"/>
      <c r="AF58" s="1199"/>
      <c r="AG58" s="1201"/>
      <c r="AH58" s="1186"/>
    </row>
    <row r="59" spans="1:34" ht="12" hidden="1" customHeight="1" x14ac:dyDescent="0.2">
      <c r="A59" s="1175">
        <v>8</v>
      </c>
      <c r="B59" s="1208"/>
      <c r="C59" s="441" t="str">
        <f>IF(B59="","",VLOOKUP(B59,'Списки участников'!A:H,3,FALSE))</f>
        <v/>
      </c>
      <c r="D59" s="1183" t="str">
        <f>IF(Y45="","",IF(Y46="W",0,IF(Y45=2,1,IF(Y45=1,2,IF(Y45=0,2)))))</f>
        <v/>
      </c>
      <c r="E59" s="1184"/>
      <c r="F59" s="1185"/>
      <c r="G59" s="1183" t="str">
        <f>IF(Y47="","",IF(Y48="W",0,IF(Y47=2,1,IF(Y47=1,2,IF(Y47=0,2)))))</f>
        <v/>
      </c>
      <c r="H59" s="1184"/>
      <c r="I59" s="1185"/>
      <c r="J59" s="1183" t="str">
        <f>IF(Y49="","",IF(Y50="W",0,IF(Y49=2,1,IF(Y49=1,2,IF(Y49=0,2)))))</f>
        <v/>
      </c>
      <c r="K59" s="1184"/>
      <c r="L59" s="1185"/>
      <c r="M59" s="1183" t="str">
        <f>IF(Y51="","",IF(Y52="W",0,IF(Y51=2,1,IF(Y51=1,2,IF(Y51=0,2)))))</f>
        <v/>
      </c>
      <c r="N59" s="1184"/>
      <c r="O59" s="1185"/>
      <c r="P59" s="1183" t="str">
        <f>IF(Y53="","",IF(Y54="W",0,IF(Y53=2,1,IF(Y53=1,2,IF(Y53=0,2)))))</f>
        <v/>
      </c>
      <c r="Q59" s="1184"/>
      <c r="R59" s="1185"/>
      <c r="S59" s="1183" t="str">
        <f>IF(Y55="","",IF(Y56="W",0,IF(Y55=2,1,IF(Y55=1,2,IF(Y55=0,2)))))</f>
        <v/>
      </c>
      <c r="T59" s="1184"/>
      <c r="U59" s="1185"/>
      <c r="V59" s="1183" t="str">
        <f>IF(Y57="","",IF(Y58="W",0,IF(Y57=2,1,IF(Y57=1,2,IF(Y57=0,2)))))</f>
        <v/>
      </c>
      <c r="W59" s="1184"/>
      <c r="X59" s="1185"/>
      <c r="Y59" s="1192"/>
      <c r="Z59" s="1193"/>
      <c r="AA59" s="1194"/>
      <c r="AB59" s="1183"/>
      <c r="AC59" s="1184"/>
      <c r="AD59" s="1185"/>
      <c r="AE59" s="1196" t="str">
        <f>IF(B59="","",SUM(G59,J59,M59,P59,S59,V59,D59,AB59,))</f>
        <v/>
      </c>
      <c r="AF59" s="1197"/>
      <c r="AG59" s="1200"/>
      <c r="AH59" s="1186" t="str">
        <f>IF(B59="","",RANK(AE59,ГР11О))</f>
        <v/>
      </c>
    </row>
    <row r="60" spans="1:34" ht="12" hidden="1" customHeight="1" x14ac:dyDescent="0.2">
      <c r="A60" s="1176"/>
      <c r="B60" s="1209"/>
      <c r="C60" s="442" t="str">
        <f>IF(B59="","",VLOOKUP(B59,'Списки участников'!A:H,6,FALSE))</f>
        <v/>
      </c>
      <c r="D60" s="449" t="str">
        <f>IF(Y46="","",IF(AA46="l","W",AA46))</f>
        <v/>
      </c>
      <c r="E60" s="444" t="str">
        <f>IF(Z46="","",":")</f>
        <v/>
      </c>
      <c r="F60" s="450" t="str">
        <f>IF(AA46="","",IF(Y46="W","L",Y46))</f>
        <v/>
      </c>
      <c r="G60" s="449" t="str">
        <f>IF(Y48="","",IF(AA48="l","W",AA48))</f>
        <v/>
      </c>
      <c r="H60" s="444" t="str">
        <f>IF(Z48="","",":")</f>
        <v/>
      </c>
      <c r="I60" s="450" t="str">
        <f>IF(AA48="","",IF(Y48="W","L",Y48))</f>
        <v/>
      </c>
      <c r="J60" s="449" t="str">
        <f>IF(Y50="","",IF(AA50="l","W",AA50))</f>
        <v/>
      </c>
      <c r="K60" s="444" t="str">
        <f>IF(Z50="","",":")</f>
        <v/>
      </c>
      <c r="L60" s="450" t="str">
        <f>IF(AA50="","",IF(Y50="W","L",Y50))</f>
        <v/>
      </c>
      <c r="M60" s="449" t="str">
        <f>IF(Y52="","",IF(AA52="l","W",AA52))</f>
        <v/>
      </c>
      <c r="N60" s="444" t="str">
        <f>IF(Z52="","",":")</f>
        <v/>
      </c>
      <c r="O60" s="450" t="str">
        <f>IF(AA52="","",IF(Y52="W","L",Y52))</f>
        <v/>
      </c>
      <c r="P60" s="449" t="str">
        <f>IF(Y54="","",IF(AA54="l","W",AA54))</f>
        <v/>
      </c>
      <c r="Q60" s="444" t="str">
        <f>IF(Z54="","",":")</f>
        <v/>
      </c>
      <c r="R60" s="450" t="str">
        <f>IF(AA54="","",IF(Y54="W","L",Y54))</f>
        <v/>
      </c>
      <c r="S60" s="449" t="str">
        <f>IF(Y56="","",IF(AA56="l","W",AA56))</f>
        <v/>
      </c>
      <c r="T60" s="444" t="str">
        <f>IF(Z56="","",":")</f>
        <v/>
      </c>
      <c r="U60" s="450" t="str">
        <f>IF(AA56="","",IF(Y56="W","L",Y56))</f>
        <v/>
      </c>
      <c r="V60" s="449" t="str">
        <f>IF(Y58="","",IF(AA58="l","W",AA58))</f>
        <v/>
      </c>
      <c r="W60" s="444" t="str">
        <f>IF(Z58="","",":")</f>
        <v/>
      </c>
      <c r="X60" s="450" t="str">
        <f>IF(AA58="","",IF(Y58="W","L",Y58))</f>
        <v/>
      </c>
      <c r="Y60" s="1195"/>
      <c r="Z60" s="1181"/>
      <c r="AA60" s="1182"/>
      <c r="AB60" s="443"/>
      <c r="AC60" s="444" t="str">
        <f>IF(AB59="","",":")</f>
        <v/>
      </c>
      <c r="AD60" s="445"/>
      <c r="AE60" s="1198"/>
      <c r="AF60" s="1199"/>
      <c r="AG60" s="1201"/>
      <c r="AH60" s="1186"/>
    </row>
    <row r="61" spans="1:34" ht="12" hidden="1" customHeight="1" x14ac:dyDescent="0.2">
      <c r="A61" s="1175">
        <v>9</v>
      </c>
      <c r="B61" s="1177"/>
      <c r="C61" s="441" t="str">
        <f>IF(B61="","",VLOOKUP(B61,'Списки участников'!A:H,3,FALSE))</f>
        <v/>
      </c>
      <c r="D61" s="1183" t="str">
        <f>IF(AB45="","",IF(AB46="W",0,IF(AB45=2,1,IF(AB45=1,2,IF(AB45=0,2)))))</f>
        <v/>
      </c>
      <c r="E61" s="1184"/>
      <c r="F61" s="1185"/>
      <c r="G61" s="1183" t="str">
        <f>IF(AB47="","",IF(AB48="W",0,IF(AB47=2,1,IF(AB47=1,2,IF(AB47=0,2)))))</f>
        <v/>
      </c>
      <c r="H61" s="1184"/>
      <c r="I61" s="1185"/>
      <c r="J61" s="1183" t="str">
        <f>IF(AB49="","",IF(AB50="W",0,IF(AB49=2,1,IF(AB49=1,2,IF(AB49=0,2)))))</f>
        <v/>
      </c>
      <c r="K61" s="1184"/>
      <c r="L61" s="1185"/>
      <c r="M61" s="1183" t="str">
        <f>IF(AB51="","",IF(AB52="W",0,IF(AB51=2,1,IF(AB51=1,2,IF(AB51=0,2)))))</f>
        <v/>
      </c>
      <c r="N61" s="1184"/>
      <c r="O61" s="1185"/>
      <c r="P61" s="1183" t="str">
        <f>IF(AB53="","",IF(AB54="W",0,IF(AB53=2,1,IF(AB53=1,2,IF(AB53=0,2)))))</f>
        <v/>
      </c>
      <c r="Q61" s="1184"/>
      <c r="R61" s="1185"/>
      <c r="S61" s="1183" t="str">
        <f>IF(AB55="","",IF(AB56="W",0,IF(AB55=2,1,IF(AB55=1,2,IF(AB55=0,2)))))</f>
        <v/>
      </c>
      <c r="T61" s="1184"/>
      <c r="U61" s="1185"/>
      <c r="V61" s="1183" t="str">
        <f>IF(AB57="","",IF(AB58="W",0,IF(AB57=2,1,IF(AB57=1,2,IF(AB57=0,2)))))</f>
        <v/>
      </c>
      <c r="W61" s="1184"/>
      <c r="X61" s="1185"/>
      <c r="Y61" s="1183" t="str">
        <f>IF(AB59="","",IF(AB60="W",0,IF(AB59=2,1,IF(AB59=1,2,IF(AB59=0,2)))))</f>
        <v/>
      </c>
      <c r="Z61" s="1184"/>
      <c r="AA61" s="1185"/>
      <c r="AB61" s="1203"/>
      <c r="AC61" s="1179"/>
      <c r="AD61" s="1180"/>
      <c r="AE61" s="1196" t="str">
        <f>IF(B61="","",SUM(G61,J61,M61,P61,S61,V61,Y61,D61,))</f>
        <v/>
      </c>
      <c r="AF61" s="1197"/>
      <c r="AG61" s="1200"/>
      <c r="AH61" s="1186" t="str">
        <f>IF(B61="","",RANK(AE61,ГР11О))</f>
        <v/>
      </c>
    </row>
    <row r="62" spans="1:34" ht="12" hidden="1" customHeight="1" x14ac:dyDescent="0.2">
      <c r="A62" s="1176"/>
      <c r="B62" s="1178"/>
      <c r="C62" s="442" t="str">
        <f>IF(B61="","",VLOOKUP(B61,'Списки участников'!A:H,6,FALSE))</f>
        <v/>
      </c>
      <c r="D62" s="449" t="str">
        <f>IF(AB46="","",IF(AD46="l","W",AD46))</f>
        <v/>
      </c>
      <c r="E62" s="444" t="str">
        <f>IF(AC46="","",":")</f>
        <v/>
      </c>
      <c r="F62" s="450" t="str">
        <f>IF(AD46="","",IF(AB46="W","L",AB46))</f>
        <v/>
      </c>
      <c r="G62" s="449" t="str">
        <f>IF(AB48="","",IF(AD48="l","W",AD48))</f>
        <v/>
      </c>
      <c r="H62" s="444" t="str">
        <f>IF(AC48="","",":")</f>
        <v/>
      </c>
      <c r="I62" s="450" t="str">
        <f>IF(AD48="","",IF(AB48="W","L",AB48))</f>
        <v/>
      </c>
      <c r="J62" s="449" t="str">
        <f>IF(AB50="","",IF(AD50="l","W",AD50))</f>
        <v/>
      </c>
      <c r="K62" s="444" t="str">
        <f>IF(AC50="","",":")</f>
        <v/>
      </c>
      <c r="L62" s="450" t="str">
        <f>IF(AD50="","",IF(AB50="W","L",AB50))</f>
        <v/>
      </c>
      <c r="M62" s="449" t="str">
        <f>IF(AB52="","",IF(AD52="l","W",AD52))</f>
        <v/>
      </c>
      <c r="N62" s="444" t="str">
        <f>IF(AC52="","",":")</f>
        <v/>
      </c>
      <c r="O62" s="450" t="str">
        <f>IF(AD52="","",IF(AB52="W","L",AB52))</f>
        <v/>
      </c>
      <c r="P62" s="449" t="str">
        <f>IF(AB54="","",IF(AD54="l","W",AD54))</f>
        <v/>
      </c>
      <c r="Q62" s="444" t="str">
        <f>IF(AC54="","",":")</f>
        <v/>
      </c>
      <c r="R62" s="450" t="str">
        <f>IF(AD54="","",IF(AB54="W","L",AB54))</f>
        <v/>
      </c>
      <c r="S62" s="449" t="str">
        <f>IF(AB56="","",IF(AD56="l","W",AD56))</f>
        <v/>
      </c>
      <c r="T62" s="444" t="str">
        <f>IF(AC56="","",":")</f>
        <v/>
      </c>
      <c r="U62" s="450" t="str">
        <f>IF(AD56="","",IF(AB56="W","L",AB56))</f>
        <v/>
      </c>
      <c r="V62" s="449" t="str">
        <f>IF(AB58="","",IF(AD58="l","W",AD58))</f>
        <v/>
      </c>
      <c r="W62" s="444" t="str">
        <f>IF(AC58="","",":")</f>
        <v/>
      </c>
      <c r="X62" s="450" t="str">
        <f>IF(AD58="","",IF(AB58="W","L",AB58))</f>
        <v/>
      </c>
      <c r="Y62" s="449" t="str">
        <f>IF(AB60="","",IF(AD60="l","W",AD60))</f>
        <v/>
      </c>
      <c r="Z62" s="444" t="str">
        <f>IF(AC60="","",":")</f>
        <v/>
      </c>
      <c r="AA62" s="450" t="str">
        <f>IF(AD60="","",IF(AB60="W","L",AB60))</f>
        <v/>
      </c>
      <c r="AB62" s="1195"/>
      <c r="AC62" s="1181"/>
      <c r="AD62" s="1182"/>
      <c r="AE62" s="1198"/>
      <c r="AF62" s="1199"/>
      <c r="AG62" s="1201"/>
      <c r="AH62" s="1186"/>
    </row>
    <row r="63" spans="1:34" ht="12" customHeight="1" x14ac:dyDescent="0.25">
      <c r="A63" s="128"/>
      <c r="B63" s="128"/>
      <c r="C63" s="128"/>
      <c r="D63" s="128"/>
      <c r="E63" s="128"/>
      <c r="F63" s="128"/>
      <c r="G63" s="1204" t="s">
        <v>957</v>
      </c>
      <c r="H63" s="1204"/>
      <c r="I63" s="1204"/>
      <c r="J63" s="1204"/>
      <c r="K63" s="1204"/>
      <c r="L63" s="1204"/>
      <c r="M63" s="1204"/>
      <c r="N63" s="1204"/>
      <c r="O63" s="1204"/>
      <c r="P63" s="1204"/>
      <c r="Q63" s="1204"/>
      <c r="R63" s="1204"/>
      <c r="S63" s="1204"/>
      <c r="T63" s="1204"/>
      <c r="U63" s="1204"/>
      <c r="V63" s="1204"/>
      <c r="W63" s="1204"/>
      <c r="X63" s="1204"/>
      <c r="Y63" s="1204"/>
      <c r="Z63" s="1204"/>
      <c r="AA63" s="1204"/>
      <c r="AB63" s="128"/>
      <c r="AC63" s="128"/>
      <c r="AD63" s="128"/>
      <c r="AE63" s="128"/>
      <c r="AF63" s="128"/>
      <c r="AG63" s="128"/>
      <c r="AH63" s="128"/>
    </row>
    <row r="64" spans="1:34" ht="12" customHeight="1" x14ac:dyDescent="0.2">
      <c r="A64" s="129" t="s">
        <v>3</v>
      </c>
      <c r="B64" s="846"/>
      <c r="C64" s="131" t="s">
        <v>757</v>
      </c>
      <c r="D64" s="1170">
        <v>1</v>
      </c>
      <c r="E64" s="1171"/>
      <c r="F64" s="1172"/>
      <c r="G64" s="1170">
        <v>2</v>
      </c>
      <c r="H64" s="1171"/>
      <c r="I64" s="1172"/>
      <c r="J64" s="1170">
        <v>3</v>
      </c>
      <c r="K64" s="1171"/>
      <c r="L64" s="1172"/>
      <c r="M64" s="1170">
        <v>4</v>
      </c>
      <c r="N64" s="1171"/>
      <c r="O64" s="1172"/>
      <c r="P64" s="1170">
        <v>5</v>
      </c>
      <c r="Q64" s="1171"/>
      <c r="R64" s="1172"/>
      <c r="S64" s="1170">
        <v>6</v>
      </c>
      <c r="T64" s="1171"/>
      <c r="U64" s="1172"/>
      <c r="V64" s="1170">
        <v>7</v>
      </c>
      <c r="W64" s="1171"/>
      <c r="X64" s="1172"/>
      <c r="Y64" s="1170">
        <v>8</v>
      </c>
      <c r="Z64" s="1171"/>
      <c r="AA64" s="1172"/>
      <c r="AB64" s="1170">
        <v>9</v>
      </c>
      <c r="AC64" s="1171"/>
      <c r="AD64" s="1172"/>
      <c r="AE64" s="1173" t="s">
        <v>758</v>
      </c>
      <c r="AF64" s="1174"/>
      <c r="AG64" s="847" t="s">
        <v>759</v>
      </c>
      <c r="AH64" s="440" t="s">
        <v>100</v>
      </c>
    </row>
    <row r="65" spans="1:34" ht="12" customHeight="1" x14ac:dyDescent="0.2">
      <c r="A65" s="1175">
        <v>1</v>
      </c>
      <c r="B65" s="1177"/>
      <c r="C65" s="441" t="str">
        <f>IF(B65="","",VLOOKUP(B65,'Списки участников'!A:H,3,FALSE))</f>
        <v/>
      </c>
      <c r="D65" s="1179"/>
      <c r="E65" s="1179"/>
      <c r="F65" s="1180"/>
      <c r="G65" s="1183"/>
      <c r="H65" s="1184"/>
      <c r="I65" s="1185"/>
      <c r="J65" s="1183"/>
      <c r="K65" s="1184"/>
      <c r="L65" s="1185"/>
      <c r="M65" s="1183"/>
      <c r="N65" s="1184"/>
      <c r="O65" s="1185"/>
      <c r="P65" s="1183"/>
      <c r="Q65" s="1184"/>
      <c r="R65" s="1185"/>
      <c r="S65" s="1183"/>
      <c r="T65" s="1184"/>
      <c r="U65" s="1185"/>
      <c r="V65" s="1183"/>
      <c r="W65" s="1184"/>
      <c r="X65" s="1185"/>
      <c r="Y65" s="1183"/>
      <c r="Z65" s="1184"/>
      <c r="AA65" s="1185"/>
      <c r="AB65" s="1183"/>
      <c r="AC65" s="1184"/>
      <c r="AD65" s="1185"/>
      <c r="AE65" s="1196" t="str">
        <f>IF(B65="","",SUM(G65,J65,M65,P65,S65,V65,Y65,AB65,))</f>
        <v/>
      </c>
      <c r="AF65" s="1197"/>
      <c r="AG65" s="1187"/>
      <c r="AH65" s="1186" t="str">
        <f>IF(B65="","",RANK(AE65,ГР12О))</f>
        <v/>
      </c>
    </row>
    <row r="66" spans="1:34" ht="12" customHeight="1" x14ac:dyDescent="0.2">
      <c r="A66" s="1176"/>
      <c r="B66" s="1178"/>
      <c r="C66" s="442" t="str">
        <f>IF(B65="","",VLOOKUP(B65,'Списки участников'!A:H,6,FALSE))</f>
        <v/>
      </c>
      <c r="D66" s="1181"/>
      <c r="E66" s="1181"/>
      <c r="F66" s="1182"/>
      <c r="G66" s="443"/>
      <c r="H66" s="444" t="str">
        <f>IF(G65="","",":")</f>
        <v/>
      </c>
      <c r="I66" s="445"/>
      <c r="J66" s="443"/>
      <c r="K66" s="444" t="str">
        <f>IF(J65="","",":")</f>
        <v/>
      </c>
      <c r="L66" s="445"/>
      <c r="M66" s="443"/>
      <c r="N66" s="444" t="str">
        <f>IF(M66="","",":")</f>
        <v/>
      </c>
      <c r="O66" s="445"/>
      <c r="P66" s="443"/>
      <c r="Q66" s="444" t="str">
        <f>IF(P66="","",":")</f>
        <v/>
      </c>
      <c r="R66" s="445"/>
      <c r="S66" s="443"/>
      <c r="T66" s="444" t="str">
        <f>IF(S66="","",":")</f>
        <v/>
      </c>
      <c r="U66" s="445"/>
      <c r="V66" s="443"/>
      <c r="W66" s="444" t="str">
        <f>IF(V66="","",":")</f>
        <v/>
      </c>
      <c r="X66" s="445"/>
      <c r="Y66" s="443"/>
      <c r="Z66" s="444" t="str">
        <f>IF(Y66="","",":")</f>
        <v/>
      </c>
      <c r="AA66" s="445"/>
      <c r="AB66" s="443"/>
      <c r="AC66" s="444" t="str">
        <f>IF(AB66="","",":")</f>
        <v/>
      </c>
      <c r="AD66" s="445"/>
      <c r="AE66" s="1198"/>
      <c r="AF66" s="1199"/>
      <c r="AG66" s="1188"/>
      <c r="AH66" s="1186"/>
    </row>
    <row r="67" spans="1:34" ht="12" customHeight="1" x14ac:dyDescent="0.2">
      <c r="A67" s="1175">
        <v>2</v>
      </c>
      <c r="B67" s="1177"/>
      <c r="C67" s="441" t="str">
        <f>IF(B67="","",VLOOKUP(B67,'Списки участников'!A:H,3,FALSE))</f>
        <v/>
      </c>
      <c r="D67" s="1189" t="str">
        <f>IF(G65="","",IF(G66="W",0,IF(G65=2,1,IF(G65=1,2,IF(G65=0,2)))))</f>
        <v/>
      </c>
      <c r="E67" s="1190"/>
      <c r="F67" s="1191"/>
      <c r="G67" s="1192"/>
      <c r="H67" s="1193"/>
      <c r="I67" s="1194"/>
      <c r="J67" s="1183"/>
      <c r="K67" s="1184"/>
      <c r="L67" s="1185"/>
      <c r="M67" s="1183"/>
      <c r="N67" s="1184"/>
      <c r="O67" s="1185"/>
      <c r="P67" s="1183"/>
      <c r="Q67" s="1184"/>
      <c r="R67" s="1185"/>
      <c r="S67" s="1183"/>
      <c r="T67" s="1184"/>
      <c r="U67" s="1185"/>
      <c r="V67" s="1183"/>
      <c r="W67" s="1184"/>
      <c r="X67" s="1185"/>
      <c r="Y67" s="1183"/>
      <c r="Z67" s="1184"/>
      <c r="AA67" s="1185"/>
      <c r="AB67" s="1183"/>
      <c r="AC67" s="1184"/>
      <c r="AD67" s="1185"/>
      <c r="AE67" s="1196" t="str">
        <f>IF(B67="","",SUM(D67,J67,M67,P67,S67,V67,Y67,AB67,))</f>
        <v/>
      </c>
      <c r="AF67" s="1197"/>
      <c r="AG67" s="1187"/>
      <c r="AH67" s="1186" t="str">
        <f>IF(B67="","",RANK(AE67,ГР12О))</f>
        <v/>
      </c>
    </row>
    <row r="68" spans="1:34" ht="12" customHeight="1" x14ac:dyDescent="0.2">
      <c r="A68" s="1176"/>
      <c r="B68" s="1178"/>
      <c r="C68" s="442" t="str">
        <f>IF(B67="","",VLOOKUP(B67,'Списки участников'!A:H,6,FALSE))</f>
        <v/>
      </c>
      <c r="D68" s="446" t="str">
        <f>IF(G66="","",IF(I66="l","W",I66))</f>
        <v/>
      </c>
      <c r="E68" s="447" t="str">
        <f>IF(G65="","",":")</f>
        <v/>
      </c>
      <c r="F68" s="448" t="str">
        <f>IF(I66="","",IF(G66="W","L",G66))</f>
        <v/>
      </c>
      <c r="G68" s="1195"/>
      <c r="H68" s="1181"/>
      <c r="I68" s="1182"/>
      <c r="J68" s="443"/>
      <c r="K68" s="444" t="str">
        <f>IF(J67="","",":")</f>
        <v/>
      </c>
      <c r="L68" s="445"/>
      <c r="M68" s="443"/>
      <c r="N68" s="444" t="str">
        <f>IF(M67="","",":")</f>
        <v/>
      </c>
      <c r="O68" s="445"/>
      <c r="P68" s="443"/>
      <c r="Q68" s="444" t="str">
        <f>IF(P67="","",":")</f>
        <v/>
      </c>
      <c r="R68" s="445"/>
      <c r="S68" s="443"/>
      <c r="T68" s="444" t="str">
        <f>IF(S68="","",":")</f>
        <v/>
      </c>
      <c r="U68" s="445"/>
      <c r="V68" s="443"/>
      <c r="W68" s="444" t="str">
        <f>IF(V68="","",":")</f>
        <v/>
      </c>
      <c r="X68" s="445"/>
      <c r="Y68" s="443"/>
      <c r="Z68" s="444" t="str">
        <f>IF(Y68="","",":")</f>
        <v/>
      </c>
      <c r="AA68" s="445"/>
      <c r="AB68" s="443"/>
      <c r="AC68" s="444" t="str">
        <f>IF(AB68="","",":")</f>
        <v/>
      </c>
      <c r="AD68" s="445"/>
      <c r="AE68" s="1198"/>
      <c r="AF68" s="1199"/>
      <c r="AG68" s="1188"/>
      <c r="AH68" s="1186"/>
    </row>
    <row r="69" spans="1:34" ht="12" customHeight="1" x14ac:dyDescent="0.2">
      <c r="A69" s="1175">
        <v>3</v>
      </c>
      <c r="B69" s="1177"/>
      <c r="C69" s="441" t="str">
        <f>IF(B69="","",VLOOKUP(B69,'Списки участников'!A:H,3,FALSE))</f>
        <v/>
      </c>
      <c r="D69" s="1189" t="str">
        <f>IF(J65="","",IF(J66="W",0,IF(J65=2,1,IF(J65=1,2,IF(J65=0,2)))))</f>
        <v/>
      </c>
      <c r="E69" s="1190"/>
      <c r="F69" s="1191"/>
      <c r="G69" s="1183" t="str">
        <f>IF(J67="","",IF(J68="W",0,IF(J67=2,1,IF(J67=1,2,IF(J67=0,2)))))</f>
        <v/>
      </c>
      <c r="H69" s="1184"/>
      <c r="I69" s="1185"/>
      <c r="J69" s="1192"/>
      <c r="K69" s="1193"/>
      <c r="L69" s="1194"/>
      <c r="M69" s="1183"/>
      <c r="N69" s="1184"/>
      <c r="O69" s="1185"/>
      <c r="P69" s="1183"/>
      <c r="Q69" s="1184"/>
      <c r="R69" s="1185"/>
      <c r="S69" s="1183"/>
      <c r="T69" s="1184"/>
      <c r="U69" s="1185"/>
      <c r="V69" s="1183"/>
      <c r="W69" s="1184"/>
      <c r="X69" s="1185"/>
      <c r="Y69" s="1183"/>
      <c r="Z69" s="1184"/>
      <c r="AA69" s="1185"/>
      <c r="AB69" s="1183"/>
      <c r="AC69" s="1184"/>
      <c r="AD69" s="1185"/>
      <c r="AE69" s="1196" t="str">
        <f>IF(B69="","",SUM(G69,D69,M69,P69,S69,V69,Y69,AB69,))</f>
        <v/>
      </c>
      <c r="AF69" s="1197"/>
      <c r="AG69" s="1200"/>
      <c r="AH69" s="1186" t="str">
        <f>IF(B69="","",RANK(AE69,ГР12О))</f>
        <v/>
      </c>
    </row>
    <row r="70" spans="1:34" ht="12" customHeight="1" x14ac:dyDescent="0.2">
      <c r="A70" s="1176"/>
      <c r="B70" s="1178"/>
      <c r="C70" s="442" t="str">
        <f>IF(B69="","",VLOOKUP(B69,'Списки участников'!A:H,6,FALSE))</f>
        <v/>
      </c>
      <c r="D70" s="449" t="str">
        <f>IF(J66="","",IF(L66="l","W",L66))</f>
        <v/>
      </c>
      <c r="E70" s="444" t="str">
        <f>IF(K66="","",":")</f>
        <v/>
      </c>
      <c r="F70" s="450" t="str">
        <f>IF(L66="","",IF(J66="W","L",J66))</f>
        <v/>
      </c>
      <c r="G70" s="449" t="str">
        <f>IF(J68="","",IF(L68="l","W",L68))</f>
        <v/>
      </c>
      <c r="H70" s="444" t="str">
        <f>IF(K68="","",":")</f>
        <v/>
      </c>
      <c r="I70" s="450" t="str">
        <f>IF(L68="","",IF(J68="W","L",J68))</f>
        <v/>
      </c>
      <c r="J70" s="1195"/>
      <c r="K70" s="1181"/>
      <c r="L70" s="1182"/>
      <c r="M70" s="443"/>
      <c r="N70" s="444" t="str">
        <f>IF(M69="","",":")</f>
        <v/>
      </c>
      <c r="O70" s="445"/>
      <c r="P70" s="443"/>
      <c r="Q70" s="444" t="str">
        <f>IF(P69="","",":")</f>
        <v/>
      </c>
      <c r="R70" s="445"/>
      <c r="S70" s="443"/>
      <c r="T70" s="444" t="str">
        <f>IF(S69="","",":")</f>
        <v/>
      </c>
      <c r="U70" s="445"/>
      <c r="V70" s="443"/>
      <c r="W70" s="444" t="str">
        <f>IF(V70="","",":")</f>
        <v/>
      </c>
      <c r="X70" s="445"/>
      <c r="Y70" s="443"/>
      <c r="Z70" s="444" t="str">
        <f>IF(Y70="","",":")</f>
        <v/>
      </c>
      <c r="AA70" s="445"/>
      <c r="AB70" s="443"/>
      <c r="AC70" s="444" t="str">
        <f>IF(AB70="","",":")</f>
        <v/>
      </c>
      <c r="AD70" s="445"/>
      <c r="AE70" s="1198"/>
      <c r="AF70" s="1199"/>
      <c r="AG70" s="1201"/>
      <c r="AH70" s="1186"/>
    </row>
    <row r="71" spans="1:34" ht="12" customHeight="1" x14ac:dyDescent="0.2">
      <c r="A71" s="1175">
        <v>4</v>
      </c>
      <c r="B71" s="1177"/>
      <c r="C71" s="441" t="str">
        <f>IF(B71="","",VLOOKUP(B71,'Списки участников'!A:H,3,FALSE))</f>
        <v/>
      </c>
      <c r="D71" s="1183" t="str">
        <f>IF(M65="","",IF(M66="W",0,IF(M65=2,1,IF(M65=1,2,IF(M65=0,2)))))</f>
        <v/>
      </c>
      <c r="E71" s="1184"/>
      <c r="F71" s="1185"/>
      <c r="G71" s="1183" t="str">
        <f>IF(M67="","",IF(M68="W",0,IF(M67=2,1,IF(M67=1,2,IF(M67=0,2)))))</f>
        <v/>
      </c>
      <c r="H71" s="1184"/>
      <c r="I71" s="1185"/>
      <c r="J71" s="1183" t="str">
        <f>IF(M69="","",IF(M70="W",0,IF(M69=2,1,IF(M69=1,2,IF(M69=0,2)))))</f>
        <v/>
      </c>
      <c r="K71" s="1184"/>
      <c r="L71" s="1185"/>
      <c r="M71" s="1193"/>
      <c r="N71" s="1193"/>
      <c r="O71" s="1193"/>
      <c r="P71" s="1183"/>
      <c r="Q71" s="1184"/>
      <c r="R71" s="1185"/>
      <c r="S71" s="1183"/>
      <c r="T71" s="1184"/>
      <c r="U71" s="1185"/>
      <c r="V71" s="1183"/>
      <c r="W71" s="1184"/>
      <c r="X71" s="1185"/>
      <c r="Y71" s="1183"/>
      <c r="Z71" s="1184"/>
      <c r="AA71" s="1185"/>
      <c r="AB71" s="1183"/>
      <c r="AC71" s="1184"/>
      <c r="AD71" s="1185"/>
      <c r="AE71" s="1196" t="str">
        <f>IF(B71="","",SUM(G71,J71,D71,P71,S71,V71,Y71,AB71,))</f>
        <v/>
      </c>
      <c r="AF71" s="1197"/>
      <c r="AG71" s="1200"/>
      <c r="AH71" s="1186" t="str">
        <f>IF(B71="","",RANK(AE71,ГР12О))</f>
        <v/>
      </c>
    </row>
    <row r="72" spans="1:34" ht="12" customHeight="1" x14ac:dyDescent="0.2">
      <c r="A72" s="1176"/>
      <c r="B72" s="1178"/>
      <c r="C72" s="442" t="str">
        <f>IF(B71="","",VLOOKUP(B71,'Списки участников'!A:H,6,FALSE))</f>
        <v/>
      </c>
      <c r="D72" s="449" t="str">
        <f>IF(M66="","",IF(O66="l","W",O66))</f>
        <v/>
      </c>
      <c r="E72" s="444" t="str">
        <f>IF(N66="","",":")</f>
        <v/>
      </c>
      <c r="F72" s="450" t="str">
        <f>IF(O66="","",IF(M66="W","L",M66))</f>
        <v/>
      </c>
      <c r="G72" s="449" t="str">
        <f>IF(M68="","",IF(O68="l","W",O68))</f>
        <v/>
      </c>
      <c r="H72" s="444" t="str">
        <f>IF(N68="","",":")</f>
        <v/>
      </c>
      <c r="I72" s="450" t="str">
        <f>IF(O68="","",IF(M68="W","L",M68))</f>
        <v/>
      </c>
      <c r="J72" s="449" t="str">
        <f>IF(M70="","",IF(O70="l","W",O70))</f>
        <v/>
      </c>
      <c r="K72" s="444" t="str">
        <f>IF(N70="","",":")</f>
        <v/>
      </c>
      <c r="L72" s="450" t="str">
        <f>IF(O70="","",IF(M70="W","L",M70))</f>
        <v/>
      </c>
      <c r="M72" s="1202"/>
      <c r="N72" s="1202"/>
      <c r="O72" s="1202"/>
      <c r="P72" s="443"/>
      <c r="Q72" s="444" t="str">
        <f>IF(P71="","",":")</f>
        <v/>
      </c>
      <c r="R72" s="445"/>
      <c r="S72" s="443"/>
      <c r="T72" s="444" t="str">
        <f>IF(S71="","",":")</f>
        <v/>
      </c>
      <c r="U72" s="445"/>
      <c r="V72" s="443"/>
      <c r="W72" s="444" t="str">
        <f>IF(V71="","",":")</f>
        <v/>
      </c>
      <c r="X72" s="445"/>
      <c r="Y72" s="443"/>
      <c r="Z72" s="444" t="str">
        <f>IF(Y72="","",":")</f>
        <v/>
      </c>
      <c r="AA72" s="445"/>
      <c r="AB72" s="443"/>
      <c r="AC72" s="444" t="str">
        <f>IF(AB72="","",":")</f>
        <v/>
      </c>
      <c r="AD72" s="445"/>
      <c r="AE72" s="1198"/>
      <c r="AF72" s="1199"/>
      <c r="AG72" s="1201"/>
      <c r="AH72" s="1186"/>
    </row>
    <row r="73" spans="1:34" ht="12" hidden="1" customHeight="1" x14ac:dyDescent="0.2">
      <c r="A73" s="1175">
        <v>5</v>
      </c>
      <c r="B73" s="1177"/>
      <c r="C73" s="441" t="str">
        <f>IF(B73="","",VLOOKUP(B73,'Списки участников'!A:H,3,FALSE))</f>
        <v/>
      </c>
      <c r="D73" s="1183" t="str">
        <f>IF(P65="","",IF(P66="W",0,IF(P65=2,1,IF(P65=1,2,IF(P65=0,2)))))</f>
        <v/>
      </c>
      <c r="E73" s="1184"/>
      <c r="F73" s="1185"/>
      <c r="G73" s="1183" t="str">
        <f>IF(P67="","",IF(P68="W",0,IF(P67=2,1,IF(P67=1,2,IF(P67=0,2)))))</f>
        <v/>
      </c>
      <c r="H73" s="1184"/>
      <c r="I73" s="1185"/>
      <c r="J73" s="1183" t="str">
        <f>IF(P69="","",IF(P70="W",0,IF(P69=2,1,IF(P69=1,2,IF(P69=0,2)))))</f>
        <v/>
      </c>
      <c r="K73" s="1184"/>
      <c r="L73" s="1185"/>
      <c r="M73" s="1183" t="str">
        <f>IF(P71="","",IF(P72="W",0,IF(P71=2,1,IF(P71=1,2,IF(P71=0,2)))))</f>
        <v/>
      </c>
      <c r="N73" s="1184"/>
      <c r="O73" s="1185"/>
      <c r="P73" s="1192"/>
      <c r="Q73" s="1193"/>
      <c r="R73" s="1194"/>
      <c r="S73" s="1183"/>
      <c r="T73" s="1184"/>
      <c r="U73" s="1185"/>
      <c r="V73" s="1183"/>
      <c r="W73" s="1184"/>
      <c r="X73" s="1185"/>
      <c r="Y73" s="1183"/>
      <c r="Z73" s="1184"/>
      <c r="AA73" s="1185"/>
      <c r="AB73" s="1183"/>
      <c r="AC73" s="1184"/>
      <c r="AD73" s="1185"/>
      <c r="AE73" s="1196" t="str">
        <f>IF(B73="","",SUM(G73,J73,M73,D73,S73,V73,Y73,AB73,))</f>
        <v/>
      </c>
      <c r="AF73" s="1197"/>
      <c r="AG73" s="1200"/>
      <c r="AH73" s="1186" t="str">
        <f>IF(B73="","",RANK(AE73,ГР12О))</f>
        <v/>
      </c>
    </row>
    <row r="74" spans="1:34" ht="12" hidden="1" customHeight="1" x14ac:dyDescent="0.2">
      <c r="A74" s="1176"/>
      <c r="B74" s="1178"/>
      <c r="C74" s="442" t="str">
        <f>IF(B73="","",VLOOKUP(B73,'Списки участников'!A:H,6,FALSE))</f>
        <v/>
      </c>
      <c r="D74" s="449" t="str">
        <f>IF(P66="","",IF(R66="l","W",R66))</f>
        <v/>
      </c>
      <c r="E74" s="444" t="str">
        <f>IF(Q66="","",":")</f>
        <v/>
      </c>
      <c r="F74" s="450" t="str">
        <f>IF(R66="","",IF(P66="W","L",P66))</f>
        <v/>
      </c>
      <c r="G74" s="449" t="str">
        <f>IF(P68="","",IF(R68="l","W",R68))</f>
        <v/>
      </c>
      <c r="H74" s="444" t="str">
        <f>IF(Q68="","",":")</f>
        <v/>
      </c>
      <c r="I74" s="450" t="str">
        <f>IF(R68="","",IF(P68="W","L",P68))</f>
        <v/>
      </c>
      <c r="J74" s="449" t="str">
        <f>IF(P70="","",IF(R70="l","W",R70))</f>
        <v/>
      </c>
      <c r="K74" s="444" t="str">
        <f>IF(Q70="","",":")</f>
        <v/>
      </c>
      <c r="L74" s="450" t="str">
        <f>IF(R70="","",IF(P70="W","L",P70))</f>
        <v/>
      </c>
      <c r="M74" s="449" t="str">
        <f>IF(P72="","",IF(R72="l","W",R72))</f>
        <v/>
      </c>
      <c r="N74" s="444" t="str">
        <f>IF(Q72="","",":")</f>
        <v/>
      </c>
      <c r="O74" s="450" t="str">
        <f>IF(R72="","",IF(P72="W","L",P72))</f>
        <v/>
      </c>
      <c r="P74" s="1195"/>
      <c r="Q74" s="1181"/>
      <c r="R74" s="1182"/>
      <c r="S74" s="443"/>
      <c r="T74" s="444" t="str">
        <f>IF(S73="","",":")</f>
        <v/>
      </c>
      <c r="U74" s="445"/>
      <c r="V74" s="443"/>
      <c r="W74" s="444" t="str">
        <f>IF(V73="","",":")</f>
        <v/>
      </c>
      <c r="X74" s="445"/>
      <c r="Y74" s="443"/>
      <c r="Z74" s="444" t="str">
        <f>IF(Y73="","",":")</f>
        <v/>
      </c>
      <c r="AA74" s="445"/>
      <c r="AB74" s="443"/>
      <c r="AC74" s="444" t="str">
        <f>IF(AB74="","",":")</f>
        <v/>
      </c>
      <c r="AD74" s="445"/>
      <c r="AE74" s="1198"/>
      <c r="AF74" s="1199"/>
      <c r="AG74" s="1201"/>
      <c r="AH74" s="1186"/>
    </row>
    <row r="75" spans="1:34" ht="12" hidden="1" customHeight="1" x14ac:dyDescent="0.2">
      <c r="A75" s="1175">
        <v>6</v>
      </c>
      <c r="B75" s="1177"/>
      <c r="C75" s="441" t="str">
        <f>IF(B75="","",VLOOKUP(B75,'Списки участников'!A:H,3,FALSE))</f>
        <v/>
      </c>
      <c r="D75" s="1183" t="str">
        <f>IF(S65="","",IF(S66="W",0,IF(S65=2,1,IF(S65=1,2,IF(S65=0,2)))))</f>
        <v/>
      </c>
      <c r="E75" s="1184"/>
      <c r="F75" s="1185"/>
      <c r="G75" s="1183" t="str">
        <f>IF(S67="","",IF(S68="W",0,IF(S67=2,1,IF(S67=1,2,IF(S67=0,2)))))</f>
        <v/>
      </c>
      <c r="H75" s="1184"/>
      <c r="I75" s="1185"/>
      <c r="J75" s="1183" t="str">
        <f>IF(S69="","",IF(S70="W",0,IF(S69=2,1,IF(S69=1,2,IF(S69=0,2)))))</f>
        <v/>
      </c>
      <c r="K75" s="1184"/>
      <c r="L75" s="1185"/>
      <c r="M75" s="1183" t="str">
        <f>IF(S71="","",IF(S72="W",0,IF(S71=2,1,IF(S71=1,2,IF(S71=0,2)))))</f>
        <v/>
      </c>
      <c r="N75" s="1184"/>
      <c r="O75" s="1185"/>
      <c r="P75" s="1183" t="str">
        <f>IF(S73="","",IF(S74="W",0,IF(S73=2,1,IF(S73=1,2,IF(S73=0,2)))))</f>
        <v/>
      </c>
      <c r="Q75" s="1184"/>
      <c r="R75" s="1185"/>
      <c r="S75" s="1192"/>
      <c r="T75" s="1193"/>
      <c r="U75" s="1194"/>
      <c r="V75" s="1183"/>
      <c r="W75" s="1184"/>
      <c r="X75" s="1185"/>
      <c r="Y75" s="1183"/>
      <c r="Z75" s="1184"/>
      <c r="AA75" s="1185"/>
      <c r="AB75" s="1183"/>
      <c r="AC75" s="1184"/>
      <c r="AD75" s="1185"/>
      <c r="AE75" s="1196" t="str">
        <f>IF(B75="","",SUM(G75,J75,M75,P75,D75,V75,Y75,AB75,))</f>
        <v/>
      </c>
      <c r="AF75" s="1197"/>
      <c r="AG75" s="1200"/>
      <c r="AH75" s="1186" t="str">
        <f>IF(B75="","",RANK(AE75,ГР12О))</f>
        <v/>
      </c>
    </row>
    <row r="76" spans="1:34" ht="12" hidden="1" customHeight="1" x14ac:dyDescent="0.2">
      <c r="A76" s="1176"/>
      <c r="B76" s="1178"/>
      <c r="C76" s="442" t="str">
        <f>IF(B75="","",VLOOKUP(B75,'Списки участников'!A:H,6,FALSE))</f>
        <v/>
      </c>
      <c r="D76" s="449" t="str">
        <f>IF(S66="","",IF(U66="l","W",U66))</f>
        <v/>
      </c>
      <c r="E76" s="444" t="str">
        <f>IF(T66="","",":")</f>
        <v/>
      </c>
      <c r="F76" s="450" t="str">
        <f>IF(U66="","",IF(S66="W","L",S66))</f>
        <v/>
      </c>
      <c r="G76" s="449" t="str">
        <f>IF(S68="","",IF(U68="l","W",U68))</f>
        <v/>
      </c>
      <c r="H76" s="444" t="str">
        <f>IF(Q68="","",":")</f>
        <v/>
      </c>
      <c r="I76" s="450" t="str">
        <f>IF(U68="","",IF(S68="W","L",S68))</f>
        <v/>
      </c>
      <c r="J76" s="449" t="str">
        <f>IF(S70="","",IF(U70="l","W",U70))</f>
        <v/>
      </c>
      <c r="K76" s="444" t="str">
        <f>IF(T70="","",":")</f>
        <v/>
      </c>
      <c r="L76" s="450" t="str">
        <f>IF(U70="","",IF(S70="W","L",S70))</f>
        <v/>
      </c>
      <c r="M76" s="449" t="str">
        <f>IF(S72="","",IF(U72="l","W",U72))</f>
        <v/>
      </c>
      <c r="N76" s="444" t="str">
        <f>IF(T72="","",":")</f>
        <v/>
      </c>
      <c r="O76" s="450" t="str">
        <f>IF(U72="","",IF(S72="W","L",S72))</f>
        <v/>
      </c>
      <c r="P76" s="449" t="str">
        <f>IF(S74="","",IF(U74="l","W",U74))</f>
        <v/>
      </c>
      <c r="Q76" s="444" t="str">
        <f>IF(T74="","",":")</f>
        <v/>
      </c>
      <c r="R76" s="450" t="str">
        <f>IF(U74="","",IF(S74="W","L",S74))</f>
        <v/>
      </c>
      <c r="S76" s="1195"/>
      <c r="T76" s="1181"/>
      <c r="U76" s="1182"/>
      <c r="V76" s="443"/>
      <c r="W76" s="444" t="str">
        <f>IF(V75="","",":")</f>
        <v/>
      </c>
      <c r="X76" s="445"/>
      <c r="Y76" s="443"/>
      <c r="Z76" s="444" t="str">
        <f>IF(Y75="","",":")</f>
        <v/>
      </c>
      <c r="AA76" s="445"/>
      <c r="AB76" s="443"/>
      <c r="AC76" s="444" t="str">
        <f>IF(AB75="","",":")</f>
        <v/>
      </c>
      <c r="AD76" s="445"/>
      <c r="AE76" s="1198"/>
      <c r="AF76" s="1199"/>
      <c r="AG76" s="1201"/>
      <c r="AH76" s="1186"/>
    </row>
    <row r="77" spans="1:34" ht="12" hidden="1" customHeight="1" x14ac:dyDescent="0.2">
      <c r="A77" s="1175">
        <v>7</v>
      </c>
      <c r="B77" s="1177"/>
      <c r="C77" s="441" t="str">
        <f>IF(B77="","",VLOOKUP(B77,'Списки участников'!A:H,3,FALSE))</f>
        <v/>
      </c>
      <c r="D77" s="1183" t="str">
        <f>IF(V65="","",IF(V66="W",0,IF(V65=2,1,IF(V65=1,2,IF(V65=0,2)))))</f>
        <v/>
      </c>
      <c r="E77" s="1184"/>
      <c r="F77" s="1185"/>
      <c r="G77" s="1183" t="str">
        <f>IF(V67="","",IF(V68="W",0,IF(V67=2,1,IF(V67=1,2,IF(V67=0,2)))))</f>
        <v/>
      </c>
      <c r="H77" s="1184"/>
      <c r="I77" s="1185"/>
      <c r="J77" s="1183" t="str">
        <f>IF(V69="","",IF(V70="W",0,IF(V69=2,1,IF(V69=1,2,IF(V69=0,2)))))</f>
        <v/>
      </c>
      <c r="K77" s="1184"/>
      <c r="L77" s="1185"/>
      <c r="M77" s="1183" t="str">
        <f>IF(V71="","",IF(V72="W",0,IF(V71=2,1,IF(V71=1,2,IF(V71=0,2)))))</f>
        <v/>
      </c>
      <c r="N77" s="1184"/>
      <c r="O77" s="1185"/>
      <c r="P77" s="1183" t="str">
        <f>IF(V73="","",IF(V74="W",0,IF(V73=2,1,IF(V73=1,2,IF(V73=0,2)))))</f>
        <v/>
      </c>
      <c r="Q77" s="1184"/>
      <c r="R77" s="1185"/>
      <c r="S77" s="1183" t="str">
        <f>IF(V75="","",IF(V76="W",0,IF(V75=2,1,IF(V75=1,2,IF(V75=0,2)))))</f>
        <v/>
      </c>
      <c r="T77" s="1184"/>
      <c r="U77" s="1185"/>
      <c r="V77" s="1203"/>
      <c r="W77" s="1179"/>
      <c r="X77" s="1180"/>
      <c r="Y77" s="1183"/>
      <c r="Z77" s="1184"/>
      <c r="AA77" s="1185"/>
      <c r="AB77" s="1183"/>
      <c r="AC77" s="1184"/>
      <c r="AD77" s="1185"/>
      <c r="AE77" s="1196" t="str">
        <f>IF(B77="","",SUM(G77,J77,M77,P77,S77,D77,Y77,AB77,))</f>
        <v/>
      </c>
      <c r="AF77" s="1197"/>
      <c r="AG77" s="1200"/>
      <c r="AH77" s="1186" t="str">
        <f>IF(B77="","",RANK(AE77,ГР12О))</f>
        <v/>
      </c>
    </row>
    <row r="78" spans="1:34" ht="12" hidden="1" customHeight="1" x14ac:dyDescent="0.2">
      <c r="A78" s="1176"/>
      <c r="B78" s="1178"/>
      <c r="C78" s="442" t="str">
        <f>IF(B77="","",VLOOKUP(B77,'Списки участников'!A:H,6,FALSE))</f>
        <v/>
      </c>
      <c r="D78" s="449" t="str">
        <f>IF(V66="","",IF(X66="l","W",X66))</f>
        <v/>
      </c>
      <c r="E78" s="444" t="str">
        <f>IF(W66="","",":")</f>
        <v/>
      </c>
      <c r="F78" s="450" t="str">
        <f>IF(X66="","",IF(V66="W","L",V66))</f>
        <v/>
      </c>
      <c r="G78" s="449" t="str">
        <f>IF(V68="","",IF(X68="l","W",X68))</f>
        <v/>
      </c>
      <c r="H78" s="444" t="str">
        <f>IF(W68="","",":")</f>
        <v/>
      </c>
      <c r="I78" s="450" t="str">
        <f>IF(X68="","",IF(V68="W","L",V68))</f>
        <v/>
      </c>
      <c r="J78" s="449" t="str">
        <f>IF(V70="","",IF(X70="l","W",X70))</f>
        <v/>
      </c>
      <c r="K78" s="444" t="str">
        <f>IF(W70="","",":")</f>
        <v/>
      </c>
      <c r="L78" s="450" t="str">
        <f>IF(X70="","",IF(V70="W","L",V70))</f>
        <v/>
      </c>
      <c r="M78" s="449" t="str">
        <f>IF(V72="","",IF(X72="l","W",X72))</f>
        <v/>
      </c>
      <c r="N78" s="444" t="str">
        <f>IF(W72="","",":")</f>
        <v/>
      </c>
      <c r="O78" s="450" t="str">
        <f>IF(X72="","",IF(V72="W","L",V72))</f>
        <v/>
      </c>
      <c r="P78" s="449" t="str">
        <f>IF(V74="","",IF(X74="l","W",X74))</f>
        <v/>
      </c>
      <c r="Q78" s="444" t="str">
        <f>IF(W74="","",":")</f>
        <v/>
      </c>
      <c r="R78" s="450" t="str">
        <f>IF(X74="","",IF(V74="W","L",V74))</f>
        <v/>
      </c>
      <c r="S78" s="449" t="str">
        <f>IF(V76="","",IF(X76="l","W",X76))</f>
        <v/>
      </c>
      <c r="T78" s="444" t="str">
        <f>IF(W76="","",":")</f>
        <v/>
      </c>
      <c r="U78" s="450" t="str">
        <f>IF(X76="","",IF(V76="W","L",V76))</f>
        <v/>
      </c>
      <c r="V78" s="1195"/>
      <c r="W78" s="1181"/>
      <c r="X78" s="1182"/>
      <c r="Y78" s="443"/>
      <c r="Z78" s="444" t="str">
        <f>IF(Y77="","",":")</f>
        <v/>
      </c>
      <c r="AA78" s="445"/>
      <c r="AB78" s="443"/>
      <c r="AC78" s="444" t="str">
        <f>IF(AB77="","",":")</f>
        <v/>
      </c>
      <c r="AD78" s="445"/>
      <c r="AE78" s="1198"/>
      <c r="AF78" s="1199"/>
      <c r="AG78" s="1201"/>
      <c r="AH78" s="1186"/>
    </row>
    <row r="79" spans="1:34" ht="12" hidden="1" customHeight="1" x14ac:dyDescent="0.2">
      <c r="A79" s="1175">
        <v>8</v>
      </c>
      <c r="B79" s="1177"/>
      <c r="C79" s="441" t="str">
        <f>IF(B79="","",VLOOKUP(B79,'Списки участников'!A:H,3,FALSE))</f>
        <v/>
      </c>
      <c r="D79" s="1183" t="str">
        <f>IF(Y65="","",IF(Y66="W",0,IF(Y65=2,1,IF(Y65=1,2,IF(Y65=0,2)))))</f>
        <v/>
      </c>
      <c r="E79" s="1184"/>
      <c r="F79" s="1185"/>
      <c r="G79" s="1183" t="str">
        <f>IF(Y67="","",IF(Y68="W",0,IF(Y67=2,1,IF(Y67=1,2,IF(Y67=0,2)))))</f>
        <v/>
      </c>
      <c r="H79" s="1184"/>
      <c r="I79" s="1185"/>
      <c r="J79" s="1183" t="str">
        <f>IF(Y69="","",IF(Y70="W",0,IF(Y69=2,1,IF(Y69=1,2,IF(Y69=0,2)))))</f>
        <v/>
      </c>
      <c r="K79" s="1184"/>
      <c r="L79" s="1185"/>
      <c r="M79" s="1183" t="str">
        <f>IF(Y71="","",IF(Y72="W",0,IF(Y71=2,1,IF(Y71=1,2,IF(Y71=0,2)))))</f>
        <v/>
      </c>
      <c r="N79" s="1184"/>
      <c r="O79" s="1185"/>
      <c r="P79" s="1183" t="str">
        <f>IF(Y73="","",IF(Y74="W",0,IF(Y73=2,1,IF(Y73=1,2,IF(Y73=0,2)))))</f>
        <v/>
      </c>
      <c r="Q79" s="1184"/>
      <c r="R79" s="1185"/>
      <c r="S79" s="1183" t="str">
        <f>IF(Y75="","",IF(Y76="W",0,IF(Y75=2,1,IF(Y75=1,2,IF(Y75=0,2)))))</f>
        <v/>
      </c>
      <c r="T79" s="1184"/>
      <c r="U79" s="1185"/>
      <c r="V79" s="1183" t="str">
        <f>IF(Y77="","",IF(Y78="W",0,IF(Y77=2,1,IF(Y77=1,2,IF(Y77=0,2)))))</f>
        <v/>
      </c>
      <c r="W79" s="1184"/>
      <c r="X79" s="1185"/>
      <c r="Y79" s="1192"/>
      <c r="Z79" s="1193"/>
      <c r="AA79" s="1194"/>
      <c r="AB79" s="1183"/>
      <c r="AC79" s="1184"/>
      <c r="AD79" s="1185"/>
      <c r="AE79" s="1196" t="str">
        <f>IF(B79="","",SUM(G79,J79,M79,P79,S79,V79,D79,AB79,))</f>
        <v/>
      </c>
      <c r="AF79" s="1197"/>
      <c r="AG79" s="1200"/>
      <c r="AH79" s="1186" t="str">
        <f>IF(B79="","",RANK(AE79,ГР12О))</f>
        <v/>
      </c>
    </row>
    <row r="80" spans="1:34" ht="12" hidden="1" customHeight="1" x14ac:dyDescent="0.2">
      <c r="A80" s="1176"/>
      <c r="B80" s="1178"/>
      <c r="C80" s="442" t="str">
        <f>IF(B79="","",VLOOKUP(B79,'Списки участников'!A:H,6,FALSE))</f>
        <v/>
      </c>
      <c r="D80" s="449" t="str">
        <f>IF(Y66="","",IF(AA66="l","W",AA66))</f>
        <v/>
      </c>
      <c r="E80" s="444" t="str">
        <f>IF(Z66="","",":")</f>
        <v/>
      </c>
      <c r="F80" s="450" t="str">
        <f>IF(AA66="","",IF(Y66="W","L",Y66))</f>
        <v/>
      </c>
      <c r="G80" s="449" t="str">
        <f>IF(Y68="","",IF(AA68="l","W",AA68))</f>
        <v/>
      </c>
      <c r="H80" s="444" t="str">
        <f>IF(Z68="","",":")</f>
        <v/>
      </c>
      <c r="I80" s="450" t="str">
        <f>IF(AA68="","",IF(Y68="W","L",Y68))</f>
        <v/>
      </c>
      <c r="J80" s="449" t="str">
        <f>IF(Y70="","",IF(AA70="l","W",AA70))</f>
        <v/>
      </c>
      <c r="K80" s="444" t="str">
        <f>IF(Z70="","",":")</f>
        <v/>
      </c>
      <c r="L80" s="450" t="str">
        <f>IF(AA70="","",IF(Y70="W","L",Y70))</f>
        <v/>
      </c>
      <c r="M80" s="449" t="str">
        <f>IF(Y72="","",IF(AA72="l","W",AA72))</f>
        <v/>
      </c>
      <c r="N80" s="444" t="str">
        <f>IF(Z72="","",":")</f>
        <v/>
      </c>
      <c r="O80" s="450" t="str">
        <f>IF(AA72="","",IF(Y72="W","L",Y72))</f>
        <v/>
      </c>
      <c r="P80" s="449" t="str">
        <f>IF(Y74="","",IF(AA74="l","W",AA74))</f>
        <v/>
      </c>
      <c r="Q80" s="444" t="str">
        <f>IF(Z74="","",":")</f>
        <v/>
      </c>
      <c r="R80" s="450" t="str">
        <f>IF(AA74="","",IF(Y74="W","L",Y74))</f>
        <v/>
      </c>
      <c r="S80" s="449" t="str">
        <f>IF(Y76="","",IF(AA76="l","W",AA76))</f>
        <v/>
      </c>
      <c r="T80" s="444" t="str">
        <f>IF(Z76="","",":")</f>
        <v/>
      </c>
      <c r="U80" s="450" t="str">
        <f>IF(AA76="","",IF(Y76="W","L",Y76))</f>
        <v/>
      </c>
      <c r="V80" s="449" t="str">
        <f>IF(Y78="","",IF(AA78="l","W",AA78))</f>
        <v/>
      </c>
      <c r="W80" s="444" t="str">
        <f>IF(Z78="","",":")</f>
        <v/>
      </c>
      <c r="X80" s="450" t="str">
        <f>IF(AA78="","",IF(Y78="W","L",Y78))</f>
        <v/>
      </c>
      <c r="Y80" s="1195"/>
      <c r="Z80" s="1181"/>
      <c r="AA80" s="1182"/>
      <c r="AB80" s="443"/>
      <c r="AC80" s="444" t="str">
        <f>IF(AB79="","",":")</f>
        <v/>
      </c>
      <c r="AD80" s="445"/>
      <c r="AE80" s="1198"/>
      <c r="AF80" s="1199"/>
      <c r="AG80" s="1201"/>
      <c r="AH80" s="1186"/>
    </row>
    <row r="81" spans="1:34" ht="12" hidden="1" customHeight="1" x14ac:dyDescent="0.2">
      <c r="A81" s="1175">
        <v>9</v>
      </c>
      <c r="B81" s="1177"/>
      <c r="C81" s="441" t="str">
        <f>IF(B81="","",VLOOKUP(B81,'Списки участников'!A:H,3,FALSE))</f>
        <v/>
      </c>
      <c r="D81" s="1183" t="str">
        <f>IF(AB65="","",IF(AB66="W",0,IF(AB65=2,1,IF(AB65=1,2,IF(AB65=0,2)))))</f>
        <v/>
      </c>
      <c r="E81" s="1184"/>
      <c r="F81" s="1185"/>
      <c r="G81" s="1183" t="str">
        <f>IF(AB67="","",IF(AB68="W",0,IF(AB67=2,1,IF(AB67=1,2,IF(AB67=0,2)))))</f>
        <v/>
      </c>
      <c r="H81" s="1184"/>
      <c r="I81" s="1185"/>
      <c r="J81" s="1183" t="str">
        <f>IF(AB69="","",IF(AB70="W",0,IF(AB69=2,1,IF(AB69=1,2,IF(AB69=0,2)))))</f>
        <v/>
      </c>
      <c r="K81" s="1184"/>
      <c r="L81" s="1185"/>
      <c r="M81" s="1183" t="str">
        <f>IF(AB71="","",IF(AB72="W",0,IF(AB71=2,1,IF(AB71=1,2,IF(AB71=0,2)))))</f>
        <v/>
      </c>
      <c r="N81" s="1184"/>
      <c r="O81" s="1185"/>
      <c r="P81" s="1183" t="str">
        <f>IF(AB73="","",IF(AB74="W",0,IF(AB73=2,1,IF(AB73=1,2,IF(AB73=0,2)))))</f>
        <v/>
      </c>
      <c r="Q81" s="1184"/>
      <c r="R81" s="1185"/>
      <c r="S81" s="1183" t="str">
        <f>IF(AB75="","",IF(AB76="W",0,IF(AB75=2,1,IF(AB75=1,2,IF(AB75=0,2)))))</f>
        <v/>
      </c>
      <c r="T81" s="1184"/>
      <c r="U81" s="1185"/>
      <c r="V81" s="1183" t="str">
        <f>IF(AB77="","",IF(AB78="W",0,IF(AB77=2,1,IF(AB77=1,2,IF(AB77=0,2)))))</f>
        <v/>
      </c>
      <c r="W81" s="1184"/>
      <c r="X81" s="1185"/>
      <c r="Y81" s="1183" t="str">
        <f>IF(AB79="","",IF(AB80="W",0,IF(AB79=2,1,IF(AB79=1,2,IF(AB79=0,2)))))</f>
        <v/>
      </c>
      <c r="Z81" s="1184"/>
      <c r="AA81" s="1185"/>
      <c r="AB81" s="1203"/>
      <c r="AC81" s="1179"/>
      <c r="AD81" s="1180"/>
      <c r="AE81" s="1196" t="str">
        <f>IF(B81="","",SUM(G81,J81,M81,P81,S81,V81,Y81,D81,))</f>
        <v/>
      </c>
      <c r="AF81" s="1197"/>
      <c r="AG81" s="1200"/>
      <c r="AH81" s="1186" t="str">
        <f>IF(B81="","",RANK(AE81,ГР12О))</f>
        <v/>
      </c>
    </row>
    <row r="82" spans="1:34" ht="12" hidden="1" customHeight="1" x14ac:dyDescent="0.2">
      <c r="A82" s="1176"/>
      <c r="B82" s="1178"/>
      <c r="C82" s="442" t="str">
        <f>IF(B81="","",VLOOKUP(B81,'Списки участников'!A:H,6,FALSE))</f>
        <v/>
      </c>
      <c r="D82" s="449" t="str">
        <f>IF(AB66="","",IF(AD66="l","W",AD66))</f>
        <v/>
      </c>
      <c r="E82" s="444" t="str">
        <f>IF(AC66="","",":")</f>
        <v/>
      </c>
      <c r="F82" s="450" t="str">
        <f>IF(AD66="","",IF(AB66="W","L",AB66))</f>
        <v/>
      </c>
      <c r="G82" s="449" t="str">
        <f>IF(AB68="","",IF(AD68="l","W",AD68))</f>
        <v/>
      </c>
      <c r="H82" s="444" t="str">
        <f>IF(AC68="","",":")</f>
        <v/>
      </c>
      <c r="I82" s="450" t="str">
        <f>IF(AD68="","",IF(AB68="W","L",AB68))</f>
        <v/>
      </c>
      <c r="J82" s="449" t="str">
        <f>IF(AB70="","",IF(AD70="l","W",AD70))</f>
        <v/>
      </c>
      <c r="K82" s="444" t="str">
        <f>IF(AC70="","",":")</f>
        <v/>
      </c>
      <c r="L82" s="450" t="str">
        <f>IF(AD70="","",IF(AB70="W","L",AB70))</f>
        <v/>
      </c>
      <c r="M82" s="449" t="str">
        <f>IF(AB72="","",IF(AD72="l","W",AD72))</f>
        <v/>
      </c>
      <c r="N82" s="444" t="str">
        <f>IF(AC72="","",":")</f>
        <v/>
      </c>
      <c r="O82" s="450" t="str">
        <f>IF(AD72="","",IF(AB72="W","L",AB72))</f>
        <v/>
      </c>
      <c r="P82" s="449" t="str">
        <f>IF(AB74="","",IF(AD74="l","W",AD74))</f>
        <v/>
      </c>
      <c r="Q82" s="444" t="str">
        <f>IF(AC74="","",":")</f>
        <v/>
      </c>
      <c r="R82" s="450" t="str">
        <f>IF(AD74="","",IF(AB74="W","L",AB74))</f>
        <v/>
      </c>
      <c r="S82" s="449" t="str">
        <f>IF(AB76="","",IF(AD76="l","W",AD76))</f>
        <v/>
      </c>
      <c r="T82" s="444" t="str">
        <f>IF(AC76="","",":")</f>
        <v/>
      </c>
      <c r="U82" s="450" t="str">
        <f>IF(AD76="","",IF(AB76="W","L",AB76))</f>
        <v/>
      </c>
      <c r="V82" s="449" t="str">
        <f>IF(AB78="","",IF(AD78="l","W",AD78))</f>
        <v/>
      </c>
      <c r="W82" s="444" t="str">
        <f>IF(AC78="","",":")</f>
        <v/>
      </c>
      <c r="X82" s="450" t="str">
        <f>IF(AD78="","",IF(AB78="W","L",AB78))</f>
        <v/>
      </c>
      <c r="Y82" s="449" t="str">
        <f>IF(AB80="","",IF(AD80="l","W",AD80))</f>
        <v/>
      </c>
      <c r="Z82" s="444" t="str">
        <f>IF(AC80="","",":")</f>
        <v/>
      </c>
      <c r="AA82" s="450" t="str">
        <f>IF(AD80="","",IF(AB80="W","L",AB80))</f>
        <v/>
      </c>
      <c r="AB82" s="1195"/>
      <c r="AC82" s="1181"/>
      <c r="AD82" s="1182"/>
      <c r="AE82" s="1198"/>
      <c r="AF82" s="1199"/>
      <c r="AG82" s="1201"/>
      <c r="AH82" s="1186"/>
    </row>
    <row r="84" spans="1:34" ht="15.75" x14ac:dyDescent="0.25">
      <c r="C84" s="453" t="s">
        <v>760</v>
      </c>
      <c r="D84" s="1210"/>
      <c r="E84" s="1210"/>
      <c r="F84" s="1210"/>
      <c r="G84" s="1210"/>
      <c r="H84" s="1210"/>
      <c r="I84" s="1210"/>
      <c r="J84" s="1210"/>
      <c r="K84" s="1210"/>
      <c r="L84" s="453"/>
      <c r="M84" s="453"/>
      <c r="N84" s="453"/>
      <c r="O84" s="453"/>
      <c r="P84" s="453"/>
      <c r="Q84" s="1210" t="s">
        <v>761</v>
      </c>
      <c r="R84" s="1210"/>
      <c r="S84" s="1210"/>
      <c r="T84" s="1210"/>
      <c r="U84" s="1210"/>
      <c r="V84" s="1210"/>
      <c r="W84" s="1210"/>
      <c r="X84" s="1210"/>
      <c r="Y84" s="453"/>
      <c r="Z84" s="453"/>
      <c r="AA84" s="453"/>
      <c r="AB84" s="453"/>
      <c r="AC84" s="1210"/>
      <c r="AD84" s="1210"/>
      <c r="AE84" s="1210"/>
      <c r="AF84" s="1210"/>
      <c r="AG84" s="1210"/>
    </row>
  </sheetData>
  <mergeCells count="554">
    <mergeCell ref="C1:AG1"/>
    <mergeCell ref="D2:AA2"/>
    <mergeCell ref="AB2:AG2"/>
    <mergeCell ref="G3:AA3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F4"/>
    <mergeCell ref="A5:A6"/>
    <mergeCell ref="B5:B6"/>
    <mergeCell ref="D5:F6"/>
    <mergeCell ref="G5:I5"/>
    <mergeCell ref="J5:L5"/>
    <mergeCell ref="M5:O5"/>
    <mergeCell ref="AH7:AH8"/>
    <mergeCell ref="AG5:AG6"/>
    <mergeCell ref="AH5:AH6"/>
    <mergeCell ref="A7:A8"/>
    <mergeCell ref="B7:B8"/>
    <mergeCell ref="D7:F7"/>
    <mergeCell ref="G7:I8"/>
    <mergeCell ref="J7:L7"/>
    <mergeCell ref="M7:O7"/>
    <mergeCell ref="P7:R7"/>
    <mergeCell ref="S7:U7"/>
    <mergeCell ref="P5:R5"/>
    <mergeCell ref="S5:U5"/>
    <mergeCell ref="V5:X5"/>
    <mergeCell ref="Y5:AA5"/>
    <mergeCell ref="AB5:AD5"/>
    <mergeCell ref="AE5:AF6"/>
    <mergeCell ref="D9:F9"/>
    <mergeCell ref="G9:I9"/>
    <mergeCell ref="J9:L10"/>
    <mergeCell ref="M9:O9"/>
    <mergeCell ref="V7:X7"/>
    <mergeCell ref="Y7:AA7"/>
    <mergeCell ref="AB7:AD7"/>
    <mergeCell ref="AE7:AF8"/>
    <mergeCell ref="AG7:AG8"/>
    <mergeCell ref="V11:X11"/>
    <mergeCell ref="Y11:AA11"/>
    <mergeCell ref="AB11:AD11"/>
    <mergeCell ref="AE11:AF12"/>
    <mergeCell ref="AG11:AG12"/>
    <mergeCell ref="AH11:AH12"/>
    <mergeCell ref="AG9:AG10"/>
    <mergeCell ref="AH9:AH10"/>
    <mergeCell ref="A11:A12"/>
    <mergeCell ref="B11:B12"/>
    <mergeCell ref="D11:F11"/>
    <mergeCell ref="G11:I11"/>
    <mergeCell ref="J11:L11"/>
    <mergeCell ref="M11:O12"/>
    <mergeCell ref="P11:R11"/>
    <mergeCell ref="S11:U11"/>
    <mergeCell ref="P9:R9"/>
    <mergeCell ref="S9:U9"/>
    <mergeCell ref="V9:X9"/>
    <mergeCell ref="Y9:AA9"/>
    <mergeCell ref="AB9:AD9"/>
    <mergeCell ref="AE9:AF10"/>
    <mergeCell ref="A9:A10"/>
    <mergeCell ref="B9:B10"/>
    <mergeCell ref="A15:A16"/>
    <mergeCell ref="B15:B16"/>
    <mergeCell ref="D15:F15"/>
    <mergeCell ref="G15:I15"/>
    <mergeCell ref="J15:L15"/>
    <mergeCell ref="M15:O15"/>
    <mergeCell ref="P15:R15"/>
    <mergeCell ref="S15:U16"/>
    <mergeCell ref="P13:R14"/>
    <mergeCell ref="S13:U13"/>
    <mergeCell ref="A13:A14"/>
    <mergeCell ref="B13:B14"/>
    <mergeCell ref="D13:F13"/>
    <mergeCell ref="G13:I13"/>
    <mergeCell ref="J13:L13"/>
    <mergeCell ref="M13:O13"/>
    <mergeCell ref="M17:O17"/>
    <mergeCell ref="V15:X15"/>
    <mergeCell ref="Y15:AA15"/>
    <mergeCell ref="AB15:AD15"/>
    <mergeCell ref="AE15:AF16"/>
    <mergeCell ref="AG15:AG16"/>
    <mergeCell ref="AH15:AH16"/>
    <mergeCell ref="AG13:AG14"/>
    <mergeCell ref="AH13:AH14"/>
    <mergeCell ref="V13:X13"/>
    <mergeCell ref="Y13:AA13"/>
    <mergeCell ref="AB13:AD13"/>
    <mergeCell ref="AE13:AF14"/>
    <mergeCell ref="AE19:AF20"/>
    <mergeCell ref="AG19:AG20"/>
    <mergeCell ref="AH19:AH20"/>
    <mergeCell ref="AG17:AG18"/>
    <mergeCell ref="AH17:AH18"/>
    <mergeCell ref="A19:A20"/>
    <mergeCell ref="B19:B20"/>
    <mergeCell ref="D19:F19"/>
    <mergeCell ref="G19:I19"/>
    <mergeCell ref="J19:L19"/>
    <mergeCell ref="M19:O19"/>
    <mergeCell ref="P19:R19"/>
    <mergeCell ref="S19:U19"/>
    <mergeCell ref="P17:R17"/>
    <mergeCell ref="S17:U17"/>
    <mergeCell ref="V17:X18"/>
    <mergeCell ref="Y17:AA17"/>
    <mergeCell ref="AB17:AD17"/>
    <mergeCell ref="AE17:AF18"/>
    <mergeCell ref="A17:A18"/>
    <mergeCell ref="B17:B18"/>
    <mergeCell ref="D17:F17"/>
    <mergeCell ref="G17:I17"/>
    <mergeCell ref="J17:L17"/>
    <mergeCell ref="A21:A22"/>
    <mergeCell ref="B21:B22"/>
    <mergeCell ref="D21:F21"/>
    <mergeCell ref="G21:I21"/>
    <mergeCell ref="J21:L21"/>
    <mergeCell ref="M21:O21"/>
    <mergeCell ref="V19:X19"/>
    <mergeCell ref="Y19:AA20"/>
    <mergeCell ref="AB19:AD19"/>
    <mergeCell ref="AG21:AG22"/>
    <mergeCell ref="AH21:AH22"/>
    <mergeCell ref="G23:AA23"/>
    <mergeCell ref="D24:F24"/>
    <mergeCell ref="G24:I24"/>
    <mergeCell ref="J24:L24"/>
    <mergeCell ref="M24:O24"/>
    <mergeCell ref="P24:R24"/>
    <mergeCell ref="S24:U24"/>
    <mergeCell ref="V24:X24"/>
    <mergeCell ref="P21:R21"/>
    <mergeCell ref="S21:U21"/>
    <mergeCell ref="V21:X21"/>
    <mergeCell ref="Y21:AA21"/>
    <mergeCell ref="AB21:AD22"/>
    <mergeCell ref="AE21:AF22"/>
    <mergeCell ref="Y24:AA24"/>
    <mergeCell ref="AB24:AD24"/>
    <mergeCell ref="AE24:AF24"/>
    <mergeCell ref="A25:A26"/>
    <mergeCell ref="B25:B26"/>
    <mergeCell ref="D25:F26"/>
    <mergeCell ref="G25:I25"/>
    <mergeCell ref="J25:L25"/>
    <mergeCell ref="M25:O25"/>
    <mergeCell ref="P25:R25"/>
    <mergeCell ref="AH25:AH26"/>
    <mergeCell ref="A27:A28"/>
    <mergeCell ref="B27:B28"/>
    <mergeCell ref="D27:F27"/>
    <mergeCell ref="G27:I28"/>
    <mergeCell ref="J27:L27"/>
    <mergeCell ref="M27:O27"/>
    <mergeCell ref="P27:R27"/>
    <mergeCell ref="S27:U27"/>
    <mergeCell ref="V27:X27"/>
    <mergeCell ref="S25:U25"/>
    <mergeCell ref="V25:X25"/>
    <mergeCell ref="Y25:AA25"/>
    <mergeCell ref="AB25:AD25"/>
    <mergeCell ref="AE25:AF26"/>
    <mergeCell ref="AG25:AG26"/>
    <mergeCell ref="Y27:AA27"/>
    <mergeCell ref="AH27:AH28"/>
    <mergeCell ref="A29:A30"/>
    <mergeCell ref="B29:B30"/>
    <mergeCell ref="D29:F29"/>
    <mergeCell ref="G29:I29"/>
    <mergeCell ref="J29:L30"/>
    <mergeCell ref="AE29:AF30"/>
    <mergeCell ref="AG29:AG30"/>
    <mergeCell ref="AH29:AH30"/>
    <mergeCell ref="S29:U29"/>
    <mergeCell ref="V29:X29"/>
    <mergeCell ref="Y29:AA29"/>
    <mergeCell ref="AB29:AD29"/>
    <mergeCell ref="G31:I31"/>
    <mergeCell ref="J31:L31"/>
    <mergeCell ref="M31:O32"/>
    <mergeCell ref="P31:R31"/>
    <mergeCell ref="M29:O29"/>
    <mergeCell ref="P29:R29"/>
    <mergeCell ref="AB27:AD27"/>
    <mergeCell ref="AE27:AF28"/>
    <mergeCell ref="AG27:AG28"/>
    <mergeCell ref="AH31:AH32"/>
    <mergeCell ref="A33:A34"/>
    <mergeCell ref="B33:B34"/>
    <mergeCell ref="D33:F33"/>
    <mergeCell ref="G33:I33"/>
    <mergeCell ref="J33:L33"/>
    <mergeCell ref="M33:O33"/>
    <mergeCell ref="P33:R34"/>
    <mergeCell ref="S33:U33"/>
    <mergeCell ref="V33:X33"/>
    <mergeCell ref="S31:U31"/>
    <mergeCell ref="V31:X31"/>
    <mergeCell ref="Y31:AA31"/>
    <mergeCell ref="AB31:AD31"/>
    <mergeCell ref="AE31:AF32"/>
    <mergeCell ref="AG31:AG32"/>
    <mergeCell ref="Y33:AA33"/>
    <mergeCell ref="AB33:AD33"/>
    <mergeCell ref="AE33:AF34"/>
    <mergeCell ref="AG33:AG34"/>
    <mergeCell ref="AH33:AH34"/>
    <mergeCell ref="A31:A32"/>
    <mergeCell ref="B31:B32"/>
    <mergeCell ref="D31:F31"/>
    <mergeCell ref="A35:A36"/>
    <mergeCell ref="B35:B36"/>
    <mergeCell ref="D35:F35"/>
    <mergeCell ref="G35:I35"/>
    <mergeCell ref="J35:L35"/>
    <mergeCell ref="AE35:AF36"/>
    <mergeCell ref="AG35:AG36"/>
    <mergeCell ref="AH35:AH36"/>
    <mergeCell ref="A37:A38"/>
    <mergeCell ref="B37:B38"/>
    <mergeCell ref="D37:F37"/>
    <mergeCell ref="G37:I37"/>
    <mergeCell ref="J37:L37"/>
    <mergeCell ref="M37:O37"/>
    <mergeCell ref="P37:R37"/>
    <mergeCell ref="M35:O35"/>
    <mergeCell ref="P35:R35"/>
    <mergeCell ref="S35:U36"/>
    <mergeCell ref="V35:X35"/>
    <mergeCell ref="Y35:AA35"/>
    <mergeCell ref="AB35:AD35"/>
    <mergeCell ref="AH37:AH38"/>
    <mergeCell ref="S37:U37"/>
    <mergeCell ref="V37:X38"/>
    <mergeCell ref="A39:A40"/>
    <mergeCell ref="B39:B40"/>
    <mergeCell ref="D39:F39"/>
    <mergeCell ref="G39:I39"/>
    <mergeCell ref="J39:L39"/>
    <mergeCell ref="M39:O39"/>
    <mergeCell ref="P39:R39"/>
    <mergeCell ref="S39:U39"/>
    <mergeCell ref="V39:X39"/>
    <mergeCell ref="Y37:AA37"/>
    <mergeCell ref="AB37:AD37"/>
    <mergeCell ref="AE37:AF38"/>
    <mergeCell ref="AG37:AG38"/>
    <mergeCell ref="Y39:AA40"/>
    <mergeCell ref="AB39:AD39"/>
    <mergeCell ref="AE39:AF40"/>
    <mergeCell ref="AG39:AG40"/>
    <mergeCell ref="AH39:AH40"/>
    <mergeCell ref="AE41:AF42"/>
    <mergeCell ref="V44:X44"/>
    <mergeCell ref="Y44:AA44"/>
    <mergeCell ref="AB44:AD44"/>
    <mergeCell ref="AE44:AF44"/>
    <mergeCell ref="P44:R44"/>
    <mergeCell ref="S44:U44"/>
    <mergeCell ref="AG41:AG42"/>
    <mergeCell ref="AH41:AH42"/>
    <mergeCell ref="G43:AA43"/>
    <mergeCell ref="V41:X41"/>
    <mergeCell ref="Y41:AA41"/>
    <mergeCell ref="AB41:AD42"/>
    <mergeCell ref="M41:O41"/>
    <mergeCell ref="P41:R41"/>
    <mergeCell ref="S41:U41"/>
    <mergeCell ref="D44:F44"/>
    <mergeCell ref="G44:I44"/>
    <mergeCell ref="J44:L44"/>
    <mergeCell ref="M44:O44"/>
    <mergeCell ref="A41:A42"/>
    <mergeCell ref="B41:B42"/>
    <mergeCell ref="D41:F41"/>
    <mergeCell ref="G41:I41"/>
    <mergeCell ref="J41:L41"/>
    <mergeCell ref="AH47:AH48"/>
    <mergeCell ref="AG45:AG46"/>
    <mergeCell ref="AH45:AH46"/>
    <mergeCell ref="A47:A48"/>
    <mergeCell ref="B47:B48"/>
    <mergeCell ref="D47:F47"/>
    <mergeCell ref="G47:I48"/>
    <mergeCell ref="J47:L47"/>
    <mergeCell ref="M47:O47"/>
    <mergeCell ref="P47:R47"/>
    <mergeCell ref="S47:U47"/>
    <mergeCell ref="P45:R45"/>
    <mergeCell ref="S45:U45"/>
    <mergeCell ref="V45:X45"/>
    <mergeCell ref="Y45:AA45"/>
    <mergeCell ref="AB45:AD45"/>
    <mergeCell ref="AE45:AF46"/>
    <mergeCell ref="A45:A46"/>
    <mergeCell ref="B45:B46"/>
    <mergeCell ref="D45:F46"/>
    <mergeCell ref="G45:I45"/>
    <mergeCell ref="J45:L45"/>
    <mergeCell ref="M45:O45"/>
    <mergeCell ref="D49:F49"/>
    <mergeCell ref="G49:I49"/>
    <mergeCell ref="J49:L50"/>
    <mergeCell ref="M49:O49"/>
    <mergeCell ref="V47:X47"/>
    <mergeCell ref="Y47:AA47"/>
    <mergeCell ref="AB47:AD47"/>
    <mergeCell ref="AE47:AF48"/>
    <mergeCell ref="AG47:AG48"/>
    <mergeCell ref="V51:X51"/>
    <mergeCell ref="Y51:AA51"/>
    <mergeCell ref="AB51:AD51"/>
    <mergeCell ref="AE51:AF52"/>
    <mergeCell ref="AG51:AG52"/>
    <mergeCell ref="AH51:AH52"/>
    <mergeCell ref="AG49:AG50"/>
    <mergeCell ref="AH49:AH50"/>
    <mergeCell ref="A51:A52"/>
    <mergeCell ref="B51:B52"/>
    <mergeCell ref="D51:F51"/>
    <mergeCell ref="G51:I51"/>
    <mergeCell ref="J51:L51"/>
    <mergeCell ref="M51:O52"/>
    <mergeCell ref="P51:R51"/>
    <mergeCell ref="S51:U51"/>
    <mergeCell ref="P49:R49"/>
    <mergeCell ref="S49:U49"/>
    <mergeCell ref="V49:X49"/>
    <mergeCell ref="Y49:AA49"/>
    <mergeCell ref="AB49:AD49"/>
    <mergeCell ref="AE49:AF50"/>
    <mergeCell ref="A49:A50"/>
    <mergeCell ref="B49:B50"/>
    <mergeCell ref="A55:A56"/>
    <mergeCell ref="B55:B56"/>
    <mergeCell ref="D55:F55"/>
    <mergeCell ref="G55:I55"/>
    <mergeCell ref="J55:L55"/>
    <mergeCell ref="M55:O55"/>
    <mergeCell ref="P55:R55"/>
    <mergeCell ref="S55:U56"/>
    <mergeCell ref="P53:R54"/>
    <mergeCell ref="S53:U53"/>
    <mergeCell ref="A53:A54"/>
    <mergeCell ref="B53:B54"/>
    <mergeCell ref="D53:F53"/>
    <mergeCell ref="G53:I53"/>
    <mergeCell ref="J53:L53"/>
    <mergeCell ref="M53:O53"/>
    <mergeCell ref="M57:O57"/>
    <mergeCell ref="V55:X55"/>
    <mergeCell ref="Y55:AA55"/>
    <mergeCell ref="AB55:AD55"/>
    <mergeCell ref="AE55:AF56"/>
    <mergeCell ref="AG55:AG56"/>
    <mergeCell ref="AH55:AH56"/>
    <mergeCell ref="AG53:AG54"/>
    <mergeCell ref="AH53:AH54"/>
    <mergeCell ref="V53:X53"/>
    <mergeCell ref="Y53:AA53"/>
    <mergeCell ref="AB53:AD53"/>
    <mergeCell ref="AE53:AF54"/>
    <mergeCell ref="AE59:AF60"/>
    <mergeCell ref="AG59:AG60"/>
    <mergeCell ref="AH59:AH60"/>
    <mergeCell ref="AG57:AG58"/>
    <mergeCell ref="AH57:AH58"/>
    <mergeCell ref="A59:A60"/>
    <mergeCell ref="B59:B60"/>
    <mergeCell ref="D59:F59"/>
    <mergeCell ref="G59:I59"/>
    <mergeCell ref="J59:L59"/>
    <mergeCell ref="M59:O59"/>
    <mergeCell ref="P59:R59"/>
    <mergeCell ref="S59:U59"/>
    <mergeCell ref="P57:R57"/>
    <mergeCell ref="S57:U57"/>
    <mergeCell ref="V57:X58"/>
    <mergeCell ref="Y57:AA57"/>
    <mergeCell ref="AB57:AD57"/>
    <mergeCell ref="AE57:AF58"/>
    <mergeCell ref="A57:A58"/>
    <mergeCell ref="B57:B58"/>
    <mergeCell ref="D57:F57"/>
    <mergeCell ref="G57:I57"/>
    <mergeCell ref="J57:L57"/>
    <mergeCell ref="A61:A62"/>
    <mergeCell ref="B61:B62"/>
    <mergeCell ref="D61:F61"/>
    <mergeCell ref="G61:I61"/>
    <mergeCell ref="J61:L61"/>
    <mergeCell ref="M61:O61"/>
    <mergeCell ref="V59:X59"/>
    <mergeCell ref="Y59:AA60"/>
    <mergeCell ref="AB59:AD59"/>
    <mergeCell ref="AG61:AG62"/>
    <mergeCell ref="AH61:AH62"/>
    <mergeCell ref="G63:AA63"/>
    <mergeCell ref="D64:F64"/>
    <mergeCell ref="G64:I64"/>
    <mergeCell ref="J64:L64"/>
    <mergeCell ref="M64:O64"/>
    <mergeCell ref="P64:R64"/>
    <mergeCell ref="S64:U64"/>
    <mergeCell ref="V64:X64"/>
    <mergeCell ref="P61:R61"/>
    <mergeCell ref="S61:U61"/>
    <mergeCell ref="V61:X61"/>
    <mergeCell ref="Y61:AA61"/>
    <mergeCell ref="AB61:AD62"/>
    <mergeCell ref="AE61:AF62"/>
    <mergeCell ref="Y64:AA64"/>
    <mergeCell ref="AB64:AD64"/>
    <mergeCell ref="AE64:AF64"/>
    <mergeCell ref="A65:A66"/>
    <mergeCell ref="B65:B66"/>
    <mergeCell ref="D65:F66"/>
    <mergeCell ref="G65:I65"/>
    <mergeCell ref="J65:L65"/>
    <mergeCell ref="M65:O65"/>
    <mergeCell ref="P65:R65"/>
    <mergeCell ref="AH65:AH66"/>
    <mergeCell ref="A67:A68"/>
    <mergeCell ref="B67:B68"/>
    <mergeCell ref="D67:F67"/>
    <mergeCell ref="G67:I68"/>
    <mergeCell ref="J67:L67"/>
    <mergeCell ref="M67:O67"/>
    <mergeCell ref="P67:R67"/>
    <mergeCell ref="S67:U67"/>
    <mergeCell ref="V67:X67"/>
    <mergeCell ref="S65:U65"/>
    <mergeCell ref="V65:X65"/>
    <mergeCell ref="Y65:AA65"/>
    <mergeCell ref="AB65:AD65"/>
    <mergeCell ref="AE65:AF66"/>
    <mergeCell ref="AG65:AG66"/>
    <mergeCell ref="Y67:AA67"/>
    <mergeCell ref="AH67:AH68"/>
    <mergeCell ref="A69:A70"/>
    <mergeCell ref="B69:B70"/>
    <mergeCell ref="D69:F69"/>
    <mergeCell ref="G69:I69"/>
    <mergeCell ref="J69:L70"/>
    <mergeCell ref="AE69:AF70"/>
    <mergeCell ref="AG69:AG70"/>
    <mergeCell ref="AH69:AH70"/>
    <mergeCell ref="S69:U69"/>
    <mergeCell ref="V69:X69"/>
    <mergeCell ref="Y69:AA69"/>
    <mergeCell ref="AB69:AD69"/>
    <mergeCell ref="G71:I71"/>
    <mergeCell ref="J71:L71"/>
    <mergeCell ref="M71:O72"/>
    <mergeCell ref="P71:R71"/>
    <mergeCell ref="M69:O69"/>
    <mergeCell ref="P69:R69"/>
    <mergeCell ref="AB67:AD67"/>
    <mergeCell ref="AE67:AF68"/>
    <mergeCell ref="AG67:AG68"/>
    <mergeCell ref="AH71:AH72"/>
    <mergeCell ref="A73:A74"/>
    <mergeCell ref="B73:B74"/>
    <mergeCell ref="D73:F73"/>
    <mergeCell ref="G73:I73"/>
    <mergeCell ref="J73:L73"/>
    <mergeCell ref="M73:O73"/>
    <mergeCell ref="P73:R74"/>
    <mergeCell ref="S73:U73"/>
    <mergeCell ref="V73:X73"/>
    <mergeCell ref="S71:U71"/>
    <mergeCell ref="V71:X71"/>
    <mergeCell ref="Y71:AA71"/>
    <mergeCell ref="AB71:AD71"/>
    <mergeCell ref="AE71:AF72"/>
    <mergeCell ref="AG71:AG72"/>
    <mergeCell ref="Y73:AA73"/>
    <mergeCell ref="AB73:AD73"/>
    <mergeCell ref="AE73:AF74"/>
    <mergeCell ref="AG73:AG74"/>
    <mergeCell ref="AH73:AH74"/>
    <mergeCell ref="A71:A72"/>
    <mergeCell ref="B71:B72"/>
    <mergeCell ref="D71:F71"/>
    <mergeCell ref="A75:A76"/>
    <mergeCell ref="B75:B76"/>
    <mergeCell ref="D75:F75"/>
    <mergeCell ref="G75:I75"/>
    <mergeCell ref="J75:L75"/>
    <mergeCell ref="AE75:AF76"/>
    <mergeCell ref="AG75:AG76"/>
    <mergeCell ref="AH75:AH76"/>
    <mergeCell ref="A77:A78"/>
    <mergeCell ref="B77:B78"/>
    <mergeCell ref="D77:F77"/>
    <mergeCell ref="G77:I77"/>
    <mergeCell ref="J77:L77"/>
    <mergeCell ref="M77:O77"/>
    <mergeCell ref="P77:R77"/>
    <mergeCell ref="M75:O75"/>
    <mergeCell ref="P75:R75"/>
    <mergeCell ref="S75:U76"/>
    <mergeCell ref="V75:X75"/>
    <mergeCell ref="Y75:AA75"/>
    <mergeCell ref="AB75:AD75"/>
    <mergeCell ref="AH77:AH78"/>
    <mergeCell ref="S77:U77"/>
    <mergeCell ref="V77:X78"/>
    <mergeCell ref="A79:A80"/>
    <mergeCell ref="B79:B80"/>
    <mergeCell ref="D79:F79"/>
    <mergeCell ref="G79:I79"/>
    <mergeCell ref="J79:L79"/>
    <mergeCell ref="M79:O79"/>
    <mergeCell ref="P79:R79"/>
    <mergeCell ref="S79:U79"/>
    <mergeCell ref="V79:X79"/>
    <mergeCell ref="Y77:AA77"/>
    <mergeCell ref="AB77:AD77"/>
    <mergeCell ref="AE77:AF78"/>
    <mergeCell ref="AG77:AG78"/>
    <mergeCell ref="Y79:AA80"/>
    <mergeCell ref="AB79:AD79"/>
    <mergeCell ref="AE79:AF80"/>
    <mergeCell ref="AG79:AG80"/>
    <mergeCell ref="AH79:AH80"/>
    <mergeCell ref="A81:A82"/>
    <mergeCell ref="B81:B82"/>
    <mergeCell ref="D81:F81"/>
    <mergeCell ref="G81:I81"/>
    <mergeCell ref="J81:L81"/>
    <mergeCell ref="AE81:AF82"/>
    <mergeCell ref="AG81:AG82"/>
    <mergeCell ref="AH81:AH82"/>
    <mergeCell ref="D84:K84"/>
    <mergeCell ref="Q84:X84"/>
    <mergeCell ref="AC84:AG84"/>
    <mergeCell ref="M81:O81"/>
    <mergeCell ref="P81:R81"/>
    <mergeCell ref="S81:U81"/>
    <mergeCell ref="V81:X81"/>
    <mergeCell ref="Y81:AA81"/>
    <mergeCell ref="AB81:AD8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70C0"/>
  </sheetPr>
  <dimension ref="A1:CT38"/>
  <sheetViews>
    <sheetView view="pageBreakPreview" zoomScale="90" zoomScaleNormal="80" zoomScaleSheetLayoutView="90" workbookViewId="0">
      <selection activeCell="B35" sqref="B35:B36"/>
    </sheetView>
  </sheetViews>
  <sheetFormatPr defaultRowHeight="15" outlineLevelCol="1" x14ac:dyDescent="0.25"/>
  <cols>
    <col min="1" max="1" width="4.83203125" style="128" customWidth="1"/>
    <col min="2" max="2" width="4.83203125" style="128" hidden="1" customWidth="1" outlineLevel="1"/>
    <col min="3" max="3" width="29.6640625" style="128" customWidth="1" collapsed="1"/>
    <col min="4" max="51" width="2.6640625" style="128" customWidth="1"/>
    <col min="52" max="52" width="5.33203125" style="128" customWidth="1"/>
    <col min="53" max="53" width="4.6640625" style="128" customWidth="1"/>
    <col min="54" max="54" width="9.1640625" style="128" customWidth="1"/>
    <col min="55" max="55" width="8.33203125" style="128" customWidth="1"/>
    <col min="56" max="56" width="8.1640625" style="128" customWidth="1"/>
    <col min="57" max="16384" width="9.33203125" style="128"/>
  </cols>
  <sheetData>
    <row r="1" spans="1:98" ht="18.75" x14ac:dyDescent="0.25">
      <c r="A1" s="1218" t="str">
        <f>'Списки участников'!A1</f>
        <v xml:space="preserve">X Спартакиада
среди предприятий Нижегородской области ФСК "Профсоюзов",
под девизом "Будь спортивным - будь успешным!"
</v>
      </c>
      <c r="B1" s="1256"/>
      <c r="C1" s="1256"/>
      <c r="D1" s="1256"/>
      <c r="E1" s="1256"/>
      <c r="F1" s="1256"/>
      <c r="G1" s="1256"/>
      <c r="H1" s="1256"/>
      <c r="I1" s="1256"/>
      <c r="J1" s="1256"/>
      <c r="K1" s="1256"/>
      <c r="L1" s="1256"/>
      <c r="M1" s="1256"/>
      <c r="N1" s="1256"/>
      <c r="O1" s="1256"/>
      <c r="P1" s="1256"/>
      <c r="Q1" s="1256"/>
      <c r="R1" s="1256"/>
      <c r="S1" s="1256"/>
      <c r="T1" s="1256"/>
      <c r="U1" s="1256"/>
      <c r="V1" s="1256"/>
      <c r="W1" s="1256"/>
      <c r="X1" s="1256"/>
      <c r="Y1" s="1256"/>
      <c r="Z1" s="1256"/>
      <c r="AA1" s="1256"/>
      <c r="AB1" s="1256"/>
      <c r="AC1" s="1256"/>
      <c r="AD1" s="1256"/>
      <c r="AE1" s="1256"/>
      <c r="AF1" s="1256"/>
      <c r="AG1" s="1256"/>
      <c r="AH1" s="1256"/>
      <c r="AI1" s="1256"/>
      <c r="AJ1" s="1256"/>
      <c r="AK1" s="1256"/>
      <c r="AL1" s="1256"/>
      <c r="AM1" s="1256"/>
      <c r="AN1" s="1256"/>
      <c r="AO1" s="1256"/>
      <c r="AP1" s="1256"/>
      <c r="AQ1" s="1256"/>
      <c r="AR1" s="1256"/>
      <c r="AS1" s="1256"/>
      <c r="AT1" s="1256"/>
      <c r="AU1" s="1256"/>
      <c r="AV1" s="1256"/>
      <c r="AW1" s="1256"/>
      <c r="AX1" s="1256"/>
      <c r="AY1" s="1256"/>
      <c r="AZ1" s="1256"/>
      <c r="BA1" s="1256"/>
    </row>
    <row r="2" spans="1:98" ht="18.75" x14ac:dyDescent="0.25">
      <c r="C2" s="1216" t="str">
        <f>'Списки участников'!C3</f>
        <v>22 октября 2016 г.</v>
      </c>
      <c r="D2" s="1216"/>
      <c r="E2" s="1216"/>
      <c r="F2" s="1216"/>
      <c r="G2" s="186"/>
      <c r="H2" s="186"/>
      <c r="I2" s="1218" t="str">
        <f>'Списки участников'!A2</f>
        <v>Соревнования по настольному теннису</v>
      </c>
      <c r="J2" s="1219"/>
      <c r="K2" s="1219"/>
      <c r="L2" s="1219"/>
      <c r="M2" s="1219"/>
      <c r="N2" s="1219"/>
      <c r="O2" s="1219"/>
      <c r="P2" s="1219"/>
      <c r="Q2" s="1219"/>
      <c r="R2" s="1219"/>
      <c r="S2" s="1219"/>
      <c r="T2" s="1219"/>
      <c r="U2" s="1219"/>
      <c r="V2" s="1219"/>
      <c r="W2" s="1219"/>
      <c r="X2" s="1219"/>
      <c r="Y2" s="1219"/>
      <c r="Z2" s="1219"/>
      <c r="AA2" s="1219"/>
      <c r="AB2" s="1219"/>
      <c r="AC2" s="1219"/>
      <c r="AD2" s="1219"/>
      <c r="AE2" s="1219"/>
      <c r="AF2" s="1219"/>
      <c r="AG2" s="1219"/>
      <c r="AH2" s="1219"/>
      <c r="AI2" s="186"/>
      <c r="AJ2" s="186"/>
      <c r="AK2" s="1217">
        <f>'Списки участников'!H3</f>
        <v>0</v>
      </c>
      <c r="AL2" s="1217"/>
      <c r="AM2" s="1217"/>
      <c r="AN2" s="1217"/>
      <c r="AO2" s="1217"/>
      <c r="AP2" s="1217"/>
      <c r="AQ2" s="1217"/>
      <c r="AR2" s="1217"/>
      <c r="AS2" s="1217"/>
      <c r="AT2" s="1217"/>
      <c r="AU2" s="1217"/>
      <c r="AV2" s="1217"/>
      <c r="AW2" s="1217"/>
      <c r="AX2" s="1217"/>
      <c r="AY2" s="1217"/>
      <c r="AZ2" s="1217"/>
      <c r="BA2" s="1217"/>
      <c r="BB2" s="1217"/>
    </row>
    <row r="3" spans="1:98" ht="18.75" x14ac:dyDescent="0.3">
      <c r="C3" s="693" t="s">
        <v>1043</v>
      </c>
      <c r="D3" s="1214">
        <f>'Списки участников'!D6</f>
        <v>0</v>
      </c>
      <c r="E3" s="1215"/>
      <c r="F3" s="1215"/>
      <c r="G3" s="1215"/>
      <c r="H3" s="1215"/>
      <c r="I3" s="1215"/>
      <c r="J3" s="1215"/>
      <c r="K3" s="1215"/>
      <c r="L3" s="1215"/>
      <c r="M3" s="1215"/>
      <c r="N3" s="1215"/>
      <c r="O3" s="1215"/>
    </row>
    <row r="4" spans="1:98" x14ac:dyDescent="0.25">
      <c r="A4" s="129" t="s">
        <v>3</v>
      </c>
      <c r="B4" s="130"/>
      <c r="C4" s="131" t="s">
        <v>757</v>
      </c>
      <c r="D4" s="1211">
        <v>1</v>
      </c>
      <c r="E4" s="1212"/>
      <c r="F4" s="1213"/>
      <c r="G4" s="1211">
        <v>2</v>
      </c>
      <c r="H4" s="1212"/>
      <c r="I4" s="1213"/>
      <c r="J4" s="1211">
        <v>3</v>
      </c>
      <c r="K4" s="1212"/>
      <c r="L4" s="1213"/>
      <c r="M4" s="1211">
        <v>4</v>
      </c>
      <c r="N4" s="1212"/>
      <c r="O4" s="1213"/>
      <c r="P4" s="1211">
        <v>5</v>
      </c>
      <c r="Q4" s="1212"/>
      <c r="R4" s="1213"/>
      <c r="S4" s="1211">
        <v>6</v>
      </c>
      <c r="T4" s="1212"/>
      <c r="U4" s="1213"/>
      <c r="V4" s="1211">
        <v>7</v>
      </c>
      <c r="W4" s="1212"/>
      <c r="X4" s="1213"/>
      <c r="Y4" s="1211">
        <v>8</v>
      </c>
      <c r="Z4" s="1212"/>
      <c r="AA4" s="1213"/>
      <c r="AB4" s="1211">
        <v>9</v>
      </c>
      <c r="AC4" s="1212"/>
      <c r="AD4" s="1213"/>
      <c r="AE4" s="1211">
        <v>10</v>
      </c>
      <c r="AF4" s="1212"/>
      <c r="AG4" s="1213"/>
      <c r="AH4" s="1211">
        <v>11</v>
      </c>
      <c r="AI4" s="1212"/>
      <c r="AJ4" s="1213"/>
      <c r="AK4" s="1211">
        <v>12</v>
      </c>
      <c r="AL4" s="1212"/>
      <c r="AM4" s="1213"/>
      <c r="AN4" s="1211">
        <v>13</v>
      </c>
      <c r="AO4" s="1212"/>
      <c r="AP4" s="1213"/>
      <c r="AQ4" s="1211">
        <v>14</v>
      </c>
      <c r="AR4" s="1212"/>
      <c r="AS4" s="1213"/>
      <c r="AT4" s="1211">
        <v>15</v>
      </c>
      <c r="AU4" s="1212"/>
      <c r="AV4" s="1213"/>
      <c r="AW4" s="1211">
        <v>16</v>
      </c>
      <c r="AX4" s="1212"/>
      <c r="AY4" s="1213"/>
      <c r="AZ4" s="1211" t="s">
        <v>758</v>
      </c>
      <c r="BA4" s="1213"/>
      <c r="BB4" s="187" t="s">
        <v>759</v>
      </c>
      <c r="BC4" s="132" t="s">
        <v>100</v>
      </c>
      <c r="BE4" s="903"/>
    </row>
    <row r="5" spans="1:98" ht="15.75" customHeight="1" x14ac:dyDescent="0.25">
      <c r="A5" s="1175">
        <v>1</v>
      </c>
      <c r="B5" s="1237"/>
      <c r="C5" s="133" t="str">
        <f>IF(B5="","",VLOOKUP(B5,'Списки участников'!A:H,3,FALSE))</f>
        <v/>
      </c>
      <c r="D5" s="1246"/>
      <c r="E5" s="1246"/>
      <c r="F5" s="1247"/>
      <c r="G5" s="1234" t="str">
        <f>IF('св.прот 1ф'!H117="","",IF(G6="L",0,IF(G6&gt;I6,2,1)))</f>
        <v/>
      </c>
      <c r="H5" s="1235"/>
      <c r="I5" s="1236"/>
      <c r="J5" s="1234" t="str">
        <f>IF('св.прот 1ф'!H109="","",IF(J6="L",0,IF(J6&gt;L6,2,1)))</f>
        <v/>
      </c>
      <c r="K5" s="1235"/>
      <c r="L5" s="1236"/>
      <c r="M5" s="1234" t="str">
        <f>IF('св.прот 1ф'!H101="","",IF(M6="L",0,IF(M6&gt;O6,2,1)))</f>
        <v/>
      </c>
      <c r="N5" s="1235"/>
      <c r="O5" s="1236"/>
      <c r="P5" s="1234" t="str">
        <f>IF('св.прот 1ф'!H93="","",IF(P6="L",0,IF(P6&gt;R6,2,1)))</f>
        <v/>
      </c>
      <c r="Q5" s="1235"/>
      <c r="R5" s="1236"/>
      <c r="S5" s="1234" t="str">
        <f>IF('св.прот 1ф'!H85="","",IF(S6="L",0,IF(S6&gt;U6,2,1)))</f>
        <v/>
      </c>
      <c r="T5" s="1235"/>
      <c r="U5" s="1236"/>
      <c r="V5" s="1234" t="str">
        <f>IF('св.прот 1ф'!H77="","",IF(V6="L",0,IF(V6&gt;X6,2,1)))</f>
        <v/>
      </c>
      <c r="W5" s="1235"/>
      <c r="X5" s="1236"/>
      <c r="Y5" s="1234" t="str">
        <f>IF('св.прот 1ф'!H69="","",IF(Y6="L",0,IF(Y6&gt;AA6,2,1)))</f>
        <v/>
      </c>
      <c r="Z5" s="1235"/>
      <c r="AA5" s="1236"/>
      <c r="AB5" s="1234" t="str">
        <f>IF('св.прот 1ф'!H61="","",IF(AB6="L",0,IF(AB6&gt;AD6,2,1)))</f>
        <v/>
      </c>
      <c r="AC5" s="1235"/>
      <c r="AD5" s="1236"/>
      <c r="AE5" s="1234" t="str">
        <f>IF('св.прот 1ф'!H53="","",IF(AE6="L",0,IF(AE6&gt;AG6,2,1)))</f>
        <v/>
      </c>
      <c r="AF5" s="1235"/>
      <c r="AG5" s="1236"/>
      <c r="AH5" s="1234" t="str">
        <f>IF('св.прот 1ф'!H45="","",IF(AH6="L",0,IF(AH6&gt;AJ6,2,1)))</f>
        <v/>
      </c>
      <c r="AI5" s="1235"/>
      <c r="AJ5" s="1236"/>
      <c r="AK5" s="1234" t="str">
        <f>IF('св.прот 1ф'!H37="","",IF(AK6="L",0,IF(AK6&gt;AM6,2,1)))</f>
        <v/>
      </c>
      <c r="AL5" s="1235"/>
      <c r="AM5" s="1236"/>
      <c r="AN5" s="1234" t="str">
        <f>IF('св.прот 1ф'!H29="","",IF(AN6="L",0,IF(AN6&gt;AP6,2,1)))</f>
        <v/>
      </c>
      <c r="AO5" s="1235"/>
      <c r="AP5" s="1236"/>
      <c r="AQ5" s="1234" t="str">
        <f>IF('св.прот 1ф'!H21="","",IF(AQ6="L",0,IF(AQ6&gt;AS6,2,1)))</f>
        <v/>
      </c>
      <c r="AR5" s="1235"/>
      <c r="AS5" s="1236"/>
      <c r="AT5" s="1234" t="str">
        <f>IF('св.прот 1ф'!H13="","",IF(AT6="L",0,IF(AT6&gt;AV6,2,1)))</f>
        <v/>
      </c>
      <c r="AU5" s="1235"/>
      <c r="AV5" s="1236"/>
      <c r="AW5" s="1234" t="str">
        <f>IF('св.прот 1ф'!H5="","",IF(AW6="L",0,IF(AW6&gt;AY6,2,1)))</f>
        <v/>
      </c>
      <c r="AX5" s="1235"/>
      <c r="AY5" s="1236"/>
      <c r="AZ5" s="1242" t="str">
        <f>IF(B5="","",SUM(G5,J5,M5,P5,S5,V5,Y5,AB5,AE5,AH5,AK5,AN5,AQ5,AT5,AW5,D5))</f>
        <v/>
      </c>
      <c r="BA5" s="1243"/>
      <c r="BB5" s="1220"/>
      <c r="BC5" s="1222" t="str">
        <f>IF(B5="","",RANK(AZ5,Ф1Оч))</f>
        <v/>
      </c>
      <c r="BD5" s="128" t="str">
        <f>IF('св.прот 1ф'!BE117="","",IF(BD6="L",0,IF(BD6&gt;BF6,2,1)))</f>
        <v/>
      </c>
      <c r="BG5" s="128" t="str">
        <f>IF('св.прот 1ф'!BE109="","",IF(BG6="L",0,IF(BG6&gt;BI6,2,1)))</f>
        <v/>
      </c>
      <c r="BJ5" s="128" t="str">
        <f>IF('св.прот 1ф'!BE101="","",IF(BJ6="L",0,IF(BJ6&gt;BL6,2,1)))</f>
        <v/>
      </c>
      <c r="BM5" s="128" t="str">
        <f>IF('св.прот 1ф'!BE93="","",IF(BM6="L",0,IF(BM6&gt;BO6,2,1)))</f>
        <v/>
      </c>
      <c r="BP5" s="128" t="str">
        <f>IF('св.прот 1ф'!BE85="","",IF(BP6="L",0,IF(BP6&gt;BR6,2,1)))</f>
        <v/>
      </c>
      <c r="BS5" s="128" t="str">
        <f>IF('св.прот 1ф'!BE77="","",IF(BS6="L",0,IF(BS6&gt;BU6,2,1)))</f>
        <v/>
      </c>
      <c r="BV5" s="128" t="str">
        <f>IF('св.прот 1ф'!BE69="","",IF(BV6="L",0,IF(BV6&gt;BX6,2,1)))</f>
        <v/>
      </c>
      <c r="BY5" s="128" t="str">
        <f>IF('св.прот 1ф'!BE61="","",IF(BY6="L",0,IF(BY6&gt;CA6,2,1)))</f>
        <v/>
      </c>
      <c r="CB5" s="128" t="str">
        <f>IF('св.прот 1ф'!BE53="","",IF(CB6="L",0,IF(CB6&gt;CD6,2,1)))</f>
        <v/>
      </c>
      <c r="CE5" s="128" t="str">
        <f>IF('св.прот 1ф'!BE45="","",IF(CE6="L",0,IF(CE6&gt;CG6,2,1)))</f>
        <v/>
      </c>
      <c r="CH5" s="128" t="str">
        <f>IF('св.прот 1ф'!BE37="","",IF(CH6="L",0,IF(CH6&gt;CJ6,2,1)))</f>
        <v/>
      </c>
      <c r="CK5" s="128" t="str">
        <f>IF('св.прот 1ф'!BE29="","",IF(CK6="L",0,IF(CK6&gt;CM6,2,1)))</f>
        <v/>
      </c>
      <c r="CN5" s="128" t="str">
        <f>IF('св.прот 1ф'!BE21="","",IF(CN6="L",0,IF(CN6&gt;CP6,2,1)))</f>
        <v/>
      </c>
      <c r="CQ5" s="128" t="str">
        <f>IF('св.прот 1ф'!BE13="","",IF(CQ6="L",0,IF(CQ6&gt;CS6,2,1)))</f>
        <v/>
      </c>
      <c r="CT5" s="128" t="str">
        <f>IF('св.прот 1ф'!BE5="","",IF(CT6="L",0,IF(CT6&gt;CV6,2,1)))</f>
        <v/>
      </c>
    </row>
    <row r="6" spans="1:98" ht="15.75" customHeight="1" x14ac:dyDescent="0.25">
      <c r="A6" s="1176"/>
      <c r="B6" s="1238"/>
      <c r="C6" s="134" t="str">
        <f>IF(B5="","",VLOOKUP(B5,'Списки участников'!A:H,6,FALSE))</f>
        <v/>
      </c>
      <c r="D6" s="1232"/>
      <c r="E6" s="1232"/>
      <c r="F6" s="1233"/>
      <c r="G6" s="135" t="str">
        <f>IF('св.прот 1ф'!H117="","",IF('св.прот 1ф'!D117='св.прот 1ф'!H117,'св.прот 1ф'!O117,'св.прот 1ф'!P117))</f>
        <v/>
      </c>
      <c r="H6" s="136" t="str">
        <f>IF(G5="","",":")</f>
        <v/>
      </c>
      <c r="I6" s="137" t="str">
        <f>IF('св.прот 1ф'!H117="","",IF('св.прот 1ф'!D117='св.прот 1ф'!H117,'св.прот 1ф'!P117,'св.прот 1ф'!O117))</f>
        <v/>
      </c>
      <c r="J6" s="135" t="str">
        <f>IF('св.прот 1ф'!H109="","",IF('св.прот 1ф'!D109='св.прот 1ф'!H109,'св.прот 1ф'!O109,'св.прот 1ф'!P109))</f>
        <v/>
      </c>
      <c r="K6" s="136" t="str">
        <f>IF(J5="","",":")</f>
        <v/>
      </c>
      <c r="L6" s="137" t="str">
        <f>IF('св.прот 1ф'!H109="","",IF('св.прот 1ф'!D109='св.прот 1ф'!H109,'св.прот 1ф'!P109,'св.прот 1ф'!O109))</f>
        <v/>
      </c>
      <c r="M6" s="135" t="str">
        <f>IF('св.прот 1ф'!H101="","",IF('св.прот 1ф'!D101='св.прот 1ф'!H101,'св.прот 1ф'!O101,'св.прот 1ф'!P101))</f>
        <v/>
      </c>
      <c r="N6" s="136" t="str">
        <f>IF(M5="","",":")</f>
        <v/>
      </c>
      <c r="O6" s="137" t="str">
        <f>IF('св.прот 1ф'!H101="","",IF('св.прот 1ф'!D101='св.прот 1ф'!H101,'св.прот 1ф'!P101,'св.прот 1ф'!O101))</f>
        <v/>
      </c>
      <c r="P6" s="135" t="str">
        <f>IF('св.прот 1ф'!H93="","",IF('св.прот 1ф'!D93='св.прот 1ф'!H93,'св.прот 1ф'!O93,'св.прот 1ф'!P93))</f>
        <v/>
      </c>
      <c r="Q6" s="136" t="str">
        <f>IF(P5="","",":")</f>
        <v/>
      </c>
      <c r="R6" s="137" t="str">
        <f>IF('св.прот 1ф'!H93="","",IF('св.прот 1ф'!D93='св.прот 1ф'!H93,'св.прот 1ф'!P93,'св.прот 1ф'!O93))</f>
        <v/>
      </c>
      <c r="S6" s="135" t="str">
        <f>IF('св.прот 1ф'!H85="","",IF('св.прот 1ф'!D85='св.прот 1ф'!H85,'св.прот 1ф'!O85,'св.прот 1ф'!P85))</f>
        <v/>
      </c>
      <c r="T6" s="136" t="str">
        <f>IF(S5="","",":")</f>
        <v/>
      </c>
      <c r="U6" s="137" t="str">
        <f>IF('св.прот 1ф'!H85="","",IF('св.прот 1ф'!D85='св.прот 1ф'!H85,'св.прот 1ф'!P85,'св.прот 1ф'!O85))</f>
        <v/>
      </c>
      <c r="V6" s="135" t="str">
        <f>IF('св.прот 1ф'!H77="","",IF('св.прот 1ф'!D77='св.прот 1ф'!H77,'св.прот 1ф'!O77,'св.прот 1ф'!P77))</f>
        <v/>
      </c>
      <c r="W6" s="136" t="str">
        <f>IF(V5="","",":")</f>
        <v/>
      </c>
      <c r="X6" s="137" t="str">
        <f>IF('св.прот 1ф'!H77="","",IF('св.прот 1ф'!D77='св.прот 1ф'!H77,'св.прот 1ф'!P77,'св.прот 1ф'!O77))</f>
        <v/>
      </c>
      <c r="Y6" s="135" t="str">
        <f>IF('св.прот 1ф'!H69="","",IF('св.прот 1ф'!D69='св.прот 1ф'!H69,'св.прот 1ф'!O69,'св.прот 1ф'!P69))</f>
        <v/>
      </c>
      <c r="Z6" s="136" t="str">
        <f>IF(Y5="","",":")</f>
        <v/>
      </c>
      <c r="AA6" s="137" t="str">
        <f>IF('св.прот 1ф'!H69="","",IF('св.прот 1ф'!D69='св.прот 1ф'!H69,'св.прот 1ф'!P69,'св.прот 1ф'!O69))</f>
        <v/>
      </c>
      <c r="AB6" s="135" t="str">
        <f>IF('св.прот 1ф'!H61="","",IF('св.прот 1ф'!D61='св.прот 1ф'!H61,'св.прот 1ф'!O61,'св.прот 1ф'!P61))</f>
        <v/>
      </c>
      <c r="AC6" s="136" t="str">
        <f>IF(AB5="","",":")</f>
        <v/>
      </c>
      <c r="AD6" s="137" t="str">
        <f>IF('св.прот 1ф'!H61="","",IF('св.прот 1ф'!D61='св.прот 1ф'!H61,'св.прот 1ф'!P61,'св.прот 1ф'!O61))</f>
        <v/>
      </c>
      <c r="AE6" s="135" t="str">
        <f>IF('св.прот 1ф'!H53="","",IF('св.прот 1ф'!D53='св.прот 1ф'!H53,'св.прот 1ф'!O53,'св.прот 1ф'!P53))</f>
        <v/>
      </c>
      <c r="AF6" s="136" t="str">
        <f>IF(AE5="","",":")</f>
        <v/>
      </c>
      <c r="AG6" s="137" t="str">
        <f>IF('св.прот 1ф'!H53="","",IF('св.прот 1ф'!D53='св.прот 1ф'!H53,'св.прот 1ф'!P53,'св.прот 1ф'!O53))</f>
        <v/>
      </c>
      <c r="AH6" s="135" t="str">
        <f>IF('св.прот 1ф'!H45="","",IF('св.прот 1ф'!D45='св.прот 1ф'!H45,'св.прот 1ф'!O45,'св.прот 1ф'!P45))</f>
        <v/>
      </c>
      <c r="AI6" s="136" t="str">
        <f>IF(AH5="","",":")</f>
        <v/>
      </c>
      <c r="AJ6" s="137" t="str">
        <f>IF('св.прот 1ф'!H45="","",IF('св.прот 1ф'!D45='св.прот 1ф'!H45,'св.прот 1ф'!P45,'св.прот 1ф'!O45))</f>
        <v/>
      </c>
      <c r="AK6" s="135" t="str">
        <f>IF('св.прот 1ф'!H37="","",IF('св.прот 1ф'!D37='св.прот 1ф'!H37,'св.прот 1ф'!O37,'св.прот 1ф'!P37))</f>
        <v/>
      </c>
      <c r="AL6" s="136" t="str">
        <f>IF(AK5="","",":")</f>
        <v/>
      </c>
      <c r="AM6" s="137" t="str">
        <f>IF('св.прот 1ф'!H37="","",IF('св.прот 1ф'!D37='св.прот 1ф'!H37,'св.прот 1ф'!P37,'св.прот 1ф'!O37))</f>
        <v/>
      </c>
      <c r="AN6" s="135" t="str">
        <f>IF('св.прот 1ф'!H29="","",IF('св.прот 1ф'!D29='св.прот 1ф'!H29,'св.прот 1ф'!O29,'св.прот 1ф'!P29))</f>
        <v/>
      </c>
      <c r="AO6" s="136" t="str">
        <f>IF(AN5="","",":")</f>
        <v/>
      </c>
      <c r="AP6" s="137" t="str">
        <f>IF('св.прот 1ф'!H29="","",IF('св.прот 1ф'!D29='св.прот 1ф'!H29,'св.прот 1ф'!P29,'св.прот 1ф'!O29))</f>
        <v/>
      </c>
      <c r="AQ6" s="135" t="str">
        <f>IF('св.прот 1ф'!H21="","",IF('св.прот 1ф'!D21='св.прот 1ф'!H21,'св.прот 1ф'!O21,'св.прот 1ф'!P21))</f>
        <v/>
      </c>
      <c r="AR6" s="136" t="str">
        <f>IF(AQ5="","",":")</f>
        <v/>
      </c>
      <c r="AS6" s="137" t="str">
        <f>IF('св.прот 1ф'!H21="","",IF('св.прот 1ф'!D21='св.прот 1ф'!H21,'св.прот 1ф'!P21,'св.прот 1ф'!O21))</f>
        <v/>
      </c>
      <c r="AT6" s="135" t="str">
        <f>IF('св.прот 1ф'!H13="","",IF('св.прот 1ф'!D13='св.прот 1ф'!H13,'св.прот 1ф'!O13,'св.прот 1ф'!P13))</f>
        <v/>
      </c>
      <c r="AU6" s="136" t="str">
        <f>IF(AT5="","",":")</f>
        <v/>
      </c>
      <c r="AV6" s="137" t="str">
        <f>IF('св.прот 1ф'!H13="","",IF('св.прот 1ф'!D13='св.прот 1ф'!H13,'св.прот 1ф'!P13,'св.прот 1ф'!O13))</f>
        <v/>
      </c>
      <c r="AW6" s="135" t="str">
        <f>IF('св.прот 1ф'!H5="","",IF('св.прот 1ф'!D5='св.прот 1ф'!H5,'св.прот 1ф'!O5,'св.прот 1ф'!P5))</f>
        <v/>
      </c>
      <c r="AX6" s="136" t="str">
        <f>IF(AW5="","",":")</f>
        <v/>
      </c>
      <c r="AY6" s="137" t="str">
        <f>IF('св.прот 1ф'!H5="","",IF('св.прот 1ф'!D5='св.прот 1ф'!H5,'св.прот 1ф'!P5,'св.прот 1ф'!O5))</f>
        <v/>
      </c>
      <c r="AZ6" s="1244"/>
      <c r="BA6" s="1245"/>
      <c r="BB6" s="1221"/>
      <c r="BC6" s="1222"/>
      <c r="BG6" s="128" t="str">
        <f>IF('св.прот 1ф'!BE110="","",IF(BG7="L",0,IF(BG7&gt;BI7,2,1)))</f>
        <v/>
      </c>
      <c r="BJ6" s="128" t="str">
        <f>IF('св.прот 1ф'!BE102="","",IF(BJ7="L",0,IF(BJ7&gt;BL7,2,1)))</f>
        <v/>
      </c>
      <c r="BM6" s="128" t="str">
        <f>IF('св.прот 1ф'!BE94="","",IF(BM7="L",0,IF(BM7&gt;BO7,2,1)))</f>
        <v/>
      </c>
      <c r="BP6" s="128" t="str">
        <f>IF('св.прот 1ф'!BE86="","",IF(BP7="L",0,IF(BP7&gt;BR7,2,1)))</f>
        <v/>
      </c>
      <c r="BS6" s="128" t="str">
        <f>IF('св.прот 1ф'!BE78="","",IF(BS7="L",0,IF(BS7&gt;BU7,2,1)))</f>
        <v/>
      </c>
    </row>
    <row r="7" spans="1:98" ht="15.75" customHeight="1" x14ac:dyDescent="0.25">
      <c r="A7" s="1175">
        <v>2</v>
      </c>
      <c r="B7" s="1223"/>
      <c r="C7" s="133" t="str">
        <f>IF(B7="","",VLOOKUP(B7,'Списки участников'!A:H,3,FALSE))</f>
        <v/>
      </c>
      <c r="D7" s="1225" t="str">
        <f>IF(G5="","",IF(G6="W",0,IF(G5=2,1,IF(G5=1,2,IF(G5=0,2)))))</f>
        <v/>
      </c>
      <c r="E7" s="1226"/>
      <c r="F7" s="1227"/>
      <c r="G7" s="1228"/>
      <c r="H7" s="1229"/>
      <c r="I7" s="1230"/>
      <c r="J7" s="1234" t="str">
        <f>IF('св.прот 1ф'!H60="","",IF(J8="L",0,IF(J8&gt;L8,2,1)))</f>
        <v/>
      </c>
      <c r="K7" s="1235"/>
      <c r="L7" s="1236"/>
      <c r="M7" s="1234" t="str">
        <f>IF('св.прот 1ф'!H110="","",IF(M8="L",0,IF(M8&gt;O8,2,1)))</f>
        <v/>
      </c>
      <c r="N7" s="1235"/>
      <c r="O7" s="1236"/>
      <c r="P7" s="1234" t="str">
        <f>IF('св.прот 1ф'!H51="","",IF(P8="L",0,IF(P8&gt;R8,2,1)))</f>
        <v/>
      </c>
      <c r="Q7" s="1235"/>
      <c r="R7" s="1236"/>
      <c r="S7" s="1234" t="str">
        <f>IF('св.прот 1ф'!H103="","",IF(S8="L",0,IF(S8&gt;U8,2,1)))</f>
        <v/>
      </c>
      <c r="T7" s="1235"/>
      <c r="U7" s="1236"/>
      <c r="V7" s="1234" t="str">
        <f>IF('св.прот 1ф'!H42="","",IF(V8="L",0,IF(V8&gt;X8,2,1)))</f>
        <v/>
      </c>
      <c r="W7" s="1235"/>
      <c r="X7" s="1236"/>
      <c r="Y7" s="1234" t="str">
        <f>IF('св.прот 1ф'!H96="","",IF(Y8="L",0,IF(Y8&gt;AA8,2,1)))</f>
        <v/>
      </c>
      <c r="Z7" s="1235"/>
      <c r="AA7" s="1236"/>
      <c r="AB7" s="1234" t="str">
        <f>IF('св.прот 1ф'!H33="","",IF(AB8="L",0,IF(AB8&gt;AD8,2,1)))</f>
        <v/>
      </c>
      <c r="AC7" s="1235"/>
      <c r="AD7" s="1236"/>
      <c r="AE7" s="1234" t="str">
        <f>IF('св.прот 1ф'!H89="","",IF(AE8="L",0,IF(AE8&gt;AG8,2,1)))</f>
        <v/>
      </c>
      <c r="AF7" s="1235"/>
      <c r="AG7" s="1236"/>
      <c r="AH7" s="1234" t="str">
        <f>IF('св.прот 1ф'!H24="","",IF(AH8="L",0,IF(AH8&gt;AJ8,2,1)))</f>
        <v/>
      </c>
      <c r="AI7" s="1235"/>
      <c r="AJ7" s="1236"/>
      <c r="AK7" s="1234" t="str">
        <f>IF('св.прот 1ф'!H82="","",IF(AK8="L",0,IF(AK8&gt;AM8,2,1)))</f>
        <v/>
      </c>
      <c r="AL7" s="1235"/>
      <c r="AM7" s="1236"/>
      <c r="AN7" s="1234" t="str">
        <f>IF('св.прот 1ф'!H15="","",IF(AN8="L",0,IF(AN8&gt;AP8,2,1)))</f>
        <v/>
      </c>
      <c r="AO7" s="1235"/>
      <c r="AP7" s="1236"/>
      <c r="AQ7" s="1234" t="str">
        <f>IF('св.прот 1ф'!H75="","",IF(AQ8="L",0,IF(AQ8&gt;AS8,2,1)))</f>
        <v/>
      </c>
      <c r="AR7" s="1235"/>
      <c r="AS7" s="1236"/>
      <c r="AT7" s="1234" t="str">
        <f>IF('св.прот 1ф'!H6="","",IF(AT8="L",0,IF(AT8&gt;AV8,2,1)))</f>
        <v/>
      </c>
      <c r="AU7" s="1235"/>
      <c r="AV7" s="1236"/>
      <c r="AW7" s="1234" t="str">
        <f>IF('св.прот 1ф'!H68="","",IF(AW8="L",0,IF(AW8&gt;AY8,2,1)))</f>
        <v/>
      </c>
      <c r="AX7" s="1235"/>
      <c r="AY7" s="1236"/>
      <c r="AZ7" s="1242" t="str">
        <f t="shared" ref="AZ7" si="0">IF(B7="","",SUM(G7,J7,M7,P7,S7,V7,Y7,AB7,AE7,AH7,AK7,AN7,AQ7,AT7,AW7,D7))</f>
        <v/>
      </c>
      <c r="BA7" s="1243"/>
      <c r="BB7" s="1220"/>
      <c r="BC7" s="1222" t="str">
        <f>IF(B7="","",RANK(AZ7,Ф1Оч))</f>
        <v/>
      </c>
    </row>
    <row r="8" spans="1:98" ht="15.75" customHeight="1" x14ac:dyDescent="0.25">
      <c r="A8" s="1176"/>
      <c r="B8" s="1224"/>
      <c r="C8" s="134" t="str">
        <f>IF(B7="","",VLOOKUP(B7,'Списки участников'!A:H,6,FALSE))</f>
        <v/>
      </c>
      <c r="D8" s="138" t="str">
        <f>IF(G5="","",I6)</f>
        <v/>
      </c>
      <c r="E8" s="139" t="str">
        <f>IF(G5="","",":")</f>
        <v/>
      </c>
      <c r="F8" s="140" t="str">
        <f>IF(I6="","",G6)</f>
        <v/>
      </c>
      <c r="G8" s="1231"/>
      <c r="H8" s="1232"/>
      <c r="I8" s="1233"/>
      <c r="J8" s="926" t="str">
        <f>IF('св.прот 1ф'!H60="","",IF('св.прот 1ф'!D60='св.прот 1ф'!H60,'св.прот 1ф'!O60,'св.прот 1ф'!P60))</f>
        <v/>
      </c>
      <c r="K8" s="927" t="str">
        <f>IF(J7="","",":")</f>
        <v/>
      </c>
      <c r="L8" s="928" t="str">
        <f>IF('св.прот 1ф'!H60="","",IF('св.прот 1ф'!D60='св.прот 1ф'!H60,'св.прот 1ф'!P60,'св.прот 1ф'!O60))</f>
        <v/>
      </c>
      <c r="M8" s="926" t="str">
        <f>IF('св.прот 1ф'!H110="","",IF('св.прот 1ф'!D110='св.прот 1ф'!H110,'св.прот 1ф'!O110,'св.прот 1ф'!P110))</f>
        <v/>
      </c>
      <c r="N8" s="927" t="str">
        <f>IF(M7="","",":")</f>
        <v/>
      </c>
      <c r="O8" s="928" t="str">
        <f>IF('св.прот 1ф'!H110="","",IF('св.прот 1ф'!D110='св.прот 1ф'!H110,'св.прот 1ф'!P110,'св.прот 1ф'!O110))</f>
        <v/>
      </c>
      <c r="P8" s="926" t="str">
        <f>IF('св.прот 1ф'!H51="","",IF('св.прот 1ф'!D51='св.прот 1ф'!H51,'св.прот 1ф'!O51,'св.прот 1ф'!P51))</f>
        <v/>
      </c>
      <c r="Q8" s="927" t="str">
        <f>IF(P7="","",":")</f>
        <v/>
      </c>
      <c r="R8" s="928" t="str">
        <f>IF('св.прот 1ф'!H51="","",IF('св.прот 1ф'!D51='св.прот 1ф'!H51,'св.прот 1ф'!P51,'св.прот 1ф'!O51))</f>
        <v/>
      </c>
      <c r="S8" s="926" t="str">
        <f>IF('св.прот 1ф'!H103="","",IF('св.прот 1ф'!D103='св.прот 1ф'!H103,'св.прот 1ф'!O103,'св.прот 1ф'!P103))</f>
        <v/>
      </c>
      <c r="T8" s="927" t="str">
        <f>IF(S7="","",":")</f>
        <v/>
      </c>
      <c r="U8" s="928" t="str">
        <f>IF('св.прот 1ф'!H103="","",IF('св.прот 1ф'!D103='св.прот 1ф'!H103,'св.прот 1ф'!P103,'св.прот 1ф'!O103))</f>
        <v/>
      </c>
      <c r="V8" s="926" t="str">
        <f>IF('св.прот 1ф'!H42="","",IF('св.прот 1ф'!D42='св.прот 1ф'!H42,'св.прот 1ф'!O42,'св.прот 1ф'!P42))</f>
        <v/>
      </c>
      <c r="W8" s="927" t="str">
        <f>IF(V7="","",":")</f>
        <v/>
      </c>
      <c r="X8" s="928" t="str">
        <f>IF('св.прот 1ф'!H42="","",IF('св.прот 1ф'!D42='св.прот 1ф'!H42,'св.прот 1ф'!P42,'св.прот 1ф'!O42))</f>
        <v/>
      </c>
      <c r="Y8" s="926" t="str">
        <f>IF('св.прот 1ф'!H96="","",IF('св.прот 1ф'!D96='св.прот 1ф'!H96,'св.прот 1ф'!O96,'св.прот 1ф'!P96))</f>
        <v/>
      </c>
      <c r="Z8" s="927" t="str">
        <f>IF(Y7="","",":")</f>
        <v/>
      </c>
      <c r="AA8" s="928" t="str">
        <f>IF('св.прот 1ф'!H96="","",IF('св.прот 1ф'!D96='св.прот 1ф'!H96,'св.прот 1ф'!P96,'св.прот 1ф'!O96))</f>
        <v/>
      </c>
      <c r="AB8" s="926" t="str">
        <f>IF('св.прот 1ф'!H33="","",IF('св.прот 1ф'!D33='св.прот 1ф'!H33,'св.прот 1ф'!O33,'св.прот 1ф'!P33))</f>
        <v/>
      </c>
      <c r="AC8" s="927" t="str">
        <f>IF(AB7="","",":")</f>
        <v/>
      </c>
      <c r="AD8" s="928" t="str">
        <f>IF('св.прот 1ф'!H33="","",IF('св.прот 1ф'!D33='св.прот 1ф'!H33,'св.прот 1ф'!P33,'св.прот 1ф'!O33))</f>
        <v/>
      </c>
      <c r="AE8" s="926" t="str">
        <f>IF('св.прот 1ф'!H89="","",IF('св.прот 1ф'!D89='св.прот 1ф'!H89,'св.прот 1ф'!O89,'св.прот 1ф'!P89))</f>
        <v/>
      </c>
      <c r="AF8" s="927" t="str">
        <f>IF(AE7="","",":")</f>
        <v/>
      </c>
      <c r="AG8" s="928" t="str">
        <f>IF('св.прот 1ф'!H89="","",IF('св.прот 1ф'!D89='св.прот 1ф'!H89,'св.прот 1ф'!P89,'св.прот 1ф'!O89))</f>
        <v/>
      </c>
      <c r="AH8" s="926" t="str">
        <f>IF('св.прот 1ф'!H24="","",IF('св.прот 1ф'!D24='св.прот 1ф'!H24,'св.прот 1ф'!O24,'св.прот 1ф'!P24))</f>
        <v/>
      </c>
      <c r="AI8" s="927" t="str">
        <f>IF(AH7="","",":")</f>
        <v/>
      </c>
      <c r="AJ8" s="928" t="str">
        <f>IF('св.прот 1ф'!H24="","",IF('св.прот 1ф'!D24='св.прот 1ф'!H24,'св.прот 1ф'!P24,'св.прот 1ф'!O24))</f>
        <v/>
      </c>
      <c r="AK8" s="926" t="str">
        <f>IF('св.прот 1ф'!H82="","",IF('св.прот 1ф'!D82='св.прот 1ф'!H82,'св.прот 1ф'!O82,'св.прот 1ф'!P82))</f>
        <v/>
      </c>
      <c r="AL8" s="927" t="str">
        <f>IF(AK7="","",":")</f>
        <v/>
      </c>
      <c r="AM8" s="928" t="str">
        <f>IF('св.прот 1ф'!H82="","",IF('св.прот 1ф'!D82='св.прот 1ф'!H82,'св.прот 1ф'!P82,'св.прот 1ф'!O82))</f>
        <v/>
      </c>
      <c r="AN8" s="926" t="str">
        <f>IF('св.прот 1ф'!H15="","",IF('св.прот 1ф'!D15='св.прот 1ф'!H15,'св.прот 1ф'!O15,'св.прот 1ф'!P15))</f>
        <v/>
      </c>
      <c r="AO8" s="927" t="str">
        <f>IF(AN7="","",":")</f>
        <v/>
      </c>
      <c r="AP8" s="928" t="str">
        <f>IF('св.прот 1ф'!H15="","",IF('св.прот 1ф'!D15='св.прот 1ф'!H15,'св.прот 1ф'!P15,'св.прот 1ф'!O15))</f>
        <v/>
      </c>
      <c r="AQ8" s="926" t="str">
        <f>IF('св.прот 1ф'!H75="","",IF('св.прот 1ф'!D75='св.прот 1ф'!H75,'св.прот 1ф'!O75,'св.прот 1ф'!P75))</f>
        <v/>
      </c>
      <c r="AR8" s="927" t="str">
        <f>IF(AQ7="","",":")</f>
        <v/>
      </c>
      <c r="AS8" s="928" t="str">
        <f>IF('св.прот 1ф'!H75="","",IF('св.прот 1ф'!D75='св.прот 1ф'!H75,'св.прот 1ф'!P75,'св.прот 1ф'!O75))</f>
        <v/>
      </c>
      <c r="AT8" s="926" t="str">
        <f>IF('св.прот 1ф'!H6="","",IF('св.прот 1ф'!D6='св.прот 1ф'!H6,'св.прот 1ф'!O6,'св.прот 1ф'!P6))</f>
        <v/>
      </c>
      <c r="AU8" s="927" t="str">
        <f>IF(AT7="","",":")</f>
        <v/>
      </c>
      <c r="AV8" s="928" t="str">
        <f>IF('св.прот 1ф'!H6="","",IF('св.прот 1ф'!D6='св.прот 1ф'!H6,'св.прот 1ф'!P6,'св.прот 1ф'!O6))</f>
        <v/>
      </c>
      <c r="AW8" s="926" t="str">
        <f>IF('св.прот 1ф'!H68="","",IF('св.прот 1ф'!D68='св.прот 1ф'!H68,'св.прот 1ф'!O68,'св.прот 1ф'!P68))</f>
        <v/>
      </c>
      <c r="AX8" s="927" t="str">
        <f>IF(AW7="","",":")</f>
        <v/>
      </c>
      <c r="AY8" s="928" t="str">
        <f>IF('св.прот 1ф'!H68="","",IF('св.прот 1ф'!D68='св.прот 1ф'!H68,'св.прот 1ф'!P68,'св.прот 1ф'!O68))</f>
        <v/>
      </c>
      <c r="AZ8" s="1244"/>
      <c r="BA8" s="1245"/>
      <c r="BB8" s="1221"/>
      <c r="BC8" s="1222"/>
    </row>
    <row r="9" spans="1:98" ht="15.75" customHeight="1" x14ac:dyDescent="0.25">
      <c r="A9" s="1175">
        <v>3</v>
      </c>
      <c r="B9" s="1237"/>
      <c r="C9" s="133" t="str">
        <f>IF(B9="","",VLOOKUP(B9,'Списки участников'!A:H,3,FALSE))</f>
        <v/>
      </c>
      <c r="D9" s="1225" t="str">
        <f>IF(J5="","",IF(J6="W",0,IF(J5=2,1,IF(J5=1,2,IF(J5=0,2)))))</f>
        <v/>
      </c>
      <c r="E9" s="1226"/>
      <c r="F9" s="1227"/>
      <c r="G9" s="1234" t="str">
        <f>IF(J7="","",IF(J8="W",0,IF(J7=2,1,IF(J7=1,2,IF(J7=0,2)))))</f>
        <v/>
      </c>
      <c r="H9" s="1235"/>
      <c r="I9" s="1236"/>
      <c r="J9" s="1228"/>
      <c r="K9" s="1229"/>
      <c r="L9" s="1230"/>
      <c r="M9" s="1239" t="str">
        <f>IF('св.прот 1ф'!H52="","",IF(M10="L",0,IF(M10&gt;O10,2,1)))</f>
        <v/>
      </c>
      <c r="N9" s="1240"/>
      <c r="O9" s="1241"/>
      <c r="P9" s="1239" t="str">
        <f>IF('св.прот 1ф'!H102="","",IF(P10="L",0,IF(P10&gt;R10,2,1)))</f>
        <v/>
      </c>
      <c r="Q9" s="1240"/>
      <c r="R9" s="1241"/>
      <c r="S9" s="1239" t="str">
        <f>IF('св.прот 1ф'!H43="","",IF(S10="L",0,IF(S10&gt;U10,2,1)))</f>
        <v/>
      </c>
      <c r="T9" s="1240"/>
      <c r="U9" s="1241"/>
      <c r="V9" s="1239" t="str">
        <f>IF('св.прот 1ф'!H95="","",IF(V10="L",0,IF(V10&gt;X10,2,1)))</f>
        <v/>
      </c>
      <c r="W9" s="1240"/>
      <c r="X9" s="1241"/>
      <c r="Y9" s="1239" t="str">
        <f>IF('св.прот 1ф'!H34="","",IF(Y10="L",0,IF(Y10&gt;AA10,2,1)))</f>
        <v/>
      </c>
      <c r="Z9" s="1240"/>
      <c r="AA9" s="1241"/>
      <c r="AB9" s="1239" t="str">
        <f>IF('св.прот 1ф'!H88="","",IF(AB10="L",0,IF(AB10&gt;AD10,2,1)))</f>
        <v/>
      </c>
      <c r="AC9" s="1240"/>
      <c r="AD9" s="1241"/>
      <c r="AE9" s="1239" t="str">
        <f>IF('св.прот 1ф'!H25="","",IF(AE10="L",0,IF(AE10&gt;AG10,2,1)))</f>
        <v/>
      </c>
      <c r="AF9" s="1240"/>
      <c r="AG9" s="1241"/>
      <c r="AH9" s="1239" t="str">
        <f>IF('св.прот 1ф'!H81="","",IF(AH10="L",0,IF(AH10&gt;AJ10,2,1)))</f>
        <v/>
      </c>
      <c r="AI9" s="1240"/>
      <c r="AJ9" s="1241"/>
      <c r="AK9" s="1239" t="str">
        <f>IF('св.прот 1ф'!H16="","",IF(AK10="L",0,IF(AK10&gt;AM10,2,1)))</f>
        <v/>
      </c>
      <c r="AL9" s="1240"/>
      <c r="AM9" s="1241"/>
      <c r="AN9" s="1239" t="str">
        <f>IF('св.прот 1ф'!H74="","",IF(AN10="L",0,IF(AN10&gt;AP10,2,1)))</f>
        <v/>
      </c>
      <c r="AO9" s="1240"/>
      <c r="AP9" s="1241"/>
      <c r="AQ9" s="1239" t="str">
        <f>IF('св.прот 1ф'!H7="","",IF(AQ10="L",0,IF(AQ10&gt;AS10,2,1)))</f>
        <v/>
      </c>
      <c r="AR9" s="1240"/>
      <c r="AS9" s="1241"/>
      <c r="AT9" s="1239" t="str">
        <f>IF('св.прот 1ф'!H67="","",IF(AT10="L",0,IF(AT10&gt;AV10,2,1)))</f>
        <v/>
      </c>
      <c r="AU9" s="1240"/>
      <c r="AV9" s="1241"/>
      <c r="AW9" s="1239" t="str">
        <f>IF('св.прот 1ф'!H118="","",IF(AW10="L",0,IF(AW10&gt;AY10,2,1)))</f>
        <v/>
      </c>
      <c r="AX9" s="1240"/>
      <c r="AY9" s="1241"/>
      <c r="AZ9" s="1242" t="str">
        <f t="shared" ref="AZ9" si="1">IF(B9="","",SUM(G9,J9,M9,P9,S9,V9,Y9,AB9,AE9,AH9,AK9,AN9,AQ9,AT9,AW9,D9))</f>
        <v/>
      </c>
      <c r="BA9" s="1243"/>
      <c r="BB9" s="1220"/>
      <c r="BC9" s="1222" t="str">
        <f>IF(B9="","",RANK(AZ9,Ф1Оч))</f>
        <v/>
      </c>
    </row>
    <row r="10" spans="1:98" ht="15.75" customHeight="1" x14ac:dyDescent="0.25">
      <c r="A10" s="1176"/>
      <c r="B10" s="1238"/>
      <c r="C10" s="134" t="str">
        <f>IF(B9="","",VLOOKUP(B9,'Списки участников'!A:H,6,FALSE))</f>
        <v/>
      </c>
      <c r="D10" s="141" t="str">
        <f>IF(J5="","",L6)</f>
        <v/>
      </c>
      <c r="E10" s="136" t="str">
        <f>IF(K6="","",":")</f>
        <v/>
      </c>
      <c r="F10" s="140" t="str">
        <f>IF(L6="","",J6)</f>
        <v/>
      </c>
      <c r="G10" s="141" t="str">
        <f>IF(J7="","",L8)</f>
        <v/>
      </c>
      <c r="H10" s="136" t="str">
        <f>IF(K8="","",":")</f>
        <v/>
      </c>
      <c r="I10" s="142" t="str">
        <f>IF(L8="","",J8)</f>
        <v/>
      </c>
      <c r="J10" s="1231"/>
      <c r="K10" s="1232"/>
      <c r="L10" s="1233"/>
      <c r="M10" s="926" t="str">
        <f>IF('св.прот 1ф'!H52="","",IF('св.прот 1ф'!D52='св.прот 1ф'!H52,'св.прот 1ф'!O52,'св.прот 1ф'!P52))</f>
        <v/>
      </c>
      <c r="N10" s="927" t="str">
        <f>IF(M9="","",":")</f>
        <v/>
      </c>
      <c r="O10" s="928" t="str">
        <f>IF('св.прот 1ф'!H52="","",IF('св.прот 1ф'!D52='св.прот 1ф'!H52,'св.прот 1ф'!P52,'св.прот 1ф'!O52))</f>
        <v/>
      </c>
      <c r="P10" s="926" t="str">
        <f>IF('св.прот 1ф'!H102="","",IF('св.прот 1ф'!D102='св.прот 1ф'!H102,'св.прот 1ф'!O102,'св.прот 1ф'!P102))</f>
        <v/>
      </c>
      <c r="Q10" s="927" t="str">
        <f>IF(P9="","",":")</f>
        <v/>
      </c>
      <c r="R10" s="928" t="str">
        <f>IF('св.прот 1ф'!H102="","",IF('св.прот 1ф'!D102='св.прот 1ф'!H102,'св.прот 1ф'!P102,'св.прот 1ф'!O102))</f>
        <v/>
      </c>
      <c r="S10" s="926" t="str">
        <f>IF('св.прот 1ф'!H43="","",IF('св.прот 1ф'!D43='св.прот 1ф'!H43,'св.прот 1ф'!O43,'св.прот 1ф'!P43))</f>
        <v/>
      </c>
      <c r="T10" s="927" t="str">
        <f>IF(S9="","",":")</f>
        <v/>
      </c>
      <c r="U10" s="928" t="str">
        <f>IF('св.прот 1ф'!H43="","",IF('св.прот 1ф'!D43='св.прот 1ф'!H43,'св.прот 1ф'!P43,'св.прот 1ф'!O43))</f>
        <v/>
      </c>
      <c r="V10" s="926" t="str">
        <f>IF('св.прот 1ф'!H95="","",IF('св.прот 1ф'!D95='св.прот 1ф'!H95,'св.прот 1ф'!O95,'св.прот 1ф'!P95))</f>
        <v/>
      </c>
      <c r="W10" s="927" t="str">
        <f>IF(V9="","",":")</f>
        <v/>
      </c>
      <c r="X10" s="928" t="str">
        <f>IF('св.прот 1ф'!H95="","",IF('св.прот 1ф'!D95='св.прот 1ф'!H95,'св.прот 1ф'!P95,'св.прот 1ф'!O95))</f>
        <v/>
      </c>
      <c r="Y10" s="926" t="str">
        <f>IF('св.прот 1ф'!H34="","",IF('св.прот 1ф'!D34='св.прот 1ф'!H34,'св.прот 1ф'!O34,'св.прот 1ф'!P34))</f>
        <v/>
      </c>
      <c r="Z10" s="927" t="str">
        <f>IF(Y9="","",":")</f>
        <v/>
      </c>
      <c r="AA10" s="928" t="str">
        <f>IF('св.прот 1ф'!H34="","",IF('св.прот 1ф'!D34='св.прот 1ф'!H34,'св.прот 1ф'!P34,'св.прот 1ф'!O34))</f>
        <v/>
      </c>
      <c r="AB10" s="926" t="str">
        <f>IF('св.прот 1ф'!H88="","",IF('св.прот 1ф'!D88='св.прот 1ф'!H88,'св.прот 1ф'!O88,'св.прот 1ф'!P88))</f>
        <v/>
      </c>
      <c r="AC10" s="927" t="str">
        <f>IF(AB9="","",":")</f>
        <v/>
      </c>
      <c r="AD10" s="928" t="str">
        <f>IF('св.прот 1ф'!H88="","",IF('св.прот 1ф'!D88='св.прот 1ф'!H88,'св.прот 1ф'!P88,'св.прот 1ф'!O88))</f>
        <v/>
      </c>
      <c r="AE10" s="926" t="str">
        <f>IF('св.прот 1ф'!H25="","",IF('св.прот 1ф'!D25='св.прот 1ф'!H25,'св.прот 1ф'!O25,'св.прот 1ф'!P25))</f>
        <v/>
      </c>
      <c r="AF10" s="927" t="str">
        <f>IF(AE9="","",":")</f>
        <v/>
      </c>
      <c r="AG10" s="928" t="str">
        <f>IF('св.прот 1ф'!H25="","",IF('св.прот 1ф'!D25='св.прот 1ф'!H25,'св.прот 1ф'!P25,'св.прот 1ф'!O25))</f>
        <v/>
      </c>
      <c r="AH10" s="926" t="str">
        <f>IF('св.прот 1ф'!H81="","",IF('св.прот 1ф'!D81='св.прот 1ф'!H81,'св.прот 1ф'!O81,'св.прот 1ф'!P81))</f>
        <v/>
      </c>
      <c r="AI10" s="927" t="str">
        <f>IF(AH9="","",":")</f>
        <v/>
      </c>
      <c r="AJ10" s="928" t="str">
        <f>IF('св.прот 1ф'!H81="","",IF('св.прот 1ф'!D81='св.прот 1ф'!H81,'св.прот 1ф'!P81,'св.прот 1ф'!O81))</f>
        <v/>
      </c>
      <c r="AK10" s="926" t="str">
        <f>IF('св.прот 1ф'!H16="","",IF('св.прот 1ф'!D16='св.прот 1ф'!H16,'св.прот 1ф'!O16,'св.прот 1ф'!P16))</f>
        <v/>
      </c>
      <c r="AL10" s="927" t="str">
        <f>IF(AK9="","",":")</f>
        <v/>
      </c>
      <c r="AM10" s="928" t="str">
        <f>IF('св.прот 1ф'!H16="","",IF('св.прот 1ф'!D16='св.прот 1ф'!H16,'св.прот 1ф'!P16,'св.прот 1ф'!O16))</f>
        <v/>
      </c>
      <c r="AN10" s="926" t="str">
        <f>IF('св.прот 1ф'!H74="","",IF('св.прот 1ф'!D74='св.прот 1ф'!H74,'св.прот 1ф'!O74,'св.прот 1ф'!P74))</f>
        <v/>
      </c>
      <c r="AO10" s="927" t="str">
        <f>IF(AN9="","",":")</f>
        <v/>
      </c>
      <c r="AP10" s="928" t="str">
        <f>IF('св.прот 1ф'!H74="","",IF('св.прот 1ф'!D74='св.прот 1ф'!H74,'св.прот 1ф'!P74,'св.прот 1ф'!O74))</f>
        <v/>
      </c>
      <c r="AQ10" s="926" t="str">
        <f>IF('св.прот 1ф'!H7="","",IF('св.прот 1ф'!D7='св.прот 1ф'!H7,'св.прот 1ф'!O7,'св.прот 1ф'!P7))</f>
        <v/>
      </c>
      <c r="AR10" s="927" t="str">
        <f>IF(AQ9="","",":")</f>
        <v/>
      </c>
      <c r="AS10" s="928" t="str">
        <f>IF('св.прот 1ф'!H7="","",IF('св.прот 1ф'!D7='св.прот 1ф'!H7,'св.прот 1ф'!P7,'св.прот 1ф'!O7))</f>
        <v/>
      </c>
      <c r="AT10" s="926" t="str">
        <f>IF('св.прот 1ф'!H67="","",IF('св.прот 1ф'!D67='св.прот 1ф'!H67,'св.прот 1ф'!O67,'св.прот 1ф'!P67))</f>
        <v/>
      </c>
      <c r="AU10" s="927" t="str">
        <f>IF(AT9="","",":")</f>
        <v/>
      </c>
      <c r="AV10" s="928" t="str">
        <f>IF('св.прот 1ф'!H67="","",IF('св.прот 1ф'!D67='св.прот 1ф'!H67,'св.прот 1ф'!P67,'св.прот 1ф'!O67))</f>
        <v/>
      </c>
      <c r="AW10" s="926" t="str">
        <f>IF('св.прот 1ф'!H118="","",IF('св.прот 1ф'!D118='св.прот 1ф'!H118,'св.прот 1ф'!O118,'св.прот 1ф'!P118))</f>
        <v/>
      </c>
      <c r="AX10" s="927" t="str">
        <f>IF(AW9="","",":")</f>
        <v/>
      </c>
      <c r="AY10" s="928" t="str">
        <f>IF('св.прот 1ф'!H118="","",IF('св.прот 1ф'!D118='св.прот 1ф'!H118,'св.прот 1ф'!P118,'св.прот 1ф'!O118))</f>
        <v/>
      </c>
      <c r="AZ10" s="1244"/>
      <c r="BA10" s="1245"/>
      <c r="BB10" s="1221"/>
      <c r="BC10" s="1222"/>
      <c r="BE10" s="1254"/>
      <c r="BF10" s="1255"/>
      <c r="BG10" s="1255"/>
      <c r="BH10" s="1255"/>
      <c r="BI10" s="1255"/>
      <c r="BJ10" s="1255"/>
      <c r="BK10" s="1255"/>
      <c r="BL10" s="1255"/>
    </row>
    <row r="11" spans="1:98" ht="15.75" customHeight="1" x14ac:dyDescent="0.25">
      <c r="A11" s="1175">
        <v>4</v>
      </c>
      <c r="B11" s="1223"/>
      <c r="C11" s="133" t="str">
        <f>IF(B11="","",VLOOKUP(B11,'Списки участников'!A:H,3,FALSE))</f>
        <v/>
      </c>
      <c r="D11" s="1234" t="str">
        <f>IF(M5="","",IF(M6="W",0,IF(M5=2,1,IF(M5=1,2,IF(M5=0,2)))))</f>
        <v/>
      </c>
      <c r="E11" s="1235"/>
      <c r="F11" s="1236"/>
      <c r="G11" s="1234" t="str">
        <f>IF(M7="","",IF(M8="W",0,IF(M7=2,1,IF(M7=1,2,IF(M7=0,2)))))</f>
        <v/>
      </c>
      <c r="H11" s="1235"/>
      <c r="I11" s="1236"/>
      <c r="J11" s="1234" t="str">
        <f>IF(M9="","",IF(M10="W",0,IF(M9=2,1,IF(M9=1,2,IF(M9=0,2)))))</f>
        <v/>
      </c>
      <c r="K11" s="1235"/>
      <c r="L11" s="1236"/>
      <c r="M11" s="1229"/>
      <c r="N11" s="1229"/>
      <c r="O11" s="1229"/>
      <c r="P11" s="1234" t="str">
        <f>IF('св.прот 1ф'!H44="","",IF(P12="L",0,IF(P12&gt;R12,2,1)))</f>
        <v/>
      </c>
      <c r="Q11" s="1235"/>
      <c r="R11" s="1236"/>
      <c r="S11" s="1239" t="str">
        <f>IF('св.прот 1ф'!H94="","",IF(S12="L",0,IF(S12&gt;U12,2,1)))</f>
        <v/>
      </c>
      <c r="T11" s="1240"/>
      <c r="U11" s="1241"/>
      <c r="V11" s="1239" t="str">
        <f>IF('св.прот 1ф'!H35="","",IF(V12="L",0,IF(V12&gt;X12,2,1)))</f>
        <v/>
      </c>
      <c r="W11" s="1240"/>
      <c r="X11" s="1241"/>
      <c r="Y11" s="1239" t="str">
        <f>IF('св.прот 1ф'!H87="","",IF(Y12="L",0,IF(Y12&gt;AA12,2,1)))</f>
        <v/>
      </c>
      <c r="Z11" s="1240"/>
      <c r="AA11" s="1241"/>
      <c r="AB11" s="1239" t="str">
        <f>IF('св.прот 1ф'!H26="","",IF(AB12="L",0,IF(AB12&gt;AD12,2,1)))</f>
        <v/>
      </c>
      <c r="AC11" s="1240"/>
      <c r="AD11" s="1241"/>
      <c r="AE11" s="1239" t="str">
        <f>IF('св.прот 1ф'!H80="","",IF(AE12="L",0,IF(AE12&gt;AG12,2,1)))</f>
        <v/>
      </c>
      <c r="AF11" s="1240"/>
      <c r="AG11" s="1241"/>
      <c r="AH11" s="1239" t="str">
        <f>IF('св.прот 1ф'!H17="","",IF(AH12="L",0,IF(AH12&gt;AJ12,2,1)))</f>
        <v/>
      </c>
      <c r="AI11" s="1240"/>
      <c r="AJ11" s="1241"/>
      <c r="AK11" s="1239" t="str">
        <f>IF('св.прот 1ф'!H73="","",IF(AK12="L",0,IF(AK12&gt;AM12,2,1)))</f>
        <v/>
      </c>
      <c r="AL11" s="1240"/>
      <c r="AM11" s="1241"/>
      <c r="AN11" s="1239" t="str">
        <f>IF('св.прот 1ф'!H8="","",IF(AN12="L",0,IF(AN12&gt;AP12,2,1)))</f>
        <v/>
      </c>
      <c r="AO11" s="1240"/>
      <c r="AP11" s="1241"/>
      <c r="AQ11" s="1239" t="str">
        <f>IF('св.прот 1ф'!H66="","",IF(AQ12="L",0,IF(AQ12&gt;AS12,2,1)))</f>
        <v/>
      </c>
      <c r="AR11" s="1240"/>
      <c r="AS11" s="1241"/>
      <c r="AT11" s="1239" t="str">
        <f>IF('св.прот 1ф'!H119="","",IF(AT12="L",0,IF(AT12&gt;AV12,2,1)))</f>
        <v/>
      </c>
      <c r="AU11" s="1240"/>
      <c r="AV11" s="1241"/>
      <c r="AW11" s="1239" t="str">
        <f>IF('св.прот 1ф'!H59="","",IF(AW12="L",0,IF(AW12&gt;AY12,2,1)))</f>
        <v/>
      </c>
      <c r="AX11" s="1240"/>
      <c r="AY11" s="1241"/>
      <c r="AZ11" s="1242" t="str">
        <f t="shared" ref="AZ11" si="2">IF(B11="","",SUM(G11,J11,M11,P11,S11,V11,Y11,AB11,AE11,AH11,AK11,AN11,AQ11,AT11,AW11,D11))</f>
        <v/>
      </c>
      <c r="BA11" s="1243"/>
      <c r="BB11" s="1220"/>
      <c r="BC11" s="1222" t="str">
        <f>IF(B11="","",RANK(AZ11,Ф1Оч))</f>
        <v/>
      </c>
    </row>
    <row r="12" spans="1:98" ht="15.75" customHeight="1" x14ac:dyDescent="0.25">
      <c r="A12" s="1176"/>
      <c r="B12" s="1224"/>
      <c r="C12" s="134" t="str">
        <f>IF(B11="","",VLOOKUP(B11,'Списки участников'!A:H,6,FALSE))</f>
        <v/>
      </c>
      <c r="D12" s="141" t="str">
        <f>IF(M5="","",O6)</f>
        <v/>
      </c>
      <c r="E12" s="136" t="str">
        <f>IF(N6="","",":")</f>
        <v/>
      </c>
      <c r="F12" s="142" t="str">
        <f>IF(O6="","",M6)</f>
        <v/>
      </c>
      <c r="G12" s="141" t="str">
        <f>IF(M7="","",O8)</f>
        <v/>
      </c>
      <c r="H12" s="136" t="str">
        <f>IF(N8="","",":")</f>
        <v/>
      </c>
      <c r="I12" s="142" t="str">
        <f>IF(O8="","",M8)</f>
        <v/>
      </c>
      <c r="J12" s="141" t="str">
        <f>IF(M9="","",O10)</f>
        <v/>
      </c>
      <c r="K12" s="136" t="str">
        <f>IF(N10="","",":")</f>
        <v/>
      </c>
      <c r="L12" s="142" t="str">
        <f>IF(O10="","",M10)</f>
        <v/>
      </c>
      <c r="M12" s="1248"/>
      <c r="N12" s="1248"/>
      <c r="O12" s="1248"/>
      <c r="P12" s="926" t="str">
        <f>IF('св.прот 1ф'!H44="","",IF('св.прот 1ф'!D44='св.прот 1ф'!H44,'св.прот 1ф'!O44,'св.прот 1ф'!P44))</f>
        <v/>
      </c>
      <c r="Q12" s="927" t="str">
        <f>IF(P11="","",":")</f>
        <v/>
      </c>
      <c r="R12" s="928" t="str">
        <f>IF('св.прот 1ф'!H44="","",IF('св.прот 1ф'!D44='св.прот 1ф'!H44,'св.прот 1ф'!P44,'св.прот 1ф'!O44))</f>
        <v/>
      </c>
      <c r="S12" s="926" t="str">
        <f>IF('св.прот 1ф'!H94="","",IF('св.прот 1ф'!D94='св.прот 1ф'!H94,'св.прот 1ф'!O94,'св.прот 1ф'!P94))</f>
        <v/>
      </c>
      <c r="T12" s="927" t="str">
        <f>IF(S11="","",":")</f>
        <v/>
      </c>
      <c r="U12" s="928" t="str">
        <f>IF('св.прот 1ф'!H94="","",IF('св.прот 1ф'!D94='св.прот 1ф'!H94,'св.прот 1ф'!P94,'св.прот 1ф'!O94))</f>
        <v/>
      </c>
      <c r="V12" s="926" t="str">
        <f>IF('св.прот 1ф'!H35="","",IF('св.прот 1ф'!D35='св.прот 1ф'!H35,'св.прот 1ф'!O34,'св.прот 1ф'!P35))</f>
        <v/>
      </c>
      <c r="W12" s="927" t="str">
        <f>IF(V11="","",":")</f>
        <v/>
      </c>
      <c r="X12" s="928" t="str">
        <f>IF('св.прот 1ф'!H35="","",IF('св.прот 1ф'!D35='св.прот 1ф'!H35,'св.прот 1ф'!P35,'св.прот 1ф'!O35))</f>
        <v/>
      </c>
      <c r="Y12" s="926" t="str">
        <f>IF('св.прот 1ф'!H87="","",IF('св.прот 1ф'!D87='св.прот 1ф'!H87,'св.прот 1ф'!O87,'св.прот 1ф'!P87))</f>
        <v/>
      </c>
      <c r="Z12" s="927" t="str">
        <f>IF(Y11="","",":")</f>
        <v/>
      </c>
      <c r="AA12" s="928" t="str">
        <f>IF('св.прот 1ф'!H87="","",IF('св.прот 1ф'!D87='св.прот 1ф'!H87,'св.прот 1ф'!P87,'св.прот 1ф'!O87))</f>
        <v/>
      </c>
      <c r="AB12" s="926" t="str">
        <f>IF('св.прот 1ф'!H26="","",IF('св.прот 1ф'!D26='св.прот 1ф'!H26,'св.прот 1ф'!O26,'св.прот 1ф'!P26))</f>
        <v/>
      </c>
      <c r="AC12" s="927" t="str">
        <f>IF(AB11="","",":")</f>
        <v/>
      </c>
      <c r="AD12" s="928" t="str">
        <f>IF('св.прот 1ф'!H26="","",IF('св.прот 1ф'!D26='св.прот 1ф'!H26,'св.прот 1ф'!P26,'св.прот 1ф'!O26))</f>
        <v/>
      </c>
      <c r="AE12" s="926" t="str">
        <f>IF('св.прот 1ф'!H80="","",IF('св.прот 1ф'!D80='св.прот 1ф'!H80,'св.прот 1ф'!O11,'св.прот 1ф'!P80))</f>
        <v/>
      </c>
      <c r="AF12" s="927" t="str">
        <f>IF(AE11="","",":")</f>
        <v/>
      </c>
      <c r="AG12" s="928" t="str">
        <f>IF('св.прот 1ф'!H80="","",IF('св.прот 1ф'!D80='св.прот 1ф'!H80,'св.прот 1ф'!P80,'св.прот 1ф'!O80))</f>
        <v/>
      </c>
      <c r="AH12" s="926" t="str">
        <f>IF('св.прот 1ф'!H17="","",IF('св.прот 1ф'!D17='св.прот 1ф'!H17,'св.прот 1ф'!O17,'св.прот 1ф'!P17))</f>
        <v/>
      </c>
      <c r="AI12" s="927" t="str">
        <f>IF(AH11="","",":")</f>
        <v/>
      </c>
      <c r="AJ12" s="928" t="str">
        <f>IF('св.прот 1ф'!H17="","",IF('св.прот 1ф'!D17='св.прот 1ф'!H17,'св.прот 1ф'!P17,'св.прот 1ф'!O17))</f>
        <v/>
      </c>
      <c r="AK12" s="926" t="str">
        <f>IF('св.прот 1ф'!H73="","",IF('св.прот 1ф'!D73='св.прот 1ф'!H73,'св.прот 1ф'!O73,'св.прот 1ф'!P73))</f>
        <v/>
      </c>
      <c r="AL12" s="927" t="str">
        <f>IF(AK11="","",":")</f>
        <v/>
      </c>
      <c r="AM12" s="928" t="str">
        <f>IF('св.прот 1ф'!H73="","",IF('св.прот 1ф'!D73='св.прот 1ф'!H73,'св.прот 1ф'!P73,'св.прот 1ф'!O73))</f>
        <v/>
      </c>
      <c r="AN12" s="926" t="str">
        <f>IF('св.прот 1ф'!H8="","",IF('св.прот 1ф'!D8='св.прот 1ф'!H8,'св.прот 1ф'!O8,'св.прот 1ф'!P8))</f>
        <v/>
      </c>
      <c r="AO12" s="927" t="str">
        <f>IF(AN11="","",":")</f>
        <v/>
      </c>
      <c r="AP12" s="928" t="str">
        <f>IF('св.прот 1ф'!H8="","",IF('св.прот 1ф'!D8='св.прот 1ф'!H8,'св.прот 1ф'!P8,'св.прот 1ф'!O8))</f>
        <v/>
      </c>
      <c r="AQ12" s="926" t="str">
        <f>IF('св.прот 1ф'!H66="","",IF('св.прот 1ф'!D66='св.прот 1ф'!H66,'св.прот 1ф'!O66,'св.прот 1ф'!P66))</f>
        <v/>
      </c>
      <c r="AR12" s="927" t="str">
        <f>IF(AQ11="","",":")</f>
        <v/>
      </c>
      <c r="AS12" s="928" t="str">
        <f>IF('св.прот 1ф'!H66="","",IF('св.прот 1ф'!D66='св.прот 1ф'!H66,'св.прот 1ф'!P66,'св.прот 1ф'!O66))</f>
        <v/>
      </c>
      <c r="AT12" s="926" t="str">
        <f>IF('св.прот 1ф'!H119="","",IF('св.прот 1ф'!D119='св.прот 1ф'!H119,'св.прот 1ф'!O119,'св.прот 1ф'!P119))</f>
        <v/>
      </c>
      <c r="AU12" s="927" t="str">
        <f>IF(AT11="","",":")</f>
        <v/>
      </c>
      <c r="AV12" s="928" t="str">
        <f>IF('св.прот 1ф'!H119="","",IF('св.прот 1ф'!D119='св.прот 1ф'!H119,'св.прот 1ф'!P119,'св.прот 1ф'!O119))</f>
        <v/>
      </c>
      <c r="AW12" s="926" t="str">
        <f>IF('св.прот 1ф'!H59="","",IF('св.прот 1ф'!D59='св.прот 1ф'!H59,'св.прот 1ф'!O59,'св.прот 1ф'!P59))</f>
        <v/>
      </c>
      <c r="AX12" s="927" t="str">
        <f>IF(AW11="","",":")</f>
        <v/>
      </c>
      <c r="AY12" s="928" t="str">
        <f>IF('св.прот 1ф'!H59="","",IF('св.прот 1ф'!D59='св.прот 1ф'!H59,'св.прот 1ф'!P59,'св.прот 1ф'!O59))</f>
        <v/>
      </c>
      <c r="AZ12" s="1244"/>
      <c r="BA12" s="1245"/>
      <c r="BB12" s="1221"/>
      <c r="BC12" s="1222"/>
    </row>
    <row r="13" spans="1:98" ht="15.75" customHeight="1" x14ac:dyDescent="0.25">
      <c r="A13" s="1175">
        <v>5</v>
      </c>
      <c r="B13" s="1237"/>
      <c r="C13" s="133" t="str">
        <f>IF(B13="","",VLOOKUP(B13,'Списки участников'!A:H,3,FALSE))</f>
        <v/>
      </c>
      <c r="D13" s="1234" t="str">
        <f>IF(P5="","",IF(P6="W",0,IF(P5=2,1,IF(P5=1,2,IF(P5=0,2)))))</f>
        <v/>
      </c>
      <c r="E13" s="1235"/>
      <c r="F13" s="1236"/>
      <c r="G13" s="1234" t="str">
        <f>IF(P7="","",IF(P8="W",0,IF(P7=2,1,IF(P7=1,2,IF(P7=0,2)))))</f>
        <v/>
      </c>
      <c r="H13" s="1235"/>
      <c r="I13" s="1236"/>
      <c r="J13" s="1234" t="str">
        <f>IF(P9="","",IF(P10="W",0,IF(P9=2,1,IF(P9=1,2,IF(P9=0,2)))))</f>
        <v/>
      </c>
      <c r="K13" s="1235"/>
      <c r="L13" s="1236"/>
      <c r="M13" s="1234" t="str">
        <f>IF(P11="","",IF(P12="W",0,IF(P11=2,1,IF(P11=1,2,IF(P11=0,2)))))</f>
        <v/>
      </c>
      <c r="N13" s="1235"/>
      <c r="O13" s="1236"/>
      <c r="P13" s="1228"/>
      <c r="Q13" s="1229"/>
      <c r="R13" s="1230"/>
      <c r="S13" s="1239" t="str">
        <f>IF('св.прот 1ф'!H36="","",IF(S14="L",0,IF(S14&gt;U14,2,1)))</f>
        <v/>
      </c>
      <c r="T13" s="1240"/>
      <c r="U13" s="1241"/>
      <c r="V13" s="1239" t="str">
        <f>IF('св.прот 1ф'!H86="","",IF(V14="L",0,IF(V14&gt;X14,2,1)))</f>
        <v/>
      </c>
      <c r="W13" s="1240"/>
      <c r="X13" s="1241"/>
      <c r="Y13" s="1239" t="str">
        <f>IF('св.прот 1ф'!H27="","",IF(Y14="L",0,IF(Y14&gt;AA14,2,1)))</f>
        <v/>
      </c>
      <c r="Z13" s="1240"/>
      <c r="AA13" s="1241"/>
      <c r="AB13" s="1239" t="str">
        <f>IF('св.прот 1ф'!H79="","",IF(AB14="L",0,IF(AB14&gt;AD14,2,1)))</f>
        <v/>
      </c>
      <c r="AC13" s="1240"/>
      <c r="AD13" s="1241"/>
      <c r="AE13" s="1239" t="str">
        <f>IF('св.прот 1ф'!H18="","",IF(AE14="L",0,IF(AE14&gt;AG14,2,1)))</f>
        <v/>
      </c>
      <c r="AF13" s="1240"/>
      <c r="AG13" s="1241"/>
      <c r="AH13" s="1239" t="str">
        <f>IF('св.прот 1ф'!H72="","",IF(AH14="L",0,IF(AH14&gt;AJ14,2,1)))</f>
        <v/>
      </c>
      <c r="AI13" s="1240"/>
      <c r="AJ13" s="1241"/>
      <c r="AK13" s="1239" t="str">
        <f>IF('св.прот 1ф'!H9="","",IF(AK14="L",0,IF(AK14&gt;AM14,2,1)))</f>
        <v/>
      </c>
      <c r="AL13" s="1240"/>
      <c r="AM13" s="1241"/>
      <c r="AN13" s="1239" t="str">
        <f>IF('св.прот 1ф'!H65="","",IF(AN14="L",0,IF(AN14&gt;AP14,2,1)))</f>
        <v/>
      </c>
      <c r="AO13" s="1240"/>
      <c r="AP13" s="1241"/>
      <c r="AQ13" s="1239" t="str">
        <f>IF('св.прот 1ф'!H120="","",IF(AQ14="L",0,IF(AQ14&gt;AS14,2,1)))</f>
        <v/>
      </c>
      <c r="AR13" s="1240"/>
      <c r="AS13" s="1241"/>
      <c r="AT13" s="1239" t="str">
        <f>IF('св.прот 1ф'!H58="","",IF(AT14="L",0,IF(AT14&gt;AV14,2,1)))</f>
        <v/>
      </c>
      <c r="AU13" s="1240"/>
      <c r="AV13" s="1241"/>
      <c r="AW13" s="1239" t="str">
        <f>IF('св.прот 1ф'!H111="","",IF(AW14="L",0,IF(AW14&gt;AY14,2,1)))</f>
        <v/>
      </c>
      <c r="AX13" s="1240"/>
      <c r="AY13" s="1241"/>
      <c r="AZ13" s="1242" t="str">
        <f t="shared" ref="AZ13" si="3">IF(B13="","",SUM(G13,J13,M13,P13,S13,V13,Y13,AB13,AE13,AH13,AK13,AN13,AQ13,AT13,AW13,D13))</f>
        <v/>
      </c>
      <c r="BA13" s="1243"/>
      <c r="BB13" s="1220"/>
      <c r="BC13" s="1222" t="str">
        <f>IF(B13="","",RANK(AZ13,Ф1Оч))</f>
        <v/>
      </c>
    </row>
    <row r="14" spans="1:98" ht="15.75" customHeight="1" x14ac:dyDescent="0.25">
      <c r="A14" s="1176"/>
      <c r="B14" s="1238"/>
      <c r="C14" s="134" t="str">
        <f>IF(B13="","",VLOOKUP(B13,'Списки участников'!A:H,6,FALSE))</f>
        <v/>
      </c>
      <c r="D14" s="141" t="str">
        <f>IF(P5="","",R6)</f>
        <v/>
      </c>
      <c r="E14" s="136" t="str">
        <f>IF(Q6="","",":")</f>
        <v/>
      </c>
      <c r="F14" s="142" t="str">
        <f>IF(R6="","",P6)</f>
        <v/>
      </c>
      <c r="G14" s="141" t="str">
        <f>IF(P7="","",R8)</f>
        <v/>
      </c>
      <c r="H14" s="136" t="str">
        <f>IF(Q8="","",":")</f>
        <v/>
      </c>
      <c r="I14" s="142" t="str">
        <f>IF(R8="","",P8)</f>
        <v/>
      </c>
      <c r="J14" s="141" t="str">
        <f>IF(P9="","",R10)</f>
        <v/>
      </c>
      <c r="K14" s="136" t="str">
        <f>IF(Q10="","",":")</f>
        <v/>
      </c>
      <c r="L14" s="142" t="str">
        <f>IF(R10="","",P10)</f>
        <v/>
      </c>
      <c r="M14" s="141" t="str">
        <f>IF(P11="","",R12)</f>
        <v/>
      </c>
      <c r="N14" s="136" t="str">
        <f>IF(Q12="","",":")</f>
        <v/>
      </c>
      <c r="O14" s="142" t="str">
        <f>IF(R12="","",P12)</f>
        <v/>
      </c>
      <c r="P14" s="1231"/>
      <c r="Q14" s="1232"/>
      <c r="R14" s="1233"/>
      <c r="S14" s="926" t="str">
        <f>IF('св.прот 1ф'!H36="","",IF('св.прот 1ф'!D36='св.прот 1ф'!H36,'св.прот 1ф'!O36,'св.прот 1ф'!P36))</f>
        <v/>
      </c>
      <c r="T14" s="927" t="str">
        <f>IF(S13="","",":")</f>
        <v/>
      </c>
      <c r="U14" s="928" t="str">
        <f>IF('св.прот 1ф'!H36="","",IF('св.прот 1ф'!D36='св.прот 1ф'!H36,'св.прот 1ф'!P36,'св.прот 1ф'!O36))</f>
        <v/>
      </c>
      <c r="V14" s="926" t="str">
        <f>IF('св.прот 1ф'!H86="","",IF('св.прот 1ф'!D86='св.прот 1ф'!H86,'св.прот 1ф'!O86,'св.прот 1ф'!P86))</f>
        <v/>
      </c>
      <c r="W14" s="927" t="str">
        <f>IF(V13="","",":")</f>
        <v/>
      </c>
      <c r="X14" s="928" t="str">
        <f>IF('св.прот 1ф'!H86="","",IF('св.прот 1ф'!D86='св.прот 1ф'!H86,'св.прот 1ф'!P86,'св.прот 1ф'!O86))</f>
        <v/>
      </c>
      <c r="Y14" s="926" t="str">
        <f>IF('св.прот 1ф'!H27="","",IF('св.прот 1ф'!D27='св.прот 1ф'!H27,'св.прот 1ф'!O27,'св.прот 1ф'!P27))</f>
        <v/>
      </c>
      <c r="Z14" s="927" t="str">
        <f>IF(Y13="","",":")</f>
        <v/>
      </c>
      <c r="AA14" s="928" t="str">
        <f>IF('св.прот 1ф'!H27="","",IF('св.прот 1ф'!D27='св.прот 1ф'!H27,'св.прот 1ф'!P27,'св.прот 1ф'!O27))</f>
        <v/>
      </c>
      <c r="AB14" s="926" t="str">
        <f>IF('св.прот 1ф'!H79="","",IF('св.прот 1ф'!D79='св.прот 1ф'!H79,'св.прот 1ф'!O79,'св.прот 1ф'!P79))</f>
        <v/>
      </c>
      <c r="AC14" s="927" t="str">
        <f>IF(AB13="","",":")</f>
        <v/>
      </c>
      <c r="AD14" s="928" t="str">
        <f>IF('св.прот 1ф'!H79="","",IF('св.прот 1ф'!D79='св.прот 1ф'!H79,'св.прот 1ф'!P79,'св.прот 1ф'!O79))</f>
        <v/>
      </c>
      <c r="AE14" s="926" t="str">
        <f>IF('св.прот 1ф'!H18="","",IF('св.прот 1ф'!D18='св.прот 1ф'!H18,'св.прот 1ф'!O18,'св.прот 1ф'!P18))</f>
        <v/>
      </c>
      <c r="AF14" s="927" t="str">
        <f>IF(AE13="","",":")</f>
        <v/>
      </c>
      <c r="AG14" s="928" t="str">
        <f>IF('св.прот 1ф'!H18="","",IF('св.прот 1ф'!D18='св.прот 1ф'!H18,'св.прот 1ф'!P18,'св.прот 1ф'!O18))</f>
        <v/>
      </c>
      <c r="AH14" s="926" t="str">
        <f>IF('св.прот 1ф'!H72="","",IF('св.прот 1ф'!D72='св.прот 1ф'!H72,'св.прот 1ф'!O72,'св.прот 1ф'!P72))</f>
        <v/>
      </c>
      <c r="AI14" s="927" t="str">
        <f>IF(AH13="","",":")</f>
        <v/>
      </c>
      <c r="AJ14" s="928" t="str">
        <f>IF('св.прот 1ф'!H72="","",IF('св.прот 1ф'!D72='св.прот 1ф'!H72,'св.прот 1ф'!P72,'св.прот 1ф'!O72))</f>
        <v/>
      </c>
      <c r="AK14" s="926" t="str">
        <f>IF('св.прот 1ф'!H9="","",IF('св.прот 1ф'!D9='св.прот 1ф'!H9,'св.прот 1ф'!O9,'св.прот 1ф'!P9))</f>
        <v/>
      </c>
      <c r="AL14" s="927" t="str">
        <f>IF(AK13="","",":")</f>
        <v/>
      </c>
      <c r="AM14" s="928" t="str">
        <f>IF('св.прот 1ф'!H9="","",IF('св.прот 1ф'!D9='св.прот 1ф'!H9,'св.прот 1ф'!P9,'св.прот 1ф'!O9))</f>
        <v/>
      </c>
      <c r="AN14" s="926" t="str">
        <f>IF('св.прот 1ф'!H65="","",IF('св.прот 1ф'!D65='св.прот 1ф'!H65,'св.прот 1ф'!O65,'св.прот 1ф'!P65))</f>
        <v/>
      </c>
      <c r="AO14" s="927" t="str">
        <f>IF(AN13="","",":")</f>
        <v/>
      </c>
      <c r="AP14" s="928" t="str">
        <f>IF('св.прот 1ф'!H65="","",IF('св.прот 1ф'!D65='св.прот 1ф'!H65,'св.прот 1ф'!P65,'св.прот 1ф'!O65))</f>
        <v/>
      </c>
      <c r="AQ14" s="926" t="str">
        <f>IF('св.прот 1ф'!H120="","",IF('св.прот 1ф'!D120='св.прот 1ф'!H120,'св.прот 1ф'!O120,'св.прот 1ф'!P120))</f>
        <v/>
      </c>
      <c r="AR14" s="927" t="str">
        <f>IF(AQ13="","",":")</f>
        <v/>
      </c>
      <c r="AS14" s="928" t="str">
        <f>IF('св.прот 1ф'!H120="","",IF('св.прот 1ф'!D120='св.прот 1ф'!H120,'св.прот 1ф'!P120,'св.прот 1ф'!O120))</f>
        <v/>
      </c>
      <c r="AT14" s="926" t="str">
        <f>IF('св.прот 1ф'!H58="","",IF('св.прот 1ф'!D58='св.прот 1ф'!H58,'св.прот 1ф'!O58,'св.прот 1ф'!P58))</f>
        <v/>
      </c>
      <c r="AU14" s="927" t="str">
        <f>IF(AT13="","",":")</f>
        <v/>
      </c>
      <c r="AV14" s="928" t="str">
        <f>IF('св.прот 1ф'!H58="","",IF('св.прот 1ф'!D58='св.прот 1ф'!H58,'св.прот 1ф'!P58,'св.прот 1ф'!O58))</f>
        <v/>
      </c>
      <c r="AW14" s="926" t="str">
        <f>IF('св.прот 1ф'!H111="","",IF('св.прот 1ф'!D111='св.прот 1ф'!H111,'св.прот 1ф'!O111,'св.прот 1ф'!P111))</f>
        <v/>
      </c>
      <c r="AX14" s="927" t="str">
        <f>IF(AW13="","",":")</f>
        <v/>
      </c>
      <c r="AY14" s="928" t="str">
        <f>IF('св.прот 1ф'!H111="","",IF('св.прот 1ф'!D111='св.прот 1ф'!H111,'св.прот 1ф'!P111,'св.прот 1ф'!O111))</f>
        <v/>
      </c>
      <c r="AZ14" s="1244"/>
      <c r="BA14" s="1245"/>
      <c r="BB14" s="1221"/>
      <c r="BC14" s="1222"/>
    </row>
    <row r="15" spans="1:98" ht="15.75" customHeight="1" x14ac:dyDescent="0.25">
      <c r="A15" s="1175">
        <v>6</v>
      </c>
      <c r="B15" s="1223"/>
      <c r="C15" s="133" t="str">
        <f>IF(B15="","",VLOOKUP(B15,'Списки участников'!A:H,3,FALSE))</f>
        <v/>
      </c>
      <c r="D15" s="1234" t="str">
        <f>IF(S5="","",IF(S6="W",0,IF(S5=2,1,IF(S5=1,2,IF(S5=0,2)))))</f>
        <v/>
      </c>
      <c r="E15" s="1235"/>
      <c r="F15" s="1236"/>
      <c r="G15" s="1234" t="str">
        <f>IF(S7="","",IF(S8="W",0,IF(S7=2,1,IF(S7=1,2,IF(S7=0,2)))))</f>
        <v/>
      </c>
      <c r="H15" s="1235"/>
      <c r="I15" s="1236"/>
      <c r="J15" s="1234" t="str">
        <f>IF(S9="","",IF(S10="W",0,IF(S9=2,1,IF(S9=1,2,IF(S9=0,2)))))</f>
        <v/>
      </c>
      <c r="K15" s="1235"/>
      <c r="L15" s="1236"/>
      <c r="M15" s="1234" t="str">
        <f>IF(S11="","",IF(S12="W",0,IF(S11=2,1,IF(S11=1,2,IF(S11=0,2)))))</f>
        <v/>
      </c>
      <c r="N15" s="1235"/>
      <c r="O15" s="1236"/>
      <c r="P15" s="1234" t="str">
        <f>IF(S13="","",IF(S14="W",0,IF(S13=2,1,IF(S13=1,2,IF(S13=0,2)))))</f>
        <v/>
      </c>
      <c r="Q15" s="1235"/>
      <c r="R15" s="1236"/>
      <c r="S15" s="1228"/>
      <c r="T15" s="1229"/>
      <c r="U15" s="1230"/>
      <c r="V15" s="1234" t="str">
        <f>IF('св.прот 1ф'!H28="","",IF(V16="L",0,IF(V16&gt;X16,2,1)))</f>
        <v/>
      </c>
      <c r="W15" s="1235"/>
      <c r="X15" s="1236"/>
      <c r="Y15" s="1234" t="str">
        <f>IF('св.прот 1ф'!H78="","",IF(Y16="L",0,IF(Y16&gt;AA16,2,1)))</f>
        <v/>
      </c>
      <c r="Z15" s="1235"/>
      <c r="AA15" s="1236"/>
      <c r="AB15" s="1234" t="str">
        <f>IF('св.прот 1ф'!H19="","",IF(AB16="L",0,IF(AB16&gt;AD16,2,1)))</f>
        <v/>
      </c>
      <c r="AC15" s="1235"/>
      <c r="AD15" s="1236"/>
      <c r="AE15" s="1239" t="str">
        <f>IF('св.прот 1ф'!H71="","",IF(AE16="L",0,IF(AE16&gt;AG16,2,1)))</f>
        <v/>
      </c>
      <c r="AF15" s="1240"/>
      <c r="AG15" s="1241"/>
      <c r="AH15" s="1239" t="str">
        <f>IF('св.прот 1ф'!H10="","",IF(AH16="L",0,IF(AH16&gt;AJ16,2,1)))</f>
        <v/>
      </c>
      <c r="AI15" s="1240"/>
      <c r="AJ15" s="1241"/>
      <c r="AK15" s="1239" t="str">
        <f>IF('св.прот 1ф'!H64="","",IF(AK16="L",0,IF(AK16&gt;AM16,2,1)))</f>
        <v/>
      </c>
      <c r="AL15" s="1240"/>
      <c r="AM15" s="1241"/>
      <c r="AN15" s="1239" t="str">
        <f>IF('св.прот 1ф'!H121="","",IF(AN16="L",0,IF(AN16&gt;AP16,2,1)))</f>
        <v/>
      </c>
      <c r="AO15" s="1240"/>
      <c r="AP15" s="1241"/>
      <c r="AQ15" s="1239" t="str">
        <f>IF('св.прот 1ф'!H57="","",IF(AQ16="L",0,IF(AQ16&gt;AS16,2,1)))</f>
        <v/>
      </c>
      <c r="AR15" s="1240"/>
      <c r="AS15" s="1241"/>
      <c r="AT15" s="1239" t="str">
        <f>IF('св.прот 1ф'!H112="","",IF(AT16="L",0,IF(AT16&gt;AV16,2,1)))</f>
        <v/>
      </c>
      <c r="AU15" s="1240"/>
      <c r="AV15" s="1241"/>
      <c r="AW15" s="1239" t="str">
        <f>IF('св.прот 1ф'!H50="","",IF(AW16="L",0,IF(AW16&gt;AY16,2,1)))</f>
        <v/>
      </c>
      <c r="AX15" s="1240"/>
      <c r="AY15" s="1241"/>
      <c r="AZ15" s="1242" t="str">
        <f t="shared" ref="AZ15" si="4">IF(B15="","",SUM(G15,J15,M15,P15,S15,V15,Y15,AB15,AE15,AH15,AK15,AN15,AQ15,AT15,AW15,D15))</f>
        <v/>
      </c>
      <c r="BA15" s="1243"/>
      <c r="BB15" s="1220"/>
      <c r="BC15" s="1222" t="str">
        <f>IF(B15="","",RANK(AZ15,Ф1Оч))</f>
        <v/>
      </c>
    </row>
    <row r="16" spans="1:98" ht="15.75" customHeight="1" x14ac:dyDescent="0.25">
      <c r="A16" s="1176"/>
      <c r="B16" s="1224"/>
      <c r="C16" s="134" t="str">
        <f>IF(B15="","",VLOOKUP(B15,'Списки участников'!A:H,6,FALSE))</f>
        <v/>
      </c>
      <c r="D16" s="141" t="str">
        <f>IF(S5="","",U6)</f>
        <v/>
      </c>
      <c r="E16" s="136" t="str">
        <f>IF(T6="","",":")</f>
        <v/>
      </c>
      <c r="F16" s="142" t="str">
        <f>IF(U6="","",S6)</f>
        <v/>
      </c>
      <c r="G16" s="141" t="str">
        <f>IF(S7="","",U8)</f>
        <v/>
      </c>
      <c r="H16" s="136" t="str">
        <f>IF(T8="","",":")</f>
        <v/>
      </c>
      <c r="I16" s="142" t="str">
        <f>IF(U8="","",S8)</f>
        <v/>
      </c>
      <c r="J16" s="141" t="str">
        <f>IF(S9="","",U10)</f>
        <v/>
      </c>
      <c r="K16" s="136" t="str">
        <f>IF(T10="","",":")</f>
        <v/>
      </c>
      <c r="L16" s="142" t="str">
        <f>IF(U10="","",S10)</f>
        <v/>
      </c>
      <c r="M16" s="141" t="str">
        <f>IF(S11="","",U12)</f>
        <v/>
      </c>
      <c r="N16" s="136" t="str">
        <f>IF(T12="","",":")</f>
        <v/>
      </c>
      <c r="O16" s="142" t="str">
        <f>IF(U12="","",S12)</f>
        <v/>
      </c>
      <c r="P16" s="141" t="str">
        <f>IF(S13="","",U14)</f>
        <v/>
      </c>
      <c r="Q16" s="136" t="str">
        <f>IF(T14="","",":")</f>
        <v/>
      </c>
      <c r="R16" s="142" t="str">
        <f>IF(U14="","",S14)</f>
        <v/>
      </c>
      <c r="S16" s="1231"/>
      <c r="T16" s="1232"/>
      <c r="U16" s="1233"/>
      <c r="V16" s="926" t="str">
        <f>IF('св.прот 1ф'!H28="","",IF('св.прот 1ф'!D28='св.прот 1ф'!H28,'св.прот 1ф'!O28,'св.прот 1ф'!P28))</f>
        <v/>
      </c>
      <c r="W16" s="927" t="str">
        <f>IF(V15="","",":")</f>
        <v/>
      </c>
      <c r="X16" s="928" t="str">
        <f>IF('св.прот 1ф'!H28="","",IF('св.прот 1ф'!D28='св.прот 1ф'!H28,'св.прот 1ф'!P28,'св.прот 1ф'!O28))</f>
        <v/>
      </c>
      <c r="Y16" s="926" t="str">
        <f>IF('св.прот 1ф'!H78="","",IF('св.прот 1ф'!D78='св.прот 1ф'!H78,'св.прот 1ф'!O78,'св.прот 1ф'!P78))</f>
        <v/>
      </c>
      <c r="Z16" s="927" t="str">
        <f>IF(Y15="","",":")</f>
        <v/>
      </c>
      <c r="AA16" s="928" t="str">
        <f>IF('св.прот 1ф'!H78="","",IF('св.прот 1ф'!D78='св.прот 1ф'!H78,'св.прот 1ф'!P78,'св.прот 1ф'!O78))</f>
        <v/>
      </c>
      <c r="AB16" s="926" t="str">
        <f>IF('св.прот 1ф'!H19="","",IF('св.прот 1ф'!D19='св.прот 1ф'!H19,'св.прот 1ф'!O19,'св.прот 1ф'!P19))</f>
        <v/>
      </c>
      <c r="AC16" s="927" t="str">
        <f>IF(AB15="","",":")</f>
        <v/>
      </c>
      <c r="AD16" s="928" t="str">
        <f>IF('св.прот 1ф'!H19="","",IF('св.прот 1ф'!D19='св.прот 1ф'!H19,'св.прот 1ф'!P19,'св.прот 1ф'!O19))</f>
        <v/>
      </c>
      <c r="AE16" s="926" t="str">
        <f>IF('св.прот 1ф'!H71="","",IF('св.прот 1ф'!D71='св.прот 1ф'!H71,'св.прот 1ф'!O15,'св.прот 1ф'!P71))</f>
        <v/>
      </c>
      <c r="AF16" s="927" t="str">
        <f>IF(AE15="","",":")</f>
        <v/>
      </c>
      <c r="AG16" s="928" t="str">
        <f>IF('св.прот 1ф'!H71="","",IF('св.прот 1ф'!D71='св.прот 1ф'!H71,'св.прот 1ф'!P71,'св.прот 1ф'!O71))</f>
        <v/>
      </c>
      <c r="AH16" s="926" t="str">
        <f>IF('св.прот 1ф'!H10="","",IF('св.прот 1ф'!D10='св.прот 1ф'!H10,'св.прот 1ф'!O10,'св.прот 1ф'!P10))</f>
        <v/>
      </c>
      <c r="AI16" s="927" t="str">
        <f>IF(AH15="","",":")</f>
        <v/>
      </c>
      <c r="AJ16" s="928" t="str">
        <f>IF('св.прот 1ф'!H10="","",IF('св.прот 1ф'!D10='св.прот 1ф'!H10,'св.прот 1ф'!P10,'св.прот 1ф'!O10))</f>
        <v/>
      </c>
      <c r="AK16" s="926" t="str">
        <f>IF('св.прот 1ф'!H64="","",IF('св.прот 1ф'!D64='св.прот 1ф'!H64,'св.прот 1ф'!O64,'св.прот 1ф'!P64))</f>
        <v/>
      </c>
      <c r="AL16" s="927" t="str">
        <f>IF(AK15="","",":")</f>
        <v/>
      </c>
      <c r="AM16" s="928" t="str">
        <f>IF('св.прот 1ф'!H64="","",IF('св.прот 1ф'!D64='св.прот 1ф'!H64,'св.прот 1ф'!P64,'св.прот 1ф'!O64))</f>
        <v/>
      </c>
      <c r="AN16" s="926" t="str">
        <f>IF('св.прот 1ф'!H121="","",IF('св.прот 1ф'!D121='св.прот 1ф'!H121,'св.прот 1ф'!O121,'св.прот 1ф'!P121))</f>
        <v/>
      </c>
      <c r="AO16" s="927" t="str">
        <f>IF(AN15="","",":")</f>
        <v/>
      </c>
      <c r="AP16" s="928" t="str">
        <f>IF('св.прот 1ф'!H121="","",IF('св.прот 1ф'!D121='св.прот 1ф'!H121,'св.прот 1ф'!P121,'св.прот 1ф'!O121))</f>
        <v/>
      </c>
      <c r="AQ16" s="926" t="str">
        <f>IF('св.прот 1ф'!H57="","",IF('св.прот 1ф'!D57='св.прот 1ф'!H57,'св.прот 1ф'!O57,'св.прот 1ф'!P57))</f>
        <v/>
      </c>
      <c r="AR16" s="927" t="str">
        <f>IF(AQ15="","",":")</f>
        <v/>
      </c>
      <c r="AS16" s="928" t="str">
        <f>IF('св.прот 1ф'!H57="","",IF('св.прот 1ф'!D57='св.прот 1ф'!H57,'св.прот 1ф'!P57,'св.прот 1ф'!O57))</f>
        <v/>
      </c>
      <c r="AT16" s="926" t="str">
        <f>IF('св.прот 1ф'!H112="","",IF('св.прот 1ф'!D112='св.прот 1ф'!H112,'св.прот 1ф'!O112,'св.прот 1ф'!P112))</f>
        <v/>
      </c>
      <c r="AU16" s="927" t="str">
        <f>IF(AT15="","",":")</f>
        <v/>
      </c>
      <c r="AV16" s="928" t="str">
        <f>IF('св.прот 1ф'!H112="","",IF('св.прот 1ф'!D112='св.прот 1ф'!H112,'св.прот 1ф'!P112,'св.прот 1ф'!O112))</f>
        <v/>
      </c>
      <c r="AW16" s="926" t="str">
        <f>IF('св.прот 1ф'!H50="","",IF('св.прот 1ф'!D50='св.прот 1ф'!H50,'св.прот 1ф'!O50,'св.прот 1ф'!P50))</f>
        <v/>
      </c>
      <c r="AX16" s="927" t="str">
        <f>IF(AW15="","",":")</f>
        <v/>
      </c>
      <c r="AY16" s="928" t="str">
        <f>IF('св.прот 1ф'!H50="","",IF('св.прот 1ф'!D50='св.прот 1ф'!H50,'св.прот 1ф'!P50,'св.прот 1ф'!O50))</f>
        <v/>
      </c>
      <c r="AZ16" s="1244"/>
      <c r="BA16" s="1245"/>
      <c r="BB16" s="1221"/>
      <c r="BC16" s="1222"/>
    </row>
    <row r="17" spans="1:55" ht="15.75" customHeight="1" x14ac:dyDescent="0.25">
      <c r="A17" s="1175">
        <v>7</v>
      </c>
      <c r="B17" s="1237"/>
      <c r="C17" s="133" t="str">
        <f>IF(B17="","",VLOOKUP(B17,'Списки участников'!A:H,3,FALSE))</f>
        <v/>
      </c>
      <c r="D17" s="1234" t="str">
        <f>IF(V5="","",IF(V6="W",0,IF(V5=2,1,IF(V5=1,2,IF(V5=0,2)))))</f>
        <v/>
      </c>
      <c r="E17" s="1235"/>
      <c r="F17" s="1236"/>
      <c r="G17" s="1234" t="str">
        <f>IF(V7="","",IF(V8="W",0,IF(V7=2,1,IF(V7=1,2,IF(V7=0,2)))))</f>
        <v/>
      </c>
      <c r="H17" s="1235"/>
      <c r="I17" s="1236"/>
      <c r="J17" s="1234" t="str">
        <f>IF(V9="","",IF(V10="W",0,IF(V9=2,1,IF(V9=1,2,IF(V9=0,2)))))</f>
        <v/>
      </c>
      <c r="K17" s="1235"/>
      <c r="L17" s="1236"/>
      <c r="M17" s="1234" t="str">
        <f>IF(V11="","",IF(V12="W",0,IF(V11=2,1,IF(V11=1,2,IF(V11=0,2)))))</f>
        <v/>
      </c>
      <c r="N17" s="1235"/>
      <c r="O17" s="1236"/>
      <c r="P17" s="1234" t="str">
        <f>IF(V13="","",IF(V14="W",0,IF(V13=2,1,IF(V13=1,2,IF(V13=0,2)))))</f>
        <v/>
      </c>
      <c r="Q17" s="1235"/>
      <c r="R17" s="1236"/>
      <c r="S17" s="1234" t="str">
        <f>IF(V15="","",IF(V16="W",0,IF(V15=2,1,IF(V15=1,2,IF(V15=0,2)))))</f>
        <v/>
      </c>
      <c r="T17" s="1235"/>
      <c r="U17" s="1236"/>
      <c r="V17" s="1249"/>
      <c r="W17" s="1246"/>
      <c r="X17" s="1247"/>
      <c r="Y17" s="1239" t="str">
        <f>IF('св.прот 1ф'!H20="","",IF(Y18="L",0,IF(Y18&gt;AA18,2,1)))</f>
        <v/>
      </c>
      <c r="Z17" s="1240"/>
      <c r="AA17" s="1241"/>
      <c r="AB17" s="1239" t="str">
        <f>IF('св.прот 1ф'!H70="","",IF(AB18="L",0,IF(AB18&gt;AD18,2,1)))</f>
        <v/>
      </c>
      <c r="AC17" s="1240"/>
      <c r="AD17" s="1241"/>
      <c r="AE17" s="1239" t="str">
        <f>IF('св.прот 1ф'!H11="","",IF(AE18="L",0,IF(AE18&gt;AG18,2,1)))</f>
        <v/>
      </c>
      <c r="AF17" s="1240"/>
      <c r="AG17" s="1241"/>
      <c r="AH17" s="1239" t="str">
        <f>IF('св.прот 1ф'!H63="","",IF(AH18="L",0,IF(AH18&gt;AJ18,2,1)))</f>
        <v/>
      </c>
      <c r="AI17" s="1240"/>
      <c r="AJ17" s="1241"/>
      <c r="AK17" s="1239" t="str">
        <f>IF('св.прот 1ф'!H122="","",IF(AK18="L",0,IF(AK18&gt;AM18,2,1)))</f>
        <v/>
      </c>
      <c r="AL17" s="1240"/>
      <c r="AM17" s="1241"/>
      <c r="AN17" s="1239" t="str">
        <f>IF('св.прот 1ф'!H56="","",IF(AN18="L",0,IF(AN18&gt;AP18,2,1)))</f>
        <v/>
      </c>
      <c r="AO17" s="1240"/>
      <c r="AP17" s="1241"/>
      <c r="AQ17" s="1239" t="str">
        <f>IF('св.прот 1ф'!H113="","",IF(AQ18="L",0,IF(AQ18&gt;AS18,2,1)))</f>
        <v/>
      </c>
      <c r="AR17" s="1240"/>
      <c r="AS17" s="1241"/>
      <c r="AT17" s="1239" t="str">
        <f>IF('св.прот 1ф'!H49="","",IF(AT18="L",0,IF(AT18&gt;AV18,2,1)))</f>
        <v/>
      </c>
      <c r="AU17" s="1240"/>
      <c r="AV17" s="1241"/>
      <c r="AW17" s="1239" t="str">
        <f>IF('св.прот 1ф'!H104="","",IF(AW18="L",0,IF(AW18&gt;AY18,2,1)))</f>
        <v/>
      </c>
      <c r="AX17" s="1240"/>
      <c r="AY17" s="1241"/>
      <c r="AZ17" s="1242" t="str">
        <f t="shared" ref="AZ17" si="5">IF(B17="","",SUM(G17,J17,M17,P17,S17,V17,Y17,AB17,AE17,AH17,AK17,AN17,AQ17,AT17,AW17,D17))</f>
        <v/>
      </c>
      <c r="BA17" s="1243"/>
      <c r="BB17" s="1220"/>
      <c r="BC17" s="1222" t="str">
        <f>IF(B17="","",RANK(AZ17,Ф1Оч))</f>
        <v/>
      </c>
    </row>
    <row r="18" spans="1:55" ht="15.75" customHeight="1" x14ac:dyDescent="0.25">
      <c r="A18" s="1176"/>
      <c r="B18" s="1238"/>
      <c r="C18" s="134" t="str">
        <f>IF(B17="","",VLOOKUP(B17,'Списки участников'!A:H,6,FALSE))</f>
        <v/>
      </c>
      <c r="D18" s="141" t="str">
        <f>IF(V5="","",X6)</f>
        <v/>
      </c>
      <c r="E18" s="136" t="str">
        <f>IF(W6="","",":")</f>
        <v/>
      </c>
      <c r="F18" s="142" t="str">
        <f>IF(X6="","",V6)</f>
        <v/>
      </c>
      <c r="G18" s="141" t="str">
        <f>IF(V7="","",X8)</f>
        <v/>
      </c>
      <c r="H18" s="136" t="str">
        <f>IF(W8="","",":")</f>
        <v/>
      </c>
      <c r="I18" s="142" t="str">
        <f>IF(X8="","",V8)</f>
        <v/>
      </c>
      <c r="J18" s="141" t="str">
        <f>IF(V9="","",X10)</f>
        <v/>
      </c>
      <c r="K18" s="136" t="str">
        <f>IF(W10="","",":")</f>
        <v/>
      </c>
      <c r="L18" s="142" t="str">
        <f>IF(X10="","",V10)</f>
        <v/>
      </c>
      <c r="M18" s="141" t="str">
        <f>IF(V11="","",X12)</f>
        <v/>
      </c>
      <c r="N18" s="136" t="str">
        <f>IF(W12="","",":")</f>
        <v/>
      </c>
      <c r="O18" s="142" t="str">
        <f>IF(X12="","",V12)</f>
        <v/>
      </c>
      <c r="P18" s="141" t="str">
        <f>IF(V13="","",X14)</f>
        <v/>
      </c>
      <c r="Q18" s="136" t="str">
        <f>IF(W14="","",":")</f>
        <v/>
      </c>
      <c r="R18" s="142" t="str">
        <f>IF(X14="","",V14)</f>
        <v/>
      </c>
      <c r="S18" s="141" t="str">
        <f>IF(V15="","",X16)</f>
        <v/>
      </c>
      <c r="T18" s="136" t="str">
        <f>IF(W16="","",":")</f>
        <v/>
      </c>
      <c r="U18" s="142" t="str">
        <f>IF(X16="","",V16)</f>
        <v/>
      </c>
      <c r="V18" s="1231"/>
      <c r="W18" s="1232"/>
      <c r="X18" s="1233"/>
      <c r="Y18" s="926" t="str">
        <f>IF('св.прот 1ф'!H20="","",IF('св.прот 1ф'!D20='св.прот 1ф'!H20,'св.прот 1ф'!O20,'св.прот 1ф'!P20))</f>
        <v/>
      </c>
      <c r="Z18" s="927" t="str">
        <f>IF(Y17="","",":")</f>
        <v/>
      </c>
      <c r="AA18" s="928" t="str">
        <f>IF('св.прот 1ф'!H20="","",IF('св.прот 1ф'!D20='св.прот 1ф'!H20,'св.прот 1ф'!P20,'св.прот 1ф'!O20))</f>
        <v/>
      </c>
      <c r="AB18" s="926" t="str">
        <f>IF('св.прот 1ф'!H70="","",IF('св.прот 1ф'!D70='св.прот 1ф'!H70,'св.прот 1ф'!O70,'св.прот 1ф'!P70))</f>
        <v/>
      </c>
      <c r="AC18" s="927" t="str">
        <f>IF(AB17="","",":")</f>
        <v/>
      </c>
      <c r="AD18" s="928" t="str">
        <f>IF('св.прот 1ф'!H70="","",IF('св.прот 1ф'!D70='св.прот 1ф'!H70,'св.прот 1ф'!P70,'св.прот 1ф'!O70))</f>
        <v/>
      </c>
      <c r="AE18" s="926" t="str">
        <f>IF('св.прот 1ф'!H11="","",IF('св.прот 1ф'!D11='св.прот 1ф'!H11,'св.прот 1ф'!O11,'св.прот 1ф'!P11))</f>
        <v/>
      </c>
      <c r="AF18" s="927" t="str">
        <f>IF(AE17="","",":")</f>
        <v/>
      </c>
      <c r="AG18" s="928" t="str">
        <f>IF('св.прот 1ф'!H11="","",IF('св.прот 1ф'!D11='св.прот 1ф'!H11,'св.прот 1ф'!P11,'св.прот 1ф'!O11))</f>
        <v/>
      </c>
      <c r="AH18" s="926" t="str">
        <f>IF('св.прот 1ф'!H63="","",IF('св.прот 1ф'!D63='св.прот 1ф'!H63,'св.прот 1ф'!O63,'св.прот 1ф'!P63))</f>
        <v/>
      </c>
      <c r="AI18" s="927" t="str">
        <f>IF(AH17="","",":")</f>
        <v/>
      </c>
      <c r="AJ18" s="928" t="str">
        <f>IF('св.прот 1ф'!H63="","",IF('св.прот 1ф'!D63='св.прот 1ф'!H63,'св.прот 1ф'!P63,'св.прот 1ф'!O63))</f>
        <v/>
      </c>
      <c r="AK18" s="926" t="str">
        <f>IF('св.прот 1ф'!H122="","",IF('св.прот 1ф'!D122='св.прот 1ф'!H122,'св.прот 1ф'!O122,'св.прот 1ф'!P122))</f>
        <v/>
      </c>
      <c r="AL18" s="927" t="str">
        <f>IF(AK17="","",":")</f>
        <v/>
      </c>
      <c r="AM18" s="928" t="str">
        <f>IF('св.прот 1ф'!H122="","",IF('св.прот 1ф'!D122='св.прот 1ф'!H122,'св.прот 1ф'!P122,'св.прот 1ф'!O122))</f>
        <v/>
      </c>
      <c r="AN18" s="926" t="str">
        <f>IF('св.прот 1ф'!H56="","",IF('св.прот 1ф'!D56='св.прот 1ф'!H56,'св.прот 1ф'!O56,'св.прот 1ф'!P56))</f>
        <v/>
      </c>
      <c r="AO18" s="927" t="str">
        <f>IF(AN17="","",":")</f>
        <v/>
      </c>
      <c r="AP18" s="928" t="str">
        <f>IF('св.прот 1ф'!H56="","",IF('св.прот 1ф'!D56='св.прот 1ф'!H56,'св.прот 1ф'!P56,'св.прот 1ф'!O56))</f>
        <v/>
      </c>
      <c r="AQ18" s="926" t="str">
        <f>IF('св.прот 1ф'!H113="","",IF('св.прот 1ф'!D113='св.прот 1ф'!H113,'св.прот 1ф'!O113,'св.прот 1ф'!P113))</f>
        <v/>
      </c>
      <c r="AR18" s="927" t="str">
        <f>IF(AQ17="","",":")</f>
        <v/>
      </c>
      <c r="AS18" s="928" t="str">
        <f>IF('св.прот 1ф'!H113="","",IF('св.прот 1ф'!D113='св.прот 1ф'!H113,'св.прот 1ф'!P113,'св.прот 1ф'!O113))</f>
        <v/>
      </c>
      <c r="AT18" s="926" t="str">
        <f>IF('св.прот 1ф'!H49="","",IF('св.прот 1ф'!D49='св.прот 1ф'!H49,'св.прот 1ф'!O49,'св.прот 1ф'!P49))</f>
        <v/>
      </c>
      <c r="AU18" s="927" t="str">
        <f>IF(AT17="","",":")</f>
        <v/>
      </c>
      <c r="AV18" s="928" t="str">
        <f>IF('св.прот 1ф'!H49="","",IF('св.прот 1ф'!D49='св.прот 1ф'!H49,'св.прот 1ф'!P49,'св.прот 1ф'!O49))</f>
        <v/>
      </c>
      <c r="AW18" s="926" t="str">
        <f>IF('св.прот 1ф'!H104="","",IF('св.прот 1ф'!D104='св.прот 1ф'!H104,'св.прот 1ф'!O104,'св.прот 1ф'!P104))</f>
        <v/>
      </c>
      <c r="AX18" s="927" t="str">
        <f>IF(AW17="","",":")</f>
        <v/>
      </c>
      <c r="AY18" s="928" t="str">
        <f>IF('св.прот 1ф'!H104="","",IF('св.прот 1ф'!D104='св.прот 1ф'!H104,'св.прот 1ф'!P104,'св.прот 1ф'!O104))</f>
        <v/>
      </c>
      <c r="AZ18" s="1244"/>
      <c r="BA18" s="1245"/>
      <c r="BB18" s="1221"/>
      <c r="BC18" s="1222"/>
    </row>
    <row r="19" spans="1:55" ht="15.75" customHeight="1" x14ac:dyDescent="0.25">
      <c r="A19" s="1175">
        <v>8</v>
      </c>
      <c r="B19" s="1223"/>
      <c r="C19" s="133" t="str">
        <f>IF(B19="","",VLOOKUP(B19,'Списки участников'!A:H,3,FALSE))</f>
        <v/>
      </c>
      <c r="D19" s="1234" t="str">
        <f>IF(Y5="","",IF(Y6="W",0,IF(Y5=2,1,IF(Y5=1,2,IF(Y5=0,2)))))</f>
        <v/>
      </c>
      <c r="E19" s="1235"/>
      <c r="F19" s="1236"/>
      <c r="G19" s="1234" t="str">
        <f>IF(Y7="","",IF(Y8="W",0,IF(Y7=2,1,IF(Y7=1,2,IF(Y7=0,2)))))</f>
        <v/>
      </c>
      <c r="H19" s="1235"/>
      <c r="I19" s="1236"/>
      <c r="J19" s="1234" t="str">
        <f>IF(Y9="","",IF(Y10="W",0,IF(Y9=2,1,IF(Y9=1,2,IF(Y9=0,2)))))</f>
        <v/>
      </c>
      <c r="K19" s="1235"/>
      <c r="L19" s="1236"/>
      <c r="M19" s="1234" t="str">
        <f>IF(Y11="","",IF(Y12="W",0,IF(Y11=2,1,IF(Y11=1,2,IF(Y11=0,2)))))</f>
        <v/>
      </c>
      <c r="N19" s="1235"/>
      <c r="O19" s="1236"/>
      <c r="P19" s="1234" t="str">
        <f>IF(Y13="","",IF(Y14="W",0,IF(Y13=2,1,IF(Y13=1,2,IF(Y13=0,2)))))</f>
        <v/>
      </c>
      <c r="Q19" s="1235"/>
      <c r="R19" s="1236"/>
      <c r="S19" s="1234" t="str">
        <f>IF(Y15="","",IF(Y16="W",0,IF(Y15=2,1,IF(Y15=1,2,IF(Y15=0,2)))))</f>
        <v/>
      </c>
      <c r="T19" s="1235"/>
      <c r="U19" s="1236"/>
      <c r="V19" s="1234" t="str">
        <f>IF(Y17="","",IF(Y18="W",0,IF(Y17=2,1,IF(Y17=1,2,IF(Y17=0,2)))))</f>
        <v/>
      </c>
      <c r="W19" s="1235"/>
      <c r="X19" s="1236"/>
      <c r="Y19" s="1228"/>
      <c r="Z19" s="1229"/>
      <c r="AA19" s="1230"/>
      <c r="AB19" s="1239" t="str">
        <f>IF('св.прот 1ф'!H12="","",IF(AB20="L",0,IF(AB20&gt;AD20,2,1)))</f>
        <v/>
      </c>
      <c r="AC19" s="1240"/>
      <c r="AD19" s="1241"/>
      <c r="AE19" s="1239" t="str">
        <f>IF('св.прот 1ф'!H62="","",IF(AE20="L",0,IF(AE20&gt;AG20,2,1)))</f>
        <v/>
      </c>
      <c r="AF19" s="1240"/>
      <c r="AG19" s="1241"/>
      <c r="AH19" s="1239" t="str">
        <f>IF('св.прот 1ф'!H123="","",IF(AH20="L",0,IF(AH20&gt;AJ20,2,1)))</f>
        <v/>
      </c>
      <c r="AI19" s="1240"/>
      <c r="AJ19" s="1241"/>
      <c r="AK19" s="1239" t="str">
        <f>IF('св.прот 1ф'!H55="","",IF(AK20="L",0,IF(AK20&gt;AM20,2,1)))</f>
        <v/>
      </c>
      <c r="AL19" s="1240"/>
      <c r="AM19" s="1241"/>
      <c r="AN19" s="1239" t="str">
        <f>IF('св.прот 1ф'!H114="","",IF(AN20="L",0,IF(AN20&gt;AP20,2,1)))</f>
        <v/>
      </c>
      <c r="AO19" s="1240"/>
      <c r="AP19" s="1241"/>
      <c r="AQ19" s="1239" t="str">
        <f>IF('св.прот 1ф'!H48="","",IF(AQ20="L",0,IF(AQ20&gt;AS20,2,1)))</f>
        <v/>
      </c>
      <c r="AR19" s="1240"/>
      <c r="AS19" s="1241"/>
      <c r="AT19" s="1239" t="str">
        <f>IF('св.прот 1ф'!H105="","",IF(AT20="L",0,IF(AT20&gt;AV20,2,1)))</f>
        <v/>
      </c>
      <c r="AU19" s="1240"/>
      <c r="AV19" s="1241"/>
      <c r="AW19" s="1239" t="str">
        <f>IF('св.прот 1ф'!H41="","",IF(AW20="L",0,IF(AW20&gt;AY20,2,1)))</f>
        <v/>
      </c>
      <c r="AX19" s="1240"/>
      <c r="AY19" s="1241"/>
      <c r="AZ19" s="1242" t="str">
        <f t="shared" ref="AZ19" si="6">IF(B19="","",SUM(G19,J19,M19,P19,S19,V19,Y19,AB19,AE19,AH19,AK19,AN19,AQ19,AT19,AW19,D19))</f>
        <v/>
      </c>
      <c r="BA19" s="1243"/>
      <c r="BB19" s="1220"/>
      <c r="BC19" s="1222" t="str">
        <f>IF(B19="","",RANK(AZ19,Ф1Оч))</f>
        <v/>
      </c>
    </row>
    <row r="20" spans="1:55" ht="15.75" customHeight="1" x14ac:dyDescent="0.25">
      <c r="A20" s="1176"/>
      <c r="B20" s="1224"/>
      <c r="C20" s="134" t="str">
        <f>IF(B19="","",VLOOKUP(B19,'Списки участников'!A:H,6,FALSE))</f>
        <v/>
      </c>
      <c r="D20" s="141" t="str">
        <f>IF(Y5="","",AA6)</f>
        <v/>
      </c>
      <c r="E20" s="136" t="str">
        <f>IF(Z6="","",":")</f>
        <v/>
      </c>
      <c r="F20" s="142" t="str">
        <f>IF(AA6="","",Y6)</f>
        <v/>
      </c>
      <c r="G20" s="141" t="str">
        <f>IF(Y7="","",AA8)</f>
        <v/>
      </c>
      <c r="H20" s="136" t="str">
        <f>IF(Z8="","",":")</f>
        <v/>
      </c>
      <c r="I20" s="142" t="str">
        <f>IF(AA8="","",Y8)</f>
        <v/>
      </c>
      <c r="J20" s="141" t="str">
        <f>IF(Y9="","",AA10)</f>
        <v/>
      </c>
      <c r="K20" s="136" t="str">
        <f>IF(Z10="","",":")</f>
        <v/>
      </c>
      <c r="L20" s="142" t="str">
        <f>IF(AA10="","",Y10)</f>
        <v/>
      </c>
      <c r="M20" s="141" t="str">
        <f>IF(Y11="","",AA12)</f>
        <v/>
      </c>
      <c r="N20" s="136" t="str">
        <f>IF(Z12="","",":")</f>
        <v/>
      </c>
      <c r="O20" s="142" t="str">
        <f>IF(AA12="","",Y12)</f>
        <v/>
      </c>
      <c r="P20" s="141" t="str">
        <f>IF(Y13="","",AA14)</f>
        <v/>
      </c>
      <c r="Q20" s="136" t="str">
        <f>IF(Z14="","",":")</f>
        <v/>
      </c>
      <c r="R20" s="142" t="str">
        <f>IF(AA14="","",Y14)</f>
        <v/>
      </c>
      <c r="S20" s="141" t="str">
        <f>IF(Y15="","",AA16)</f>
        <v/>
      </c>
      <c r="T20" s="136" t="str">
        <f>IF(Z16="","",":")</f>
        <v/>
      </c>
      <c r="U20" s="142" t="str">
        <f>IF(AA16="","",Y16)</f>
        <v/>
      </c>
      <c r="V20" s="141" t="str">
        <f>IF(Y17="","",AA18)</f>
        <v/>
      </c>
      <c r="W20" s="136" t="str">
        <f>IF(Z18="","",":")</f>
        <v/>
      </c>
      <c r="X20" s="142" t="str">
        <f>IF(AA18="","",Y18)</f>
        <v/>
      </c>
      <c r="Y20" s="1231"/>
      <c r="Z20" s="1232"/>
      <c r="AA20" s="1233"/>
      <c r="AB20" s="926" t="str">
        <f>IF('св.прот 1ф'!H12="","",IF('св.прот 1ф'!D12='св.прот 1ф'!H12,'св.прот 1ф'!O12,'св.прот 1ф'!P12))</f>
        <v/>
      </c>
      <c r="AC20" s="927" t="str">
        <f>IF(AB19="","",":")</f>
        <v/>
      </c>
      <c r="AD20" s="928" t="str">
        <f>IF('св.прот 1ф'!H12="","",IF('св.прот 1ф'!D12='св.прот 1ф'!H12,'св.прот 1ф'!P12,'св.прот 1ф'!O12))</f>
        <v/>
      </c>
      <c r="AE20" s="926" t="str">
        <f>IF('св.прот 1ф'!H62="","",IF('св.прот 1ф'!D62='св.прот 1ф'!H62,'св.прот 1ф'!O19,'св.прот 1ф'!P62))</f>
        <v/>
      </c>
      <c r="AF20" s="927" t="str">
        <f>IF(AE19="","",":")</f>
        <v/>
      </c>
      <c r="AG20" s="928" t="str">
        <f>IF('св.прот 1ф'!H62="","",IF('св.прот 1ф'!D62='св.прот 1ф'!H62,'св.прот 1ф'!P62,'св.прот 1ф'!O62))</f>
        <v/>
      </c>
      <c r="AH20" s="926" t="str">
        <f>IF('св.прот 1ф'!H123="","",IF('св.прот 1ф'!D123='св.прот 1ф'!H123,'св.прот 1ф'!O123,'св.прот 1ф'!P123))</f>
        <v/>
      </c>
      <c r="AI20" s="927" t="str">
        <f>IF(AH19="","",":")</f>
        <v/>
      </c>
      <c r="AJ20" s="928" t="str">
        <f>IF('св.прот 1ф'!H123="","",IF('св.прот 1ф'!D123='св.прот 1ф'!H123,'св.прот 1ф'!P123,'св.прот 1ф'!O123))</f>
        <v/>
      </c>
      <c r="AK20" s="926" t="str">
        <f>IF('св.прот 1ф'!H55="","",IF('св.прот 1ф'!D55='св.прот 1ф'!H55,'св.прот 1ф'!O55,'св.прот 1ф'!P55))</f>
        <v/>
      </c>
      <c r="AL20" s="927" t="str">
        <f>IF(AK19="","",":")</f>
        <v/>
      </c>
      <c r="AM20" s="928" t="str">
        <f>IF('св.прот 1ф'!H55="","",IF('св.прот 1ф'!D55='св.прот 1ф'!H55,'св.прот 1ф'!P55,'св.прот 1ф'!O55))</f>
        <v/>
      </c>
      <c r="AN20" s="926" t="str">
        <f>IF('св.прот 1ф'!H114="","",IF('св.прот 1ф'!D114='св.прот 1ф'!H114,'св.прот 1ф'!O114,'св.прот 1ф'!P114))</f>
        <v/>
      </c>
      <c r="AO20" s="927" t="str">
        <f>IF(AN19="","",":")</f>
        <v/>
      </c>
      <c r="AP20" s="928" t="str">
        <f>IF('св.прот 1ф'!H114="","",IF('св.прот 1ф'!D114='св.прот 1ф'!H114,'св.прот 1ф'!P114,'св.прот 1ф'!O114))</f>
        <v/>
      </c>
      <c r="AQ20" s="926" t="str">
        <f>IF('св.прот 1ф'!H48="","",IF('св.прот 1ф'!D48='св.прот 1ф'!H48,'св.прот 1ф'!O48,'св.прот 1ф'!P48))</f>
        <v/>
      </c>
      <c r="AR20" s="927" t="str">
        <f>IF(AQ19="","",":")</f>
        <v/>
      </c>
      <c r="AS20" s="928" t="str">
        <f>IF('св.прот 1ф'!H48="","",IF('св.прот 1ф'!D48='св.прот 1ф'!H48,'св.прот 1ф'!P48,'св.прот 1ф'!O48))</f>
        <v/>
      </c>
      <c r="AT20" s="926" t="str">
        <f>IF('св.прот 1ф'!H105="","",IF('св.прот 1ф'!D105='св.прот 1ф'!H105,'св.прот 1ф'!O105,'св.прот 1ф'!P105))</f>
        <v/>
      </c>
      <c r="AU20" s="927" t="str">
        <f>IF(AT19="","",":")</f>
        <v/>
      </c>
      <c r="AV20" s="928" t="str">
        <f>IF('св.прот 1ф'!H105="","",IF('св.прот 1ф'!D105='св.прот 1ф'!H105,'св.прот 1ф'!P105,'св.прот 1ф'!O105))</f>
        <v/>
      </c>
      <c r="AW20" s="926" t="str">
        <f>IF('св.прот 1ф'!H41="","",IF('св.прот 1ф'!D41='св.прот 1ф'!H41,'св.прот 1ф'!O41,'св.прот 1ф'!P41))</f>
        <v/>
      </c>
      <c r="AX20" s="927" t="str">
        <f>IF(AW19="","",":")</f>
        <v/>
      </c>
      <c r="AY20" s="928" t="str">
        <f>IF('св.прот 1ф'!H41="","",IF('св.прот 1ф'!D41='св.прот 1ф'!H41,'св.прот 1ф'!P41,'св.прот 1ф'!O41))</f>
        <v/>
      </c>
      <c r="AZ20" s="1244"/>
      <c r="BA20" s="1245"/>
      <c r="BB20" s="1221"/>
      <c r="BC20" s="1222"/>
    </row>
    <row r="21" spans="1:55" ht="15.75" customHeight="1" x14ac:dyDescent="0.25">
      <c r="A21" s="1175">
        <v>9</v>
      </c>
      <c r="B21" s="1237"/>
      <c r="C21" s="133" t="str">
        <f>IF(B21="","",VLOOKUP(B21,'Списки участников'!A:H,3,FALSE))</f>
        <v/>
      </c>
      <c r="D21" s="1234" t="str">
        <f>IF(AB5="","",IF(AB6="W",0,IF(AB5=2,1,IF(AB5=1,2,IF(AB5=0,2)))))</f>
        <v/>
      </c>
      <c r="E21" s="1235"/>
      <c r="F21" s="1236"/>
      <c r="G21" s="1234" t="str">
        <f>IF(AB7="","",IF(AB8="W",0,IF(AB7=2,1,IF(AB7=1,2,IF(AB7=0,2)))))</f>
        <v/>
      </c>
      <c r="H21" s="1235"/>
      <c r="I21" s="1236"/>
      <c r="J21" s="1234" t="str">
        <f>IF(AB9="","",IF(AB10="W",0,IF(AB9=2,1,IF(AB9=1,2,IF(AB9=0,2)))))</f>
        <v/>
      </c>
      <c r="K21" s="1235"/>
      <c r="L21" s="1236"/>
      <c r="M21" s="1234" t="str">
        <f>IF(AB11="","",IF(AB12="W",0,IF(AB11=2,1,IF(AB11=1,2,IF(AB11=0,2)))))</f>
        <v/>
      </c>
      <c r="N21" s="1235"/>
      <c r="O21" s="1236"/>
      <c r="P21" s="1234" t="str">
        <f>IF(AB13="","",IF(AB14="W",0,IF(AB13=2,1,IF(AB13=1,2,IF(AB13=0,2)))))</f>
        <v/>
      </c>
      <c r="Q21" s="1235"/>
      <c r="R21" s="1236"/>
      <c r="S21" s="1234" t="str">
        <f>IF(AB15="","",IF(AB16="W",0,IF(AB15=2,1,IF(AB15=1,2,IF(AB15=0,2)))))</f>
        <v/>
      </c>
      <c r="T21" s="1235"/>
      <c r="U21" s="1236"/>
      <c r="V21" s="1234" t="str">
        <f>IF(AB17="","",IF(AB18="W",0,IF(AB17=2,1,IF(AB17=1,2,IF(AB17=0,2)))))</f>
        <v/>
      </c>
      <c r="W21" s="1235"/>
      <c r="X21" s="1236"/>
      <c r="Y21" s="1234" t="str">
        <f>IF(AB19="","",IF(AB20="W",0,IF(AB19=2,1,IF(AB19=1,2,IF(AB19=0,2)))))</f>
        <v/>
      </c>
      <c r="Z21" s="1235"/>
      <c r="AA21" s="1236"/>
      <c r="AB21" s="1249"/>
      <c r="AC21" s="1246"/>
      <c r="AD21" s="1247"/>
      <c r="AE21" s="1239" t="str">
        <f>IF('св.прот 1ф'!H124="","",IF(AE22="L",0,IF(AE22&gt;AG22,2,1)))</f>
        <v/>
      </c>
      <c r="AF21" s="1240"/>
      <c r="AG21" s="1241"/>
      <c r="AH21" s="1239" t="str">
        <f>IF('св.прот 1ф'!H54="","",IF(AH22="L",0,IF(AH22&gt;AJ22,2,1)))</f>
        <v/>
      </c>
      <c r="AI21" s="1240"/>
      <c r="AJ21" s="1241"/>
      <c r="AK21" s="1239" t="str">
        <f>IF('св.прот 1ф'!H115="","",IF(AK22="L",0,IF(AK22&gt;AM22,2,1)))</f>
        <v/>
      </c>
      <c r="AL21" s="1240"/>
      <c r="AM21" s="1241"/>
      <c r="AN21" s="1239" t="str">
        <f>IF('св.прот 1ф'!H47="","",IF(AN22="L",0,IF(AN22&gt;AP22,2,1)))</f>
        <v/>
      </c>
      <c r="AO21" s="1240"/>
      <c r="AP21" s="1241"/>
      <c r="AQ21" s="1239" t="str">
        <f>IF('св.прот 1ф'!H106="","",IF(AQ22="L",0,IF(AQ22&gt;AS22,2,1)))</f>
        <v/>
      </c>
      <c r="AR21" s="1240"/>
      <c r="AS21" s="1241"/>
      <c r="AT21" s="1239" t="str">
        <f>IF('св.прот 1ф'!H40="","",IF(AT22="L",0,IF(AT22&gt;AV22,2,1)))</f>
        <v/>
      </c>
      <c r="AU21" s="1240"/>
      <c r="AV21" s="1241"/>
      <c r="AW21" s="1239" t="str">
        <f>IF('св.прот 1ф'!H97="","",IF(AW22="L",0,IF(AW22&gt;AY22,2,1)))</f>
        <v/>
      </c>
      <c r="AX21" s="1240"/>
      <c r="AY21" s="1241"/>
      <c r="AZ21" s="1242" t="str">
        <f t="shared" ref="AZ21" si="7">IF(B21="","",SUM(G21,J21,M21,P21,S21,V21,Y21,AB21,AE21,AH21,AK21,AN21,AQ21,AT21,AW21,D21))</f>
        <v/>
      </c>
      <c r="BA21" s="1243"/>
      <c r="BB21" s="1220"/>
      <c r="BC21" s="1222" t="str">
        <f>IF(B21="","",RANK(AZ21,Ф1Оч))</f>
        <v/>
      </c>
    </row>
    <row r="22" spans="1:55" ht="15.75" customHeight="1" x14ac:dyDescent="0.25">
      <c r="A22" s="1176"/>
      <c r="B22" s="1238"/>
      <c r="C22" s="134" t="str">
        <f>IF(B21="","",VLOOKUP(B21,'Списки участников'!A:H,6,FALSE))</f>
        <v/>
      </c>
      <c r="D22" s="141" t="str">
        <f>IF(AB5="","",AD6)</f>
        <v/>
      </c>
      <c r="E22" s="136" t="str">
        <f>IF(AC6="","",":")</f>
        <v/>
      </c>
      <c r="F22" s="142" t="str">
        <f>IF(AD6="","",AB6)</f>
        <v/>
      </c>
      <c r="G22" s="141" t="str">
        <f>IF(AB7="","",AD8)</f>
        <v/>
      </c>
      <c r="H22" s="136" t="str">
        <f>IF(AC8="","",":")</f>
        <v/>
      </c>
      <c r="I22" s="142" t="str">
        <f>IF(AD8="","",AB8)</f>
        <v/>
      </c>
      <c r="J22" s="141" t="str">
        <f>IF(AB9="","",AD10)</f>
        <v/>
      </c>
      <c r="K22" s="136" t="str">
        <f>IF(AC10="","",":")</f>
        <v/>
      </c>
      <c r="L22" s="142" t="str">
        <f>IF(AD10="","",AB10)</f>
        <v/>
      </c>
      <c r="M22" s="141" t="str">
        <f>IF(AB11="","",AD12)</f>
        <v/>
      </c>
      <c r="N22" s="136" t="str">
        <f>IF(AC12="","",":")</f>
        <v/>
      </c>
      <c r="O22" s="142" t="str">
        <f>IF(AD12="","",AB12)</f>
        <v/>
      </c>
      <c r="P22" s="141" t="str">
        <f>IF(AB13="","",AD14)</f>
        <v/>
      </c>
      <c r="Q22" s="136" t="str">
        <f>IF(AC14="","",":")</f>
        <v/>
      </c>
      <c r="R22" s="142" t="str">
        <f>IF(AD14="","",AB14)</f>
        <v/>
      </c>
      <c r="S22" s="141" t="str">
        <f>IF(AB15="","",AD16)</f>
        <v/>
      </c>
      <c r="T22" s="136" t="str">
        <f>IF(AC16="","",":")</f>
        <v/>
      </c>
      <c r="U22" s="142" t="str">
        <f>IF(AD16="","",AB16)</f>
        <v/>
      </c>
      <c r="V22" s="141" t="str">
        <f>IF(AB17="","",AD18)</f>
        <v/>
      </c>
      <c r="W22" s="136" t="str">
        <f>IF(AC18="","",":")</f>
        <v/>
      </c>
      <c r="X22" s="142" t="str">
        <f>IF(AD18="","",AB18)</f>
        <v/>
      </c>
      <c r="Y22" s="141" t="str">
        <f>IF(AB19="","",AD20)</f>
        <v/>
      </c>
      <c r="Z22" s="136" t="str">
        <f>IF(AC20="","",":")</f>
        <v/>
      </c>
      <c r="AA22" s="142" t="str">
        <f>IF(AD20="","",AB20)</f>
        <v/>
      </c>
      <c r="AB22" s="1231"/>
      <c r="AC22" s="1232"/>
      <c r="AD22" s="1233"/>
      <c r="AE22" s="926" t="str">
        <f>IF('св.прот 1ф'!H124="","",IF('св.прот 1ф'!D124='св.прот 1ф'!H124,'св.прот 1ф'!O21,'св.прот 1ф'!P124))</f>
        <v/>
      </c>
      <c r="AF22" s="927" t="str">
        <f>IF(AE21="","",":")</f>
        <v/>
      </c>
      <c r="AG22" s="928" t="str">
        <f>IF('св.прот 1ф'!H124="","",IF('св.прот 1ф'!D124='св.прот 1ф'!H124,'св.прот 1ф'!P124,'св.прот 1ф'!O124))</f>
        <v/>
      </c>
      <c r="AH22" s="926" t="str">
        <f>IF('св.прот 1ф'!H54="","",IF('св.прот 1ф'!D54='св.прот 1ф'!H54,'св.прот 1ф'!O54,'св.прот 1ф'!P54))</f>
        <v/>
      </c>
      <c r="AI22" s="927" t="str">
        <f>IF(AH21="","",":")</f>
        <v/>
      </c>
      <c r="AJ22" s="928" t="str">
        <f>IF('св.прот 1ф'!H54="","",IF('св.прот 1ф'!D54='св.прот 1ф'!H54,'св.прот 1ф'!P54,'св.прот 1ф'!O54))</f>
        <v/>
      </c>
      <c r="AK22" s="926" t="str">
        <f>IF('св.прот 1ф'!H115="","",IF('св.прот 1ф'!D115='св.прот 1ф'!H115,'св.прот 1ф'!O115,'св.прот 1ф'!P115))</f>
        <v/>
      </c>
      <c r="AL22" s="927" t="str">
        <f>IF(AK21="","",":")</f>
        <v/>
      </c>
      <c r="AM22" s="928" t="str">
        <f>IF('св.прот 1ф'!H115="","",IF('св.прот 1ф'!D115='св.прот 1ф'!H115,'св.прот 1ф'!P115,'св.прот 1ф'!O115))</f>
        <v/>
      </c>
      <c r="AN22" s="926" t="str">
        <f>IF('св.прот 1ф'!H47="","",IF('св.прот 1ф'!D47='св.прот 1ф'!H47,'св.прот 1ф'!O47,'св.прот 1ф'!P47))</f>
        <v/>
      </c>
      <c r="AO22" s="927" t="str">
        <f>IF(AN21="","",":")</f>
        <v/>
      </c>
      <c r="AP22" s="928" t="str">
        <f>IF('св.прот 1ф'!H47="","",IF('св.прот 1ф'!D47='св.прот 1ф'!H47,'св.прот 1ф'!P47,'св.прот 1ф'!O47))</f>
        <v/>
      </c>
      <c r="AQ22" s="926" t="str">
        <f>IF('св.прот 1ф'!H106="","",IF('св.прот 1ф'!D106='св.прот 1ф'!H106,'св.прот 1ф'!O106,'св.прот 1ф'!P106))</f>
        <v/>
      </c>
      <c r="AR22" s="927" t="str">
        <f>IF(AQ21="","",":")</f>
        <v/>
      </c>
      <c r="AS22" s="928" t="str">
        <f>IF('св.прот 1ф'!H106="","",IF('св.прот 1ф'!D106='св.прот 1ф'!H106,'св.прот 1ф'!P106,'св.прот 1ф'!O106))</f>
        <v/>
      </c>
      <c r="AT22" s="926" t="str">
        <f>IF('св.прот 1ф'!H40="","",IF('св.прот 1ф'!D40='св.прот 1ф'!H40,'св.прот 1ф'!O40,'св.прот 1ф'!P40))</f>
        <v/>
      </c>
      <c r="AU22" s="927" t="str">
        <f>IF(AT21="","",":")</f>
        <v/>
      </c>
      <c r="AV22" s="928" t="str">
        <f>IF('св.прот 1ф'!H40="","",IF('св.прот 1ф'!D40='св.прот 1ф'!H40,'св.прот 1ф'!P40,'св.прот 1ф'!O40))</f>
        <v/>
      </c>
      <c r="AW22" s="926" t="str">
        <f>IF('св.прот 1ф'!H97="","",IF('св.прот 1ф'!D97='св.прот 1ф'!H97,'св.прот 1ф'!O97,'св.прот 1ф'!P97))</f>
        <v/>
      </c>
      <c r="AX22" s="927" t="str">
        <f>IF(AW21="","",":")</f>
        <v/>
      </c>
      <c r="AY22" s="928" t="str">
        <f>IF('св.прот 1ф'!H97="","",IF('св.прот 1ф'!D97='св.прот 1ф'!H97,'св.прот 1ф'!P97,'св.прот 1ф'!O97))</f>
        <v/>
      </c>
      <c r="AZ22" s="1244"/>
      <c r="BA22" s="1245"/>
      <c r="BB22" s="1221"/>
      <c r="BC22" s="1222"/>
    </row>
    <row r="23" spans="1:55" ht="15.75" customHeight="1" x14ac:dyDescent="0.25">
      <c r="A23" s="1175">
        <v>10</v>
      </c>
      <c r="B23" s="1223"/>
      <c r="C23" s="133" t="str">
        <f>IF(B23="","",VLOOKUP(B23,'Списки участников'!A:H,3,FALSE))</f>
        <v/>
      </c>
      <c r="D23" s="1234" t="str">
        <f>IF(AE5="","",IF(AE6="W",0,IF(AE5=2,1,IF(AE5=1,2,IF(AE5=0,2)))))</f>
        <v/>
      </c>
      <c r="E23" s="1235"/>
      <c r="F23" s="1236"/>
      <c r="G23" s="1234" t="str">
        <f>IF(AE7="","",IF(AE8="W",0,IF(AE7=2,1,IF(AE7=1,2,IF(AE7=0,2)))))</f>
        <v/>
      </c>
      <c r="H23" s="1235"/>
      <c r="I23" s="1236"/>
      <c r="J23" s="1234" t="str">
        <f>IF(AE9="","",IF(AE10="W",0,IF(AE9=2,1,IF(AE9=1,2,IF(AE9=0,2)))))</f>
        <v/>
      </c>
      <c r="K23" s="1235"/>
      <c r="L23" s="1236"/>
      <c r="M23" s="1234" t="str">
        <f>IF(AE11="","",IF(AE12="W",0,IF(AE11=2,1,IF(AE11=1,2,IF(AE11=0,2)))))</f>
        <v/>
      </c>
      <c r="N23" s="1235"/>
      <c r="O23" s="1236"/>
      <c r="P23" s="1234" t="str">
        <f>IF(AE13="","",IF(AE14="W",0,IF(AE13=2,1,IF(AE13=1,2,IF(AE13=0,2)))))</f>
        <v/>
      </c>
      <c r="Q23" s="1235"/>
      <c r="R23" s="1236"/>
      <c r="S23" s="1234" t="str">
        <f>IF(AE15="","",IF(AE16="W",0,IF(AE15=2,1,IF(AE15=1,2,IF(AE15=0,2)))))</f>
        <v/>
      </c>
      <c r="T23" s="1235"/>
      <c r="U23" s="1236"/>
      <c r="V23" s="1234" t="str">
        <f>IF(AE17="","",IF(AE18="W",0,IF(AE17=2,1,IF(AE17=1,2,IF(AE17=0,2)))))</f>
        <v/>
      </c>
      <c r="W23" s="1235"/>
      <c r="X23" s="1236"/>
      <c r="Y23" s="1234" t="str">
        <f>IF(AE19="","",IF(AE20="W",0,IF(AE19=2,1,IF(AE19=1,2,IF(AE19=0,2)))))</f>
        <v/>
      </c>
      <c r="Z23" s="1235"/>
      <c r="AA23" s="1236"/>
      <c r="AB23" s="1234" t="str">
        <f>IF(AE21="","",IF(AE22="W",0,IF(AE21=2,1,IF(AE21=1,2,IF(AE21=0,2)))))</f>
        <v/>
      </c>
      <c r="AC23" s="1235"/>
      <c r="AD23" s="1236"/>
      <c r="AE23" s="1228"/>
      <c r="AF23" s="1229"/>
      <c r="AG23" s="1230"/>
      <c r="AH23" s="1239" t="str">
        <f>IF('св.прот 1ф'!H116="","",IF(AH24="L",0,IF(AH24&gt;AJ24,2,1)))</f>
        <v/>
      </c>
      <c r="AI23" s="1240"/>
      <c r="AJ23" s="1241"/>
      <c r="AK23" s="1239" t="str">
        <f>IF('св.прот 1ф'!H46="","",IF(AK24="L",0,IF(AK24&gt;AM24,2,1)))</f>
        <v/>
      </c>
      <c r="AL23" s="1240"/>
      <c r="AM23" s="1241"/>
      <c r="AN23" s="1239" t="str">
        <f>IF('св.прот 1ф'!H107="","",IF(AN24="L",0,IF(AN24&gt;AP24,2,1)))</f>
        <v/>
      </c>
      <c r="AO23" s="1240"/>
      <c r="AP23" s="1241"/>
      <c r="AQ23" s="1239" t="str">
        <f>IF('св.прот 1ф'!H39="","",IF(AQ24="L",0,IF(AQ24&gt;AS24,2,1)))</f>
        <v/>
      </c>
      <c r="AR23" s="1240"/>
      <c r="AS23" s="1241"/>
      <c r="AT23" s="1239" t="str">
        <f>IF('св.прот 1ф'!H98="","",IF(AT24="L",0,IF(AT24&gt;AV24,2,1)))</f>
        <v/>
      </c>
      <c r="AU23" s="1240"/>
      <c r="AV23" s="1241"/>
      <c r="AW23" s="1239" t="str">
        <f>IF('св.прот 1ф'!H32="","",IF(AW24="L",0,IF(AW24&gt;AY24,2,1)))</f>
        <v/>
      </c>
      <c r="AX23" s="1240"/>
      <c r="AY23" s="1241"/>
      <c r="AZ23" s="1242" t="str">
        <f t="shared" ref="AZ23" si="8">IF(B23="","",SUM(G23,J23,M23,P23,S23,V23,Y23,AB23,AE23,AH23,AK23,AN23,AQ23,AT23,AW23,D23))</f>
        <v/>
      </c>
      <c r="BA23" s="1243"/>
      <c r="BB23" s="1220"/>
      <c r="BC23" s="1222" t="str">
        <f>IF(B23="","",RANK(AZ23,Ф1Оч))</f>
        <v/>
      </c>
    </row>
    <row r="24" spans="1:55" ht="15.75" customHeight="1" x14ac:dyDescent="0.25">
      <c r="A24" s="1176"/>
      <c r="B24" s="1224"/>
      <c r="C24" s="134" t="str">
        <f>IF(B23="","",VLOOKUP(B23,'Списки участников'!A:H,6,FALSE))</f>
        <v/>
      </c>
      <c r="D24" s="141" t="str">
        <f>IF(AE5="","",AG6)</f>
        <v/>
      </c>
      <c r="E24" s="136" t="str">
        <f>IF(AF6="","",":")</f>
        <v/>
      </c>
      <c r="F24" s="142" t="str">
        <f>IF(AG6="","",AE6)</f>
        <v/>
      </c>
      <c r="G24" s="141" t="str">
        <f>IF(AE7="","",AG8)</f>
        <v/>
      </c>
      <c r="H24" s="136" t="str">
        <f>IF(AF8="","",":")</f>
        <v/>
      </c>
      <c r="I24" s="142" t="str">
        <f>IF(AG8="","",AE8)</f>
        <v/>
      </c>
      <c r="J24" s="141" t="str">
        <f>IF(AE9="","",AG10)</f>
        <v/>
      </c>
      <c r="K24" s="136" t="str">
        <f>IF(AF10="","",":")</f>
        <v/>
      </c>
      <c r="L24" s="142" t="str">
        <f>IF(AG10="","",AE10)</f>
        <v/>
      </c>
      <c r="M24" s="141" t="str">
        <f>IF(AE11="","",AG12)</f>
        <v/>
      </c>
      <c r="N24" s="136" t="str">
        <f>IF(AF12="","",":")</f>
        <v/>
      </c>
      <c r="O24" s="142" t="str">
        <f>IF(AG12="","",AE12)</f>
        <v/>
      </c>
      <c r="P24" s="141" t="str">
        <f>IF(AE13="","",AG14)</f>
        <v/>
      </c>
      <c r="Q24" s="136" t="str">
        <f>IF(AF14="","",":")</f>
        <v/>
      </c>
      <c r="R24" s="142" t="str">
        <f>IF(AG14="","",AE14)</f>
        <v/>
      </c>
      <c r="S24" s="141" t="str">
        <f>IF(AE15="","",AG16)</f>
        <v/>
      </c>
      <c r="T24" s="136" t="str">
        <f>IF(AF16="","",":")</f>
        <v/>
      </c>
      <c r="U24" s="142" t="str">
        <f>IF(AG16="","",AE16)</f>
        <v/>
      </c>
      <c r="V24" s="141" t="str">
        <f>IF(AE17="","",AG18)</f>
        <v/>
      </c>
      <c r="W24" s="136" t="str">
        <f>IF(AF18="","",":")</f>
        <v/>
      </c>
      <c r="X24" s="142" t="str">
        <f>IF(AG18="","",AE18)</f>
        <v/>
      </c>
      <c r="Y24" s="141" t="str">
        <f>IF(AE19="","",AG20)</f>
        <v/>
      </c>
      <c r="Z24" s="136" t="str">
        <f>IF(AF20="","",":")</f>
        <v/>
      </c>
      <c r="AA24" s="142" t="str">
        <f>IF(AG20="","",AE20)</f>
        <v/>
      </c>
      <c r="AB24" s="141" t="str">
        <f>IF(AE21="","",AG22)</f>
        <v/>
      </c>
      <c r="AC24" s="136" t="str">
        <f>IF(AE21="","",":")</f>
        <v/>
      </c>
      <c r="AD24" s="142" t="str">
        <f>IF(AG22="","",AE22)</f>
        <v/>
      </c>
      <c r="AE24" s="1231"/>
      <c r="AF24" s="1232"/>
      <c r="AG24" s="1233"/>
      <c r="AH24" s="926" t="str">
        <f>IF('св.прот 1ф'!H116="","",IF('св.прот 1ф'!D116='св.прот 1ф'!H116,'св.прот 1ф'!O116,'св.прот 1ф'!P116))</f>
        <v/>
      </c>
      <c r="AI24" s="927" t="str">
        <f>IF(AH23="","",":")</f>
        <v/>
      </c>
      <c r="AJ24" s="928" t="str">
        <f>IF('св.прот 1ф'!H116="","",IF('св.прот 1ф'!D116='св.прот 1ф'!H116,'св.прот 1ф'!P116,'св.прот 1ф'!O116))</f>
        <v/>
      </c>
      <c r="AK24" s="926" t="str">
        <f>IF('св.прот 1ф'!H46="","",IF('св.прот 1ф'!D46='св.прот 1ф'!H46,'св.прот 1ф'!O46,'св.прот 1ф'!P46))</f>
        <v/>
      </c>
      <c r="AL24" s="927" t="str">
        <f>IF(AK23="","",":")</f>
        <v/>
      </c>
      <c r="AM24" s="928" t="str">
        <f>IF('св.прот 1ф'!H46="","",IF('св.прот 1ф'!D46='св.прот 1ф'!H46,'св.прот 1ф'!P46,'св.прот 1ф'!O46))</f>
        <v/>
      </c>
      <c r="AN24" s="926" t="str">
        <f>IF('св.прот 1ф'!H107="","",IF('св.прот 1ф'!D107='св.прот 1ф'!H107,'св.прот 1ф'!O107,'св.прот 1ф'!P107))</f>
        <v/>
      </c>
      <c r="AO24" s="927" t="str">
        <f>IF(AN23="","",":")</f>
        <v/>
      </c>
      <c r="AP24" s="928" t="str">
        <f>IF('св.прот 1ф'!H107="","",IF('св.прот 1ф'!D107='св.прот 1ф'!H107,'св.прот 1ф'!P107,'св.прот 1ф'!O107))</f>
        <v/>
      </c>
      <c r="AQ24" s="926" t="str">
        <f>IF('св.прот 1ф'!H39="","",IF('св.прот 1ф'!D39='св.прот 1ф'!H39,'св.прот 1ф'!O39,'св.прот 1ф'!P39))</f>
        <v/>
      </c>
      <c r="AR24" s="927" t="str">
        <f>IF(AQ23="","",":")</f>
        <v/>
      </c>
      <c r="AS24" s="928" t="str">
        <f>IF('св.прот 1ф'!H39="","",IF('св.прот 1ф'!D39='св.прот 1ф'!H39,'св.прот 1ф'!P39,'св.прот 1ф'!O39))</f>
        <v/>
      </c>
      <c r="AT24" s="926" t="str">
        <f>IF('св.прот 1ф'!H98="","",IF('св.прот 1ф'!D98='св.прот 1ф'!H98,'св.прот 1ф'!O98,'св.прот 1ф'!P98))</f>
        <v/>
      </c>
      <c r="AU24" s="927" t="str">
        <f>IF(AT23="","",":")</f>
        <v/>
      </c>
      <c r="AV24" s="928" t="str">
        <f>IF('св.прот 1ф'!H98="","",IF('св.прот 1ф'!D98='св.прот 1ф'!H98,'св.прот 1ф'!P98,'св.прот 1ф'!O98))</f>
        <v/>
      </c>
      <c r="AW24" s="926" t="str">
        <f>IF('св.прот 1ф'!H32="","",IF('св.прот 1ф'!D32='св.прот 1ф'!H32,'св.прот 1ф'!O32,'св.прот 1ф'!P32))</f>
        <v/>
      </c>
      <c r="AX24" s="927" t="str">
        <f>IF(AW23="","",":")</f>
        <v/>
      </c>
      <c r="AY24" s="928" t="str">
        <f>IF('св.прот 1ф'!H32="","",IF('св.прот 1ф'!D32='св.прот 1ф'!H32,'св.прот 1ф'!P32,'св.прот 1ф'!O32))</f>
        <v/>
      </c>
      <c r="AZ24" s="1244"/>
      <c r="BA24" s="1245"/>
      <c r="BB24" s="1221"/>
      <c r="BC24" s="1222"/>
    </row>
    <row r="25" spans="1:55" ht="15.75" customHeight="1" x14ac:dyDescent="0.25">
      <c r="A25" s="1175">
        <v>11</v>
      </c>
      <c r="B25" s="1237"/>
      <c r="C25" s="133" t="str">
        <f>IF(B25="","",VLOOKUP(B25,'Списки участников'!A:H,3,FALSE))</f>
        <v/>
      </c>
      <c r="D25" s="1234" t="str">
        <f>IF(AH5="","",IF(AH6="W",0,IF(AH5=2,1,IF(AH5=1,2,IF(AH5=0,2)))))</f>
        <v/>
      </c>
      <c r="E25" s="1235"/>
      <c r="F25" s="1236"/>
      <c r="G25" s="1234" t="str">
        <f>IF(AH7="","",IF(AH8="W",0,IF(AH7=2,1,IF(AH7=1,2,IF(AH7=0,2)))))</f>
        <v/>
      </c>
      <c r="H25" s="1235"/>
      <c r="I25" s="1236"/>
      <c r="J25" s="1234" t="str">
        <f>IF(AH9="","",IF(AH10="W",0,IF(AH9=2,1,IF(AH9=1,2,IF(AH9=0,2)))))</f>
        <v/>
      </c>
      <c r="K25" s="1235"/>
      <c r="L25" s="1236"/>
      <c r="M25" s="1234" t="str">
        <f>IF(AH11="","",IF(AH12="W",0,IF(AH11=2,1,IF(AH11=1,2,IF(AH11=0,2)))))</f>
        <v/>
      </c>
      <c r="N25" s="1235"/>
      <c r="O25" s="1236"/>
      <c r="P25" s="1234" t="str">
        <f>IF(AH13="","",IF(AH14="W",0,IF(AH13=2,1,IF(AH13=1,2,IF(AH13=0,2)))))</f>
        <v/>
      </c>
      <c r="Q25" s="1235"/>
      <c r="R25" s="1236"/>
      <c r="S25" s="1234" t="str">
        <f>IF(AH15="","",IF(AH16="W",0,IF(AH15=2,1,IF(AH15=1,2,IF(AH15=0,2)))))</f>
        <v/>
      </c>
      <c r="T25" s="1235"/>
      <c r="U25" s="1236"/>
      <c r="V25" s="1234" t="str">
        <f>IF(AH17="","",IF(AH18="W",0,IF(AH17=2,1,IF(AH17=1,2,IF(AH17=0,2)))))</f>
        <v/>
      </c>
      <c r="W25" s="1235"/>
      <c r="X25" s="1236"/>
      <c r="Y25" s="1234" t="str">
        <f>IF(AH19="","",IF(AH20="W",0,IF(AH19=2,1,IF(AH19=1,2,IF(AH19=0,2)))))</f>
        <v/>
      </c>
      <c r="Z25" s="1235"/>
      <c r="AA25" s="1236"/>
      <c r="AB25" s="1234" t="str">
        <f>IF(AH21="","",IF(AH22="W",0,IF(AH21=2,1,IF(AH21=1,2,IF(AH21=0,2)))))</f>
        <v/>
      </c>
      <c r="AC25" s="1235"/>
      <c r="AD25" s="1236"/>
      <c r="AE25" s="1234" t="str">
        <f>IF(AH23="","",IF(AH24="W",0,IF(AH23=2,1,IF(AH23=1,2,IF(AH23=0,2)))))</f>
        <v/>
      </c>
      <c r="AF25" s="1235"/>
      <c r="AG25" s="1236"/>
      <c r="AH25" s="1228"/>
      <c r="AI25" s="1229"/>
      <c r="AJ25" s="1230"/>
      <c r="AK25" s="1239" t="str">
        <f>IF('св.прот 1ф'!H108="","",IF(AK26="L",0,IF(AK26&gt;AM26,2,1)))</f>
        <v/>
      </c>
      <c r="AL25" s="1240"/>
      <c r="AM25" s="1241"/>
      <c r="AN25" s="1239" t="str">
        <f>IF('св.прот 1ф'!H37="","",IF(AN26="L",0,IF(AN26&gt;AP26,2,1)))</f>
        <v/>
      </c>
      <c r="AO25" s="1240"/>
      <c r="AP25" s="1241"/>
      <c r="AQ25" s="1239" t="str">
        <f>IF('св.прот 1ф'!H99="","",IF(AQ26="L",0,IF(AQ26&gt;AS26,2,1)))</f>
        <v/>
      </c>
      <c r="AR25" s="1240"/>
      <c r="AS25" s="1241"/>
      <c r="AT25" s="1239" t="str">
        <f>IF('св.прот 1ф'!H31="","",IF(AT26="L",0,IF(AT26&gt;AV26,2,1)))</f>
        <v/>
      </c>
      <c r="AU25" s="1240"/>
      <c r="AV25" s="1241"/>
      <c r="AW25" s="1239" t="str">
        <f>IF('св.прот 1ф'!H90="","",IF(AW26="L",0,IF(AW26&gt;AY26,2,1)))</f>
        <v/>
      </c>
      <c r="AX25" s="1240"/>
      <c r="AY25" s="1241"/>
      <c r="AZ25" s="1242" t="str">
        <f t="shared" ref="AZ25" si="9">IF(B25="","",SUM(G25,J25,M25,P25,S25,V25,Y25,AB25,AE25,AH25,AK25,AN25,AQ25,AT25,AW25,D25))</f>
        <v/>
      </c>
      <c r="BA25" s="1243"/>
      <c r="BB25" s="1220"/>
      <c r="BC25" s="1222" t="str">
        <f>IF(B25="","",RANK(AZ25,Ф1Оч))</f>
        <v/>
      </c>
    </row>
    <row r="26" spans="1:55" ht="15.75" customHeight="1" x14ac:dyDescent="0.25">
      <c r="A26" s="1176"/>
      <c r="B26" s="1238"/>
      <c r="C26" s="134" t="str">
        <f>IF(B25="","",VLOOKUP(B25,'Списки участников'!A:H,6,FALSE))</f>
        <v/>
      </c>
      <c r="D26" s="141" t="str">
        <f>IF(AH5="","",AJ6)</f>
        <v/>
      </c>
      <c r="E26" s="136" t="str">
        <f>IF(AI6="","",":")</f>
        <v/>
      </c>
      <c r="F26" s="142" t="str">
        <f>IF(AJ6="","",AH6)</f>
        <v/>
      </c>
      <c r="G26" s="141" t="str">
        <f>IF(AH7="","",AJ8)</f>
        <v/>
      </c>
      <c r="H26" s="136" t="str">
        <f>IF(AI8="","",":")</f>
        <v/>
      </c>
      <c r="I26" s="142" t="str">
        <f>IF(AJ8="","",AH8)</f>
        <v/>
      </c>
      <c r="J26" s="141" t="str">
        <f>IF(AH9="","",AJ10)</f>
        <v/>
      </c>
      <c r="K26" s="136" t="str">
        <f>IF(AI10="","",":")</f>
        <v/>
      </c>
      <c r="L26" s="142" t="str">
        <f>IF(AJ10="","",AH10)</f>
        <v/>
      </c>
      <c r="M26" s="141" t="str">
        <f>IF(AH11="","",AJ12)</f>
        <v/>
      </c>
      <c r="N26" s="136" t="str">
        <f>IF(AI12="","",":")</f>
        <v/>
      </c>
      <c r="O26" s="142" t="str">
        <f>IF(AJ12="","",AH12)</f>
        <v/>
      </c>
      <c r="P26" s="141" t="str">
        <f>IF(AH13="","",AJ14)</f>
        <v/>
      </c>
      <c r="Q26" s="136" t="str">
        <f>IF(AI14="","",":")</f>
        <v/>
      </c>
      <c r="R26" s="142" t="str">
        <f>IF(AJ14="","",AH14)</f>
        <v/>
      </c>
      <c r="S26" s="141" t="str">
        <f>IF(AH15="","",AJ16)</f>
        <v/>
      </c>
      <c r="T26" s="136" t="str">
        <f>IF(AI16="","",":")</f>
        <v/>
      </c>
      <c r="U26" s="142" t="str">
        <f>IF(AJ16="","",AH16)</f>
        <v/>
      </c>
      <c r="V26" s="141" t="str">
        <f>IF(AH17="","",AJ18)</f>
        <v/>
      </c>
      <c r="W26" s="136" t="str">
        <f>IF(AI18="","",":")</f>
        <v/>
      </c>
      <c r="X26" s="142" t="str">
        <f>IF(AJ18="","",AH18)</f>
        <v/>
      </c>
      <c r="Y26" s="141" t="str">
        <f>IF(AH19="","",AJ20)</f>
        <v/>
      </c>
      <c r="Z26" s="136" t="str">
        <f>IF(AI20="","",":")</f>
        <v/>
      </c>
      <c r="AA26" s="142" t="str">
        <f>IF(AJ20="","",AH20)</f>
        <v/>
      </c>
      <c r="AB26" s="141" t="str">
        <f>IF(AH21="","",AJ22)</f>
        <v/>
      </c>
      <c r="AC26" s="136" t="str">
        <f>IF(AI22="","",":")</f>
        <v/>
      </c>
      <c r="AD26" s="142" t="str">
        <f>IF(AJ22="","",AH22)</f>
        <v/>
      </c>
      <c r="AE26" s="141" t="str">
        <f>IF(AH23="","",AJ24)</f>
        <v/>
      </c>
      <c r="AF26" s="136" t="str">
        <f>IF(AI24="","",":")</f>
        <v/>
      </c>
      <c r="AG26" s="142" t="str">
        <f>IF(AJ24="","",AH24)</f>
        <v/>
      </c>
      <c r="AH26" s="1231"/>
      <c r="AI26" s="1232"/>
      <c r="AJ26" s="1233"/>
      <c r="AK26" s="926" t="str">
        <f>IF('св.прот 1ф'!H108="","",IF('св.прот 1ф'!D108='св.прот 1ф'!H108,'св.прот 1ф'!O108,'св.прот 1ф'!P108))</f>
        <v/>
      </c>
      <c r="AL26" s="927" t="str">
        <f>IF(AK25="","",":")</f>
        <v/>
      </c>
      <c r="AM26" s="928" t="str">
        <f>IF('св.прот 1ф'!H108="","",IF('св.прот 1ф'!D108='св.прот 1ф'!H108,'св.прот 1ф'!P108,'св.прот 1ф'!O108))</f>
        <v/>
      </c>
      <c r="AN26" s="926" t="str">
        <f>IF('св.прот 1ф'!H38="","",IF('св.прот 1ф'!D38='св.прот 1ф'!H38,'св.прот 1ф'!O38,'св.прот 1ф'!P38))</f>
        <v/>
      </c>
      <c r="AO26" s="927" t="str">
        <f>IF(AN25="","",":")</f>
        <v/>
      </c>
      <c r="AP26" s="928" t="str">
        <f>IF('св.прот 1ф'!H38="","",IF('св.прот 1ф'!D38='св.прот 1ф'!H38,'св.прот 1ф'!P38,'св.прот 1ф'!O38))</f>
        <v/>
      </c>
      <c r="AQ26" s="926" t="str">
        <f>IF('св.прот 1ф'!H99="","",IF('св.прот 1ф'!D99='св.прот 1ф'!H99,'св.прот 1ф'!O99,'св.прот 1ф'!P99))</f>
        <v/>
      </c>
      <c r="AR26" s="927" t="str">
        <f>IF(AQ25="","",":")</f>
        <v/>
      </c>
      <c r="AS26" s="928" t="str">
        <f>IF('св.прот 1ф'!H99="","",IF('св.прот 1ф'!D99='св.прот 1ф'!H99,'св.прот 1ф'!P99,'св.прот 1ф'!O99))</f>
        <v/>
      </c>
      <c r="AT26" s="926" t="str">
        <f>IF('св.прот 1ф'!H31="","",IF('св.прот 1ф'!D31='св.прот 1ф'!H31,'св.прот 1ф'!O31,'св.прот 1ф'!P31))</f>
        <v/>
      </c>
      <c r="AU26" s="927" t="str">
        <f>IF(AT25="","",":")</f>
        <v/>
      </c>
      <c r="AV26" s="928" t="str">
        <f>IF('св.прот 1ф'!H31="","",IF('св.прот 1ф'!D31='св.прот 1ф'!H31,'св.прот 1ф'!P31,'св.прот 1ф'!O31))</f>
        <v/>
      </c>
      <c r="AW26" s="926" t="str">
        <f>IF('св.прот 1ф'!H90="","",IF('св.прот 1ф'!D90='св.прот 1ф'!H90,'св.прот 1ф'!O90,'св.прот 1ф'!P90))</f>
        <v/>
      </c>
      <c r="AX26" s="927" t="str">
        <f>IF(AW25="","",":")</f>
        <v/>
      </c>
      <c r="AY26" s="928" t="str">
        <f>IF('св.прот 1ф'!H90="","",IF('св.прот 1ф'!D90='св.прот 1ф'!H90,'св.прот 1ф'!P90,'св.прот 1ф'!O90))</f>
        <v/>
      </c>
      <c r="AZ26" s="1244"/>
      <c r="BA26" s="1245"/>
      <c r="BB26" s="1221"/>
      <c r="BC26" s="1222"/>
    </row>
    <row r="27" spans="1:55" ht="15.75" customHeight="1" x14ac:dyDescent="0.25">
      <c r="A27" s="1175">
        <v>12</v>
      </c>
      <c r="B27" s="1223"/>
      <c r="C27" s="133" t="str">
        <f>IF(B27="","",VLOOKUP(B27,'Списки участников'!A:H,3,FALSE))</f>
        <v/>
      </c>
      <c r="D27" s="1234" t="str">
        <f>IF(AK5="","",IF(AK6="W",0,IF(AK5=2,1,IF(AK5=1,2,IF(AK5=0,2)))))</f>
        <v/>
      </c>
      <c r="E27" s="1235"/>
      <c r="F27" s="1236"/>
      <c r="G27" s="1234" t="str">
        <f>IF(AK7="","",IF(AK8="W",0,IF(AK7=2,1,IF(AK7=1,2,IF(AK7=0,2)))))</f>
        <v/>
      </c>
      <c r="H27" s="1235"/>
      <c r="I27" s="1236"/>
      <c r="J27" s="1234" t="str">
        <f>IF(AK9="","",IF(AK10="W",0,IF(AK9=2,1,IF(AK9=1,2,IF(AK9=0,2)))))</f>
        <v/>
      </c>
      <c r="K27" s="1235"/>
      <c r="L27" s="1236"/>
      <c r="M27" s="1234" t="str">
        <f>IF(AK11="","",IF(AK12="W",0,IF(AK11=2,1,IF(AK11=1,2,IF(AK11=0,2)))))</f>
        <v/>
      </c>
      <c r="N27" s="1235"/>
      <c r="O27" s="1236"/>
      <c r="P27" s="1234" t="str">
        <f>IF(AK13="","",IF(AK14="W",0,IF(AK13=2,1,IF(AK13=1,2,IF(AK13=0,2)))))</f>
        <v/>
      </c>
      <c r="Q27" s="1235"/>
      <c r="R27" s="1236"/>
      <c r="S27" s="1234" t="str">
        <f>IF(AK15="","",IF(AK16="W",0,IF(AK15=2,1,IF(AK15=1,2,IF(AK15=0,2)))))</f>
        <v/>
      </c>
      <c r="T27" s="1235"/>
      <c r="U27" s="1236"/>
      <c r="V27" s="1234" t="str">
        <f>IF(AK17="","",IF(AK18="W",0,IF(AK17=2,1,IF(AK17=1,2,IF(AK17=0,2)))))</f>
        <v/>
      </c>
      <c r="W27" s="1235"/>
      <c r="X27" s="1236"/>
      <c r="Y27" s="1234" t="str">
        <f>IF(AK19="","",IF(AK20="W",0,IF(AK19=2,1,IF(AK19=1,2,IF(AK19=0,2)))))</f>
        <v/>
      </c>
      <c r="Z27" s="1235"/>
      <c r="AA27" s="1236"/>
      <c r="AB27" s="1234" t="str">
        <f>IF(AK21="","",IF(AK22="W",0,IF(AK21=2,1,IF(AK21=1,2,IF(AK21=0,2)))))</f>
        <v/>
      </c>
      <c r="AC27" s="1235"/>
      <c r="AD27" s="1236"/>
      <c r="AE27" s="1234" t="str">
        <f>IF(AK23="","",IF(AK24="W",0,IF(AK23=2,1,IF(AK23=1,2,IF(AK23=0,2)))))</f>
        <v/>
      </c>
      <c r="AF27" s="1235"/>
      <c r="AG27" s="1236"/>
      <c r="AH27" s="1234" t="str">
        <f>IF(AK25="","",IF(AK26="W",0,IF(AK25=2,1,IF(AK25=1,2,IF(AK25=0,2)))))</f>
        <v/>
      </c>
      <c r="AI27" s="1235"/>
      <c r="AJ27" s="1236"/>
      <c r="AK27" s="1228"/>
      <c r="AL27" s="1229"/>
      <c r="AM27" s="1230"/>
      <c r="AN27" s="1239" t="str">
        <f>IF('св.прот 1ф'!H100="","",IF(AN28="L",0,IF(AN28&gt;AP28,2,1)))</f>
        <v/>
      </c>
      <c r="AO27" s="1240"/>
      <c r="AP27" s="1241"/>
      <c r="AQ27" s="1239" t="str">
        <f>IF('св.прот 1ф'!H30="","",IF(AQ28="L",0,IF(AQ28&gt;AS28,2,1)))</f>
        <v/>
      </c>
      <c r="AR27" s="1240"/>
      <c r="AS27" s="1241"/>
      <c r="AT27" s="1239" t="str">
        <f>IF('св.прот 1ф'!H91="","",IF(AT28="L",0,IF(AT28&gt;AV28,2,1)))</f>
        <v/>
      </c>
      <c r="AU27" s="1240"/>
      <c r="AV27" s="1241"/>
      <c r="AW27" s="1239" t="str">
        <f>IF('св.прот 1ф'!H23="","",IF(AW28="L",0,IF(AW28&gt;AY28,2,1)))</f>
        <v/>
      </c>
      <c r="AX27" s="1240"/>
      <c r="AY27" s="1241"/>
      <c r="AZ27" s="1242" t="str">
        <f t="shared" ref="AZ27" si="10">IF(B27="","",SUM(G27,J27,M27,P27,S27,V27,Y27,AB27,AE27,AH27,AK27,AN27,AQ27,AT27,AW27,D27))</f>
        <v/>
      </c>
      <c r="BA27" s="1243"/>
      <c r="BB27" s="1220"/>
      <c r="BC27" s="1222" t="str">
        <f>IF(B27="","",RANK(AZ27,Ф1Оч))</f>
        <v/>
      </c>
    </row>
    <row r="28" spans="1:55" ht="15.75" customHeight="1" x14ac:dyDescent="0.25">
      <c r="A28" s="1176"/>
      <c r="B28" s="1224"/>
      <c r="C28" s="134" t="str">
        <f>IF(B27="","",VLOOKUP(B27,'Списки участников'!A:H,6,FALSE))</f>
        <v/>
      </c>
      <c r="D28" s="141" t="str">
        <f>IF(AK5="","",AM6)</f>
        <v/>
      </c>
      <c r="E28" s="136" t="str">
        <f>IF(AL6="","",":")</f>
        <v/>
      </c>
      <c r="F28" s="142" t="str">
        <f>IF(AM6="","",AK6)</f>
        <v/>
      </c>
      <c r="G28" s="141" t="str">
        <f>IF(AK7="","",AM8)</f>
        <v/>
      </c>
      <c r="H28" s="136" t="str">
        <f>IF(AL8="","",":")</f>
        <v/>
      </c>
      <c r="I28" s="142" t="str">
        <f>IF(AM8="","",AK8)</f>
        <v/>
      </c>
      <c r="J28" s="141" t="str">
        <f>IF(AK9="","",AM10)</f>
        <v/>
      </c>
      <c r="K28" s="136" t="str">
        <f>IF(AL10="","",":")</f>
        <v/>
      </c>
      <c r="L28" s="142" t="str">
        <f>IF(AM10="","",AK10)</f>
        <v/>
      </c>
      <c r="M28" s="141" t="str">
        <f>IF(AK11="","",AM12)</f>
        <v/>
      </c>
      <c r="N28" s="136" t="str">
        <f>IF(AL12="","",":")</f>
        <v/>
      </c>
      <c r="O28" s="142" t="str">
        <f>IF(AM12="","",AK12)</f>
        <v/>
      </c>
      <c r="P28" s="141" t="str">
        <f>IF(AK13="","",AM14)</f>
        <v/>
      </c>
      <c r="Q28" s="136" t="str">
        <f>IF(AL14="","",":")</f>
        <v/>
      </c>
      <c r="R28" s="142" t="str">
        <f>IF(AM14="","",AK14)</f>
        <v/>
      </c>
      <c r="S28" s="141" t="str">
        <f>IF(AK15="","",AM16)</f>
        <v/>
      </c>
      <c r="T28" s="136" t="str">
        <f>IF(AL16="","",":")</f>
        <v/>
      </c>
      <c r="U28" s="142" t="str">
        <f>IF(AM16="","",AK16)</f>
        <v/>
      </c>
      <c r="V28" s="141" t="str">
        <f>IF(AK17="","",AM18)</f>
        <v/>
      </c>
      <c r="W28" s="136" t="str">
        <f>IF(AL18="","",":")</f>
        <v/>
      </c>
      <c r="X28" s="142" t="str">
        <f>IF(AM18="","",AK18)</f>
        <v/>
      </c>
      <c r="Y28" s="141" t="str">
        <f>IF(AK19="","",AM20)</f>
        <v/>
      </c>
      <c r="Z28" s="136" t="str">
        <f>IF(AL20="","",":")</f>
        <v/>
      </c>
      <c r="AA28" s="142" t="str">
        <f>IF(AM20="","",AK20)</f>
        <v/>
      </c>
      <c r="AB28" s="141" t="str">
        <f>IF(AK21="","",AM22)</f>
        <v/>
      </c>
      <c r="AC28" s="136" t="str">
        <f>IF(AL22="","",":")</f>
        <v/>
      </c>
      <c r="AD28" s="142" t="str">
        <f>IF(AM22="","",AK22)</f>
        <v/>
      </c>
      <c r="AE28" s="141" t="str">
        <f>IF(AK23="","",AM24)</f>
        <v/>
      </c>
      <c r="AF28" s="136" t="str">
        <f>IF(AL24="","",":")</f>
        <v/>
      </c>
      <c r="AG28" s="142" t="str">
        <f>IF(AM24="","",AK24)</f>
        <v/>
      </c>
      <c r="AH28" s="141" t="str">
        <f>IF(AK25="","",AM26)</f>
        <v/>
      </c>
      <c r="AI28" s="136" t="str">
        <f>IF(AL26="","",":")</f>
        <v/>
      </c>
      <c r="AJ28" s="142" t="str">
        <f>IF(AM26="","",AK26)</f>
        <v/>
      </c>
      <c r="AK28" s="1231"/>
      <c r="AL28" s="1232"/>
      <c r="AM28" s="1233"/>
      <c r="AN28" s="926" t="str">
        <f>IF('св.прот 1ф'!H100="","",IF('св.прот 1ф'!D100='св.прот 1ф'!H100,'св.прот 1ф'!O100,'св.прот 1ф'!P100))</f>
        <v/>
      </c>
      <c r="AO28" s="927" t="str">
        <f>IF(AN27="","",":")</f>
        <v/>
      </c>
      <c r="AP28" s="928" t="str">
        <f>IF('св.прот 1ф'!H100="","",IF('св.прот 1ф'!D100='св.прот 1ф'!H100,'св.прот 1ф'!P100,'св.прот 1ф'!O100))</f>
        <v/>
      </c>
      <c r="AQ28" s="926" t="str">
        <f>IF('св.прот 1ф'!H30="","",IF('св.прот 1ф'!D30='св.прот 1ф'!H30,'св.прот 1ф'!O30,'св.прот 1ф'!P30))</f>
        <v/>
      </c>
      <c r="AR28" s="927" t="str">
        <f>IF(AQ27="","",":")</f>
        <v/>
      </c>
      <c r="AS28" s="928" t="str">
        <f>IF('св.прот 1ф'!H30="","",IF('св.прот 1ф'!D30='св.прот 1ф'!H30,'св.прот 1ф'!P30,'св.прот 1ф'!O30))</f>
        <v/>
      </c>
      <c r="AT28" s="926" t="str">
        <f>IF('св.прот 1ф'!H91="","",IF('св.прот 1ф'!D91='св.прот 1ф'!H91,'св.прот 1ф'!O91,'св.прот 1ф'!P91))</f>
        <v/>
      </c>
      <c r="AU28" s="927" t="str">
        <f>IF(AT27="","",":")</f>
        <v/>
      </c>
      <c r="AV28" s="928" t="str">
        <f>IF('св.прот 1ф'!H91="","",IF('св.прот 1ф'!D91='св.прот 1ф'!H91,'св.прот 1ф'!P91,'св.прот 1ф'!O91))</f>
        <v/>
      </c>
      <c r="AW28" s="926" t="str">
        <f>IF('св.прот 1ф'!H23="","",IF('св.прот 1ф'!D23='св.прот 1ф'!H23,'св.прот 1ф'!O23,'св.прот 1ф'!P23))</f>
        <v/>
      </c>
      <c r="AX28" s="927" t="str">
        <f>IF(AW27="","",":")</f>
        <v/>
      </c>
      <c r="AY28" s="928" t="str">
        <f>IF('св.прот 1ф'!H23="","",IF('св.прот 1ф'!D23='св.прот 1ф'!H23,'св.прот 1ф'!P23,'св.прот 1ф'!O23))</f>
        <v/>
      </c>
      <c r="AZ28" s="1244"/>
      <c r="BA28" s="1245"/>
      <c r="BB28" s="1221"/>
      <c r="BC28" s="1222"/>
    </row>
    <row r="29" spans="1:55" ht="15.75" customHeight="1" x14ac:dyDescent="0.25">
      <c r="A29" s="1175">
        <v>13</v>
      </c>
      <c r="B29" s="1237"/>
      <c r="C29" s="133" t="str">
        <f>IF(B29="","",VLOOKUP(B29,'Списки участников'!A:H,3,FALSE))</f>
        <v/>
      </c>
      <c r="D29" s="1234" t="str">
        <f>IF(AN5="","",IF(AN6="W",0,IF(AN5=2,1,IF(AN5=1,2,IF(AN5=0,2)))))</f>
        <v/>
      </c>
      <c r="E29" s="1235"/>
      <c r="F29" s="1236"/>
      <c r="G29" s="1234" t="str">
        <f>IF(AN7="","",IF(AN8="W",0,IF(AN7=2,1,IF(AN7=1,2,IF(AN7=0,2)))))</f>
        <v/>
      </c>
      <c r="H29" s="1235"/>
      <c r="I29" s="1236"/>
      <c r="J29" s="1234" t="str">
        <f>IF(AN9="","",IF(AN10="W",0,IF(AN9=2,1,IF(AN9=1,2,IF(AN9=0,2)))))</f>
        <v/>
      </c>
      <c r="K29" s="1235"/>
      <c r="L29" s="1236"/>
      <c r="M29" s="1234" t="str">
        <f>IF(AN11="","",IF(AN12="W",0,IF(AN11=2,1,IF(AN11=1,2,IF(AN11=0,2)))))</f>
        <v/>
      </c>
      <c r="N29" s="1235"/>
      <c r="O29" s="1236"/>
      <c r="P29" s="1234" t="str">
        <f>IF(AN13="","",IF(AN14="W",0,IF(AN13=2,1,IF(AN13=1,2,IF(AN13=0,2)))))</f>
        <v/>
      </c>
      <c r="Q29" s="1235"/>
      <c r="R29" s="1236"/>
      <c r="S29" s="1234" t="str">
        <f>IF(AN15="","",IF(AN16="W",0,IF(AN15=2,1,IF(AN15=1,2,IF(AN15=0,2)))))</f>
        <v/>
      </c>
      <c r="T29" s="1235"/>
      <c r="U29" s="1236"/>
      <c r="V29" s="1234" t="str">
        <f>IF(AN17="","",IF(AN18="W",0,IF(AN17=2,1,IF(AN17=1,2,IF(AN17=0,2)))))</f>
        <v/>
      </c>
      <c r="W29" s="1235"/>
      <c r="X29" s="1236"/>
      <c r="Y29" s="1234" t="str">
        <f>IF(AN19="","",IF(AN20="W",0,IF(AN19=2,1,IF(AN19=1,2,IF(AN19=0,2)))))</f>
        <v/>
      </c>
      <c r="Z29" s="1235"/>
      <c r="AA29" s="1236"/>
      <c r="AB29" s="1234" t="str">
        <f>IF(AN21="","",IF(AN22="W",0,IF(AN21=2,1,IF(AN21=1,2,IF(AN21=0,2)))))</f>
        <v/>
      </c>
      <c r="AC29" s="1235"/>
      <c r="AD29" s="1236"/>
      <c r="AE29" s="1234" t="str">
        <f>IF(AN23="","",IF(AN24="W",0,IF(AN23=2,1,IF(AN23=1,2,IF(AN23=0,2)))))</f>
        <v/>
      </c>
      <c r="AF29" s="1235"/>
      <c r="AG29" s="1236"/>
      <c r="AH29" s="1234" t="str">
        <f>IF(AN25="","",IF(AN26="W",0,IF(AN25=2,1,IF(AN25=1,2,IF(AN25=0,2)))))</f>
        <v/>
      </c>
      <c r="AI29" s="1235"/>
      <c r="AJ29" s="1236"/>
      <c r="AK29" s="1234" t="str">
        <f>IF(AN27="","",IF(AN28="W",0,IF(AN27=2,1,IF(AN27=1,2,IF(AN27=0,2)))))</f>
        <v/>
      </c>
      <c r="AL29" s="1235"/>
      <c r="AM29" s="1236"/>
      <c r="AN29" s="1228"/>
      <c r="AO29" s="1229"/>
      <c r="AP29" s="1230"/>
      <c r="AQ29" s="1239" t="str">
        <f>IF('св.прот 1ф'!H92="","",IF(AQ30="L",0,IF(AQ30&gt;AS30,2,1)))</f>
        <v/>
      </c>
      <c r="AR29" s="1240"/>
      <c r="AS29" s="1241"/>
      <c r="AT29" s="1239" t="str">
        <f>IF('св.прот 1ф'!H22="","",IF(AT30="L",0,IF(AT30&gt;AV30,2,1)))</f>
        <v/>
      </c>
      <c r="AU29" s="1240"/>
      <c r="AV29" s="1241"/>
      <c r="AW29" s="1239" t="str">
        <f>IF('св.прот 1ф'!H83="","",IF(AW30="L",0,IF(AW30&gt;AY30,2,1)))</f>
        <v/>
      </c>
      <c r="AX29" s="1240"/>
      <c r="AY29" s="1241"/>
      <c r="AZ29" s="1242" t="str">
        <f t="shared" ref="AZ29" si="11">IF(B29="","",SUM(G29,J29,M29,P29,S29,V29,Y29,AB29,AE29,AH29,AK29,AN29,AQ29,AT29,AW29,D29))</f>
        <v/>
      </c>
      <c r="BA29" s="1243"/>
      <c r="BB29" s="1220"/>
      <c r="BC29" s="1222" t="str">
        <f>IF(B29="","",RANK(AZ29,Ф1Оч))</f>
        <v/>
      </c>
    </row>
    <row r="30" spans="1:55" ht="15.75" customHeight="1" x14ac:dyDescent="0.25">
      <c r="A30" s="1176"/>
      <c r="B30" s="1238"/>
      <c r="C30" s="134" t="str">
        <f>IF(B29="","",VLOOKUP(B29,'Списки участников'!A:H,6,FALSE))</f>
        <v/>
      </c>
      <c r="D30" s="141" t="str">
        <f>IF(AN5="","",AP6)</f>
        <v/>
      </c>
      <c r="E30" s="136" t="str">
        <f>IF(AO6="","",":")</f>
        <v/>
      </c>
      <c r="F30" s="142" t="str">
        <f>IF(AP6="","",AN6)</f>
        <v/>
      </c>
      <c r="G30" s="141" t="str">
        <f>IF(AN7="","",AP8)</f>
        <v/>
      </c>
      <c r="H30" s="136" t="str">
        <f>IF(AO8="","",":")</f>
        <v/>
      </c>
      <c r="I30" s="142" t="str">
        <f>IF(AP8="","",AN8)</f>
        <v/>
      </c>
      <c r="J30" s="141" t="str">
        <f>IF(AN9="","",AP10)</f>
        <v/>
      </c>
      <c r="K30" s="136" t="str">
        <f>IF(AO10="","",":")</f>
        <v/>
      </c>
      <c r="L30" s="142" t="str">
        <f>IF(AP10="","",AN10)</f>
        <v/>
      </c>
      <c r="M30" s="141" t="str">
        <f>IF(AN11="","",AP12)</f>
        <v/>
      </c>
      <c r="N30" s="136" t="str">
        <f>IF(AO12="","",":")</f>
        <v/>
      </c>
      <c r="O30" s="142" t="str">
        <f>IF(AP12="","",AN12)</f>
        <v/>
      </c>
      <c r="P30" s="141" t="str">
        <f>IF(AN13="","",AP14)</f>
        <v/>
      </c>
      <c r="Q30" s="136" t="str">
        <f>IF(AO14="","",":")</f>
        <v/>
      </c>
      <c r="R30" s="142" t="str">
        <f>IF(AP14="","",AN14)</f>
        <v/>
      </c>
      <c r="S30" s="141" t="str">
        <f>IF(AN15="","",AP16)</f>
        <v/>
      </c>
      <c r="T30" s="136" t="str">
        <f>IF(AO16="","",":")</f>
        <v/>
      </c>
      <c r="U30" s="142" t="str">
        <f>IF(AP16="","",AN16)</f>
        <v/>
      </c>
      <c r="V30" s="141" t="str">
        <f>IF(AN17="","",AP18)</f>
        <v/>
      </c>
      <c r="W30" s="136" t="str">
        <f>IF(AO18="","",":")</f>
        <v/>
      </c>
      <c r="X30" s="142" t="str">
        <f>IF(AP18="","",AN18)</f>
        <v/>
      </c>
      <c r="Y30" s="141" t="str">
        <f>IF(AN19="","",AP20)</f>
        <v/>
      </c>
      <c r="Z30" s="136" t="str">
        <f>IF(AO20="","",":")</f>
        <v/>
      </c>
      <c r="AA30" s="142" t="str">
        <f>IF(AP20="","",AN20)</f>
        <v/>
      </c>
      <c r="AB30" s="141" t="str">
        <f>IF(AN21="","",AP22)</f>
        <v/>
      </c>
      <c r="AC30" s="136" t="str">
        <f>IF(AO22="","",":")</f>
        <v/>
      </c>
      <c r="AD30" s="142" t="str">
        <f>IF(AP22="","",AN22)</f>
        <v/>
      </c>
      <c r="AE30" s="141" t="str">
        <f>IF(AN23="","",AP24)</f>
        <v/>
      </c>
      <c r="AF30" s="136" t="str">
        <f>IF(AO24="","",":")</f>
        <v/>
      </c>
      <c r="AG30" s="142" t="str">
        <f>IF(AP24="","",AN24)</f>
        <v/>
      </c>
      <c r="AH30" s="141" t="str">
        <f>IF(AN25="","",AP26)</f>
        <v/>
      </c>
      <c r="AI30" s="136" t="str">
        <f>IF(AO26="","",":")</f>
        <v/>
      </c>
      <c r="AJ30" s="142" t="str">
        <f>IF(AP26="","",AN26)</f>
        <v/>
      </c>
      <c r="AK30" s="141" t="str">
        <f>IF(AN27="","",AP28)</f>
        <v/>
      </c>
      <c r="AL30" s="136" t="str">
        <f>IF(AO28="","",":")</f>
        <v/>
      </c>
      <c r="AM30" s="142" t="str">
        <f>IF(AP28="","",AN28)</f>
        <v/>
      </c>
      <c r="AN30" s="1231"/>
      <c r="AO30" s="1232"/>
      <c r="AP30" s="1233"/>
      <c r="AQ30" s="926" t="str">
        <f>IF('св.прот 1ф'!H92="","",IF('св.прот 1ф'!D92='св.прот 1ф'!H92,'св.прот 1ф'!O92,'св.прот 1ф'!P92))</f>
        <v/>
      </c>
      <c r="AR30" s="927" t="str">
        <f>IF(AQ29="","",":")</f>
        <v/>
      </c>
      <c r="AS30" s="928" t="str">
        <f>IF('св.прот 1ф'!H92="","",IF('св.прот 1ф'!D92='св.прот 1ф'!H92,'св.прот 1ф'!P92,'св.прот 1ф'!O92))</f>
        <v/>
      </c>
      <c r="AT30" s="926" t="str">
        <f>IF('св.прот 1ф'!H22="","",IF('св.прот 1ф'!D22='св.прот 1ф'!H22,'св.прот 1ф'!O22,'св.прот 1ф'!P22))</f>
        <v/>
      </c>
      <c r="AU30" s="927" t="str">
        <f>IF(AT29="","",":")</f>
        <v/>
      </c>
      <c r="AV30" s="928" t="str">
        <f>IF('св.прот 1ф'!H22="","",IF('св.прот 1ф'!D22='св.прот 1ф'!H22,'св.прот 1ф'!P22,'св.прот 1ф'!O22))</f>
        <v/>
      </c>
      <c r="AW30" s="926" t="str">
        <f>IF('св.прот 1ф'!H83="","",IF('св.прот 1ф'!D83='св.прот 1ф'!H83,'св.прот 1ф'!O83,'св.прот 1ф'!P83))</f>
        <v/>
      </c>
      <c r="AX30" s="927" t="str">
        <f>IF(AW29="","",":")</f>
        <v/>
      </c>
      <c r="AY30" s="928" t="str">
        <f>IF('св.прот 1ф'!H83="","",IF('св.прот 1ф'!D83='св.прот 1ф'!H83,'св.прот 1ф'!P83,'св.прот 1ф'!O83))</f>
        <v/>
      </c>
      <c r="AZ30" s="1244"/>
      <c r="BA30" s="1245"/>
      <c r="BB30" s="1221"/>
      <c r="BC30" s="1222"/>
    </row>
    <row r="31" spans="1:55" ht="15.75" customHeight="1" x14ac:dyDescent="0.25">
      <c r="A31" s="1175">
        <v>14</v>
      </c>
      <c r="B31" s="1223"/>
      <c r="C31" s="133" t="str">
        <f>IF(B31="","",VLOOKUP(B31,'Списки участников'!A:H,3,FALSE))</f>
        <v/>
      </c>
      <c r="D31" s="1234" t="str">
        <f>IF(AQ5="","",IF(AQ6="W",0,IF(AQ5=2,1,IF(AQ5=1,2,IF(AQ5=0,2)))))</f>
        <v/>
      </c>
      <c r="E31" s="1235"/>
      <c r="F31" s="1236"/>
      <c r="G31" s="1234" t="str">
        <f>IF(AQ7="","",IF(AQ8="W",0,IF(AQ7=2,1,IF(AQ7=1,2,IF(AQ7=0,2)))))</f>
        <v/>
      </c>
      <c r="H31" s="1235"/>
      <c r="I31" s="1236"/>
      <c r="J31" s="1234" t="str">
        <f>IF(AQ9="","",IF(AQ10="W",0,IF(AQ9=2,1,IF(AQ9=1,2,IF(AQ9=0,2)))))</f>
        <v/>
      </c>
      <c r="K31" s="1235"/>
      <c r="L31" s="1236"/>
      <c r="M31" s="1234" t="str">
        <f>IF(AQ11="","",IF(AQ12="W",0,IF(AQ11=2,1,IF(AQ11=1,2,IF(AQ11=0,2)))))</f>
        <v/>
      </c>
      <c r="N31" s="1235"/>
      <c r="O31" s="1236"/>
      <c r="P31" s="1234" t="str">
        <f>IF(AQ13="","",IF(AQ14="W",0,IF(AQ13=2,1,IF(AQ13=1,2,IF(AQ13=0,2)))))</f>
        <v/>
      </c>
      <c r="Q31" s="1235"/>
      <c r="R31" s="1236"/>
      <c r="S31" s="1234" t="str">
        <f>IF(AQ15="","",IF(AQ16="W",0,IF(AQ15=2,1,IF(AQ15=1,2,IF(AQ15=0,2)))))</f>
        <v/>
      </c>
      <c r="T31" s="1235"/>
      <c r="U31" s="1236"/>
      <c r="V31" s="1234" t="str">
        <f>IF(AQ17="","",IF(AQ18="W",0,IF(AQ17=2,1,IF(AQ17=1,2,IF(AQ17=0,2)))))</f>
        <v/>
      </c>
      <c r="W31" s="1235"/>
      <c r="X31" s="1236"/>
      <c r="Y31" s="1234" t="str">
        <f>IF(AQ19="","",IF(AQ20="W",0,IF(AQ19=2,1,IF(AQ19=1,2,IF(AQ19=0,2)))))</f>
        <v/>
      </c>
      <c r="Z31" s="1235"/>
      <c r="AA31" s="1236"/>
      <c r="AB31" s="1234" t="str">
        <f>IF(AQ21="","",IF(AQ22="W",0,IF(AQ21=2,1,IF(AQ21=1,2,IF(AQ21=0,2)))))</f>
        <v/>
      </c>
      <c r="AC31" s="1235"/>
      <c r="AD31" s="1236"/>
      <c r="AE31" s="1234" t="str">
        <f>IF(AQ23="","",IF(AQ24="W",0,IF(AQ23=2,1,IF(AQ23=1,2,IF(AQ23=0,2)))))</f>
        <v/>
      </c>
      <c r="AF31" s="1235"/>
      <c r="AG31" s="1236"/>
      <c r="AH31" s="1234" t="str">
        <f>IF(AQ25="","",IF(AQ26="W",0,IF(AQ25=2,1,IF(AQ25=1,2,IF(AQ25=0,2)))))</f>
        <v/>
      </c>
      <c r="AI31" s="1235"/>
      <c r="AJ31" s="1236"/>
      <c r="AK31" s="1234" t="str">
        <f>IF(AQ27="","",IF(AQ28="W",0,IF(AQ27=2,1,IF(AQ27=1,2,IF(AQ27=0,2)))))</f>
        <v/>
      </c>
      <c r="AL31" s="1235"/>
      <c r="AM31" s="1236"/>
      <c r="AN31" s="1234" t="str">
        <f>IF(AQ29="","",IF(AQ30="W",0,IF(AQ29=2,1,IF(AQ29=1,2,IF(AQ29=0,2)))))</f>
        <v/>
      </c>
      <c r="AO31" s="1235"/>
      <c r="AP31" s="1236"/>
      <c r="AQ31" s="1228"/>
      <c r="AR31" s="1229"/>
      <c r="AS31" s="1230"/>
      <c r="AT31" s="1239" t="str">
        <f>IF('св.прот 1ф'!H84="","",IF(AT32="L",0,IF(AT32&gt;AV32,2,1)))</f>
        <v/>
      </c>
      <c r="AU31" s="1240"/>
      <c r="AV31" s="1241"/>
      <c r="AW31" s="1239" t="str">
        <f>IF('св.прот 1ф'!H14="","",IF(AW32="L",0,IF(AW32&gt;AY32,2,1)))</f>
        <v/>
      </c>
      <c r="AX31" s="1240"/>
      <c r="AY31" s="1241"/>
      <c r="AZ31" s="1242" t="str">
        <f t="shared" ref="AZ31" si="12">IF(B31="","",SUM(G31,J31,M31,P31,S31,V31,Y31,AB31,AE31,AH31,AK31,AN31,AQ31,AT31,AW31,D31))</f>
        <v/>
      </c>
      <c r="BA31" s="1243"/>
      <c r="BB31" s="1220"/>
      <c r="BC31" s="1222" t="str">
        <f>IF(B31="","",RANK(AZ31,Ф1Оч))</f>
        <v/>
      </c>
    </row>
    <row r="32" spans="1:55" ht="15.75" customHeight="1" x14ac:dyDescent="0.25">
      <c r="A32" s="1176"/>
      <c r="B32" s="1224"/>
      <c r="C32" s="134" t="str">
        <f>IF(B31="","",VLOOKUP(B31,'Списки участников'!A:H,6,FALSE))</f>
        <v/>
      </c>
      <c r="D32" s="141" t="str">
        <f>IF(AQ5="","",AS6)</f>
        <v/>
      </c>
      <c r="E32" s="136" t="str">
        <f>IF(AR6="","",":")</f>
        <v/>
      </c>
      <c r="F32" s="142" t="str">
        <f>IF(AS6="","",AQ6)</f>
        <v/>
      </c>
      <c r="G32" s="141" t="str">
        <f>IF(AQ7="","",AS8)</f>
        <v/>
      </c>
      <c r="H32" s="136" t="str">
        <f>IF(AR8="","",":")</f>
        <v/>
      </c>
      <c r="I32" s="142" t="str">
        <f>IF(AS8="","",AQ8)</f>
        <v/>
      </c>
      <c r="J32" s="141" t="str">
        <f>IF(AQ9="","",AS10)</f>
        <v/>
      </c>
      <c r="K32" s="136" t="str">
        <f>IF(AR10="","",":")</f>
        <v/>
      </c>
      <c r="L32" s="142" t="str">
        <f>IF(AS10="","",AQ10)</f>
        <v/>
      </c>
      <c r="M32" s="141" t="str">
        <f>IF(AQ11="","",AS12)</f>
        <v/>
      </c>
      <c r="N32" s="136" t="str">
        <f>IF(AR12="","",":")</f>
        <v/>
      </c>
      <c r="O32" s="142" t="str">
        <f>IF(AS12="","",AQ12)</f>
        <v/>
      </c>
      <c r="P32" s="141" t="str">
        <f>IF(AQ13="","",AS14)</f>
        <v/>
      </c>
      <c r="Q32" s="136" t="str">
        <f>IF(AR14="","",":")</f>
        <v/>
      </c>
      <c r="R32" s="142" t="str">
        <f>IF(AS14="","",AQ14)</f>
        <v/>
      </c>
      <c r="S32" s="141" t="str">
        <f>IF(AQ15="","",AS16)</f>
        <v/>
      </c>
      <c r="T32" s="136" t="str">
        <f>IF(AR16="","",":")</f>
        <v/>
      </c>
      <c r="U32" s="142" t="str">
        <f>IF(AS16="","",AQ16)</f>
        <v/>
      </c>
      <c r="V32" s="141" t="str">
        <f>IF(AQ17="","",AS18)</f>
        <v/>
      </c>
      <c r="W32" s="136" t="str">
        <f>IF(AR18="","",":")</f>
        <v/>
      </c>
      <c r="X32" s="142" t="str">
        <f>IF(AS18="","",AQ18)</f>
        <v/>
      </c>
      <c r="Y32" s="141" t="str">
        <f>IF(AQ19="","",AS20)</f>
        <v/>
      </c>
      <c r="Z32" s="136" t="str">
        <f>IF(AR20="","",":")</f>
        <v/>
      </c>
      <c r="AA32" s="142" t="str">
        <f>IF(AS20="","",AQ20)</f>
        <v/>
      </c>
      <c r="AB32" s="141" t="str">
        <f>IF(AQ21="","",AS22)</f>
        <v/>
      </c>
      <c r="AC32" s="136" t="str">
        <f>IF(AR22="","",":")</f>
        <v/>
      </c>
      <c r="AD32" s="142" t="str">
        <f>IF(AS22="","",AQ22)</f>
        <v/>
      </c>
      <c r="AE32" s="141" t="str">
        <f>IF(AQ23="","",AS24)</f>
        <v/>
      </c>
      <c r="AF32" s="136" t="str">
        <f>IF(AR24="","",":")</f>
        <v/>
      </c>
      <c r="AG32" s="142" t="str">
        <f>IF(AS24="","",AQ24)</f>
        <v/>
      </c>
      <c r="AH32" s="141" t="str">
        <f>IF(AQ25="","",AS26)</f>
        <v/>
      </c>
      <c r="AI32" s="136" t="str">
        <f>IF(AR26="","",":")</f>
        <v/>
      </c>
      <c r="AJ32" s="142" t="str">
        <f>IF(AS26="","",AQ26)</f>
        <v/>
      </c>
      <c r="AK32" s="141" t="str">
        <f>IF(AQ27="","",AS28)</f>
        <v/>
      </c>
      <c r="AL32" s="136" t="str">
        <f>IF(AR28="","",":")</f>
        <v/>
      </c>
      <c r="AM32" s="142" t="str">
        <f>IF(AS28="","",AQ28)</f>
        <v/>
      </c>
      <c r="AN32" s="141" t="str">
        <f>IF(AQ29="","",AS30)</f>
        <v/>
      </c>
      <c r="AO32" s="136" t="str">
        <f>IF(AR30="","",":")</f>
        <v/>
      </c>
      <c r="AP32" s="142" t="str">
        <f>IF(AS30="","",AQ30)</f>
        <v/>
      </c>
      <c r="AQ32" s="1231"/>
      <c r="AR32" s="1232"/>
      <c r="AS32" s="1233"/>
      <c r="AT32" s="926" t="str">
        <f>IF('св.прот 1ф'!H84="","",IF('св.прот 1ф'!D84='св.прот 1ф'!H84,'св.прот 1ф'!O84,'св.прот 1ф'!P84))</f>
        <v/>
      </c>
      <c r="AU32" s="927" t="str">
        <f>IF(AT31="","",":")</f>
        <v/>
      </c>
      <c r="AV32" s="928" t="str">
        <f>IF('св.прот 1ф'!H84="","",IF('св.прот 1ф'!D84='св.прот 1ф'!H84,'св.прот 1ф'!P84,'св.прот 1ф'!O84))</f>
        <v/>
      </c>
      <c r="AW32" s="926" t="str">
        <f>IF('св.прот 1ф'!H14="","",IF('св.прот 1ф'!D14='св.прот 1ф'!H14,'св.прот 1ф'!O13,'св.прот 1ф'!P14))</f>
        <v/>
      </c>
      <c r="AX32" s="927" t="str">
        <f>IF(AW31="","",":")</f>
        <v/>
      </c>
      <c r="AY32" s="928" t="str">
        <f>IF('св.прот 1ф'!H14="","",IF('св.прот 1ф'!D14='св.прот 1ф'!H14,'св.прот 1ф'!P14,'св.прот 1ф'!O14))</f>
        <v/>
      </c>
      <c r="AZ32" s="1244"/>
      <c r="BA32" s="1245"/>
      <c r="BB32" s="1221"/>
      <c r="BC32" s="1222"/>
    </row>
    <row r="33" spans="1:55" ht="15.75" customHeight="1" x14ac:dyDescent="0.25">
      <c r="A33" s="1250">
        <v>15</v>
      </c>
      <c r="B33" s="1237"/>
      <c r="C33" s="133" t="str">
        <f>IF(B33="","",VLOOKUP(B33,'Списки участников'!A:H,3,FALSE))</f>
        <v/>
      </c>
      <c r="D33" s="1234" t="str">
        <f>IF(AT5="","",IF(AT6="W",0,IF(AT5=2,1,IF(AT5=1,2,IF(AT5=0,2)))))</f>
        <v/>
      </c>
      <c r="E33" s="1235"/>
      <c r="F33" s="1236"/>
      <c r="G33" s="1234" t="str">
        <f>IF(AT7="","",IF(AT8="W",0,IF(AT7=2,1,IF(AT7=1,2,IF(AT7=0,2)))))</f>
        <v/>
      </c>
      <c r="H33" s="1235"/>
      <c r="I33" s="1236"/>
      <c r="J33" s="1234" t="str">
        <f>IF(AT9="","",IF(AT10="W",0,IF(AT9=2,1,IF(AT9=1,2,IF(AT9=0,2)))))</f>
        <v/>
      </c>
      <c r="K33" s="1235"/>
      <c r="L33" s="1236"/>
      <c r="M33" s="1234" t="str">
        <f>IF(AT11="","",IF(AT12="W",0,IF(AT11=2,1,IF(AT11=1,2,IF(AT11=0,2)))))</f>
        <v/>
      </c>
      <c r="N33" s="1235"/>
      <c r="O33" s="1236"/>
      <c r="P33" s="1234" t="str">
        <f>IF(AT13="","",IF(AT14="W",0,IF(AT13=2,1,IF(AT13=1,2,IF(AT13=0,2)))))</f>
        <v/>
      </c>
      <c r="Q33" s="1235"/>
      <c r="R33" s="1236"/>
      <c r="S33" s="1234" t="str">
        <f>IF(AT15="","",IF(AT16="W",0,IF(AT15=2,1,IF(AT15=1,2,IF(AT15=0,2)))))</f>
        <v/>
      </c>
      <c r="T33" s="1235"/>
      <c r="U33" s="1236"/>
      <c r="V33" s="1234" t="str">
        <f>IF(AT17="","",IF(AT18="W",0,IF(AT17=2,1,IF(AT17=1,2,IF(AT17=0,2)))))</f>
        <v/>
      </c>
      <c r="W33" s="1235"/>
      <c r="X33" s="1236"/>
      <c r="Y33" s="1234" t="str">
        <f>IF(AT19="","",IF(AT20="W",0,IF(AT19=2,1,IF(AT19=1,2,IF(AT19=0,2)))))</f>
        <v/>
      </c>
      <c r="Z33" s="1235"/>
      <c r="AA33" s="1236"/>
      <c r="AB33" s="1234" t="str">
        <f>IF(AT21="","",IF(AT22="W",0,IF(AT21=2,1,IF(AT21=1,2,IF(AT21=0,2)))))</f>
        <v/>
      </c>
      <c r="AC33" s="1235"/>
      <c r="AD33" s="1236"/>
      <c r="AE33" s="1234" t="str">
        <f>IF(AT23="","",IF(AT24="W",0,IF(AT23=2,1,IF(AT23=1,2,IF(AT23=0,2)))))</f>
        <v/>
      </c>
      <c r="AF33" s="1235"/>
      <c r="AG33" s="1236"/>
      <c r="AH33" s="1234" t="str">
        <f>IF(AT25="","",IF(AT26="W",0,IF(AT25=2,1,IF(AT25=1,2,IF(AT25=0,2)))))</f>
        <v/>
      </c>
      <c r="AI33" s="1235"/>
      <c r="AJ33" s="1236"/>
      <c r="AK33" s="1234" t="str">
        <f>IF(AT27="","",IF(AT28="W",0,IF(AT27=2,1,IF(AT27=1,2,IF(AT27=0,2)))))</f>
        <v/>
      </c>
      <c r="AL33" s="1235"/>
      <c r="AM33" s="1236"/>
      <c r="AN33" s="1234" t="str">
        <f>IF(AT29="","",IF(AT30="W",0,IF(AT29=2,1,IF(AT29=1,2,IF(AT29=0,2)))))</f>
        <v/>
      </c>
      <c r="AO33" s="1235"/>
      <c r="AP33" s="1236"/>
      <c r="AQ33" s="1234" t="str">
        <f>IF(AT31="","",IF(AT32="W",0,IF(AT31=2,1,IF(AT31=1,2,IF(AT31=0,2)))))</f>
        <v/>
      </c>
      <c r="AR33" s="1235"/>
      <c r="AS33" s="1236"/>
      <c r="AT33" s="1249"/>
      <c r="AU33" s="1246"/>
      <c r="AV33" s="1247"/>
      <c r="AW33" s="1234" t="str">
        <f>IF('св.прот 1ф'!H76="","",IF(AW34="L",0,IF(AW34&gt;AY34,2,1)))</f>
        <v/>
      </c>
      <c r="AX33" s="1235"/>
      <c r="AY33" s="1236"/>
      <c r="AZ33" s="1242" t="str">
        <f t="shared" ref="AZ33" si="13">IF(B33="","",SUM(G33,J33,M33,P33,S33,V33,Y33,AB33,AE33,AH33,AK33,AN33,AQ33,AT33,AW33,D33))</f>
        <v/>
      </c>
      <c r="BA33" s="1243"/>
      <c r="BB33" s="1220"/>
      <c r="BC33" s="1222" t="str">
        <f>IF(B33="","",RANK(AZ33,Ф1Оч))</f>
        <v/>
      </c>
    </row>
    <row r="34" spans="1:55" ht="15.75" customHeight="1" x14ac:dyDescent="0.25">
      <c r="A34" s="1251"/>
      <c r="B34" s="1238"/>
      <c r="C34" s="134" t="str">
        <f>IF(B33="","",VLOOKUP(B33,'Списки участников'!A:H,6,FALSE))</f>
        <v/>
      </c>
      <c r="D34" s="141" t="str">
        <f>IF(AT5="","",AV6)</f>
        <v/>
      </c>
      <c r="E34" s="136" t="str">
        <f>IF(AU6="","",":")</f>
        <v/>
      </c>
      <c r="F34" s="142" t="str">
        <f>IF(AV6="","",AT6)</f>
        <v/>
      </c>
      <c r="G34" s="141" t="str">
        <f>IF(AT7="","",AV8)</f>
        <v/>
      </c>
      <c r="H34" s="136" t="str">
        <f>IF(AU8="","",":")</f>
        <v/>
      </c>
      <c r="I34" s="142" t="str">
        <f>IF(AV8="","",AT8)</f>
        <v/>
      </c>
      <c r="J34" s="141" t="str">
        <f>IF(AT10="","",IF(AV10="l","W",AV10))</f>
        <v/>
      </c>
      <c r="K34" s="136" t="str">
        <f>IF(AU10="","",":")</f>
        <v/>
      </c>
      <c r="L34" s="142" t="str">
        <f>IF(AV10="","",AT10)</f>
        <v/>
      </c>
      <c r="M34" s="141" t="str">
        <f>IF(AT11="","",AV12)</f>
        <v/>
      </c>
      <c r="N34" s="136" t="str">
        <f>IF(AU12="","",":")</f>
        <v/>
      </c>
      <c r="O34" s="142" t="str">
        <f>IF(AV12="","",AT12)</f>
        <v/>
      </c>
      <c r="P34" s="141" t="str">
        <f>IF(AT13="","",AV14)</f>
        <v/>
      </c>
      <c r="Q34" s="136" t="str">
        <f>IF(AU14="","",":")</f>
        <v/>
      </c>
      <c r="R34" s="142" t="str">
        <f>IF(AV14="","",AT14)</f>
        <v/>
      </c>
      <c r="S34" s="141" t="str">
        <f>IF(AT15="","",AV16)</f>
        <v/>
      </c>
      <c r="T34" s="136" t="str">
        <f>IF(AU16="","",":")</f>
        <v/>
      </c>
      <c r="U34" s="142" t="str">
        <f>IF(AV16="","",AT16)</f>
        <v/>
      </c>
      <c r="V34" s="141" t="str">
        <f>IF(AT17="","",AV18)</f>
        <v/>
      </c>
      <c r="W34" s="136" t="str">
        <f>IF(AU18="","",":")</f>
        <v/>
      </c>
      <c r="X34" s="142" t="str">
        <f>IF(AV18="","",AT18)</f>
        <v/>
      </c>
      <c r="Y34" s="141" t="str">
        <f>IF(AT19="","",AV20)</f>
        <v/>
      </c>
      <c r="Z34" s="136" t="str">
        <f>IF(AU20="","",":")</f>
        <v/>
      </c>
      <c r="AA34" s="142" t="str">
        <f>IF(AV20="","",AT20)</f>
        <v/>
      </c>
      <c r="AB34" s="141" t="str">
        <f>IF(AT21="","",AV22)</f>
        <v/>
      </c>
      <c r="AC34" s="136" t="str">
        <f>IF(AU22="","",":")</f>
        <v/>
      </c>
      <c r="AD34" s="142" t="str">
        <f>IF(AV22="","",AT22)</f>
        <v/>
      </c>
      <c r="AE34" s="141" t="str">
        <f>IF(AT23="","",AV24)</f>
        <v/>
      </c>
      <c r="AF34" s="136" t="str">
        <f>IF(AU24="","",":")</f>
        <v/>
      </c>
      <c r="AG34" s="142" t="str">
        <f>IF(AV24="","",AT24)</f>
        <v/>
      </c>
      <c r="AH34" s="141" t="str">
        <f>IF(AT25="","",AV26)</f>
        <v/>
      </c>
      <c r="AI34" s="136" t="str">
        <f>IF(AU26="","",":")</f>
        <v/>
      </c>
      <c r="AJ34" s="142" t="str">
        <f>IF(AV26="","",AT26)</f>
        <v/>
      </c>
      <c r="AK34" s="141" t="str">
        <f>IF(AT27="","",AV28)</f>
        <v/>
      </c>
      <c r="AL34" s="136" t="str">
        <f>IF(AU28="","",":")</f>
        <v/>
      </c>
      <c r="AM34" s="142" t="str">
        <f>IF(AV28="","",AT28)</f>
        <v/>
      </c>
      <c r="AN34" s="141" t="str">
        <f>IF(AT29="","",AV30)</f>
        <v/>
      </c>
      <c r="AO34" s="136" t="str">
        <f>IF(AU30="","",":")</f>
        <v/>
      </c>
      <c r="AP34" s="142" t="str">
        <f>IF(AV30="","",AT30)</f>
        <v/>
      </c>
      <c r="AQ34" s="141" t="str">
        <f>IF(AT31="","",AV32)</f>
        <v/>
      </c>
      <c r="AR34" s="136" t="str">
        <f>IF(AU32="","",":")</f>
        <v/>
      </c>
      <c r="AS34" s="142" t="str">
        <f>IF(AV32="","",AT32)</f>
        <v/>
      </c>
      <c r="AT34" s="1231"/>
      <c r="AU34" s="1232"/>
      <c r="AV34" s="1233"/>
      <c r="AW34" s="135" t="str">
        <f>IF('св.прот 1ф'!H76="","",IF('св.прот 1ф'!D76='св.прот 1ф'!H76,'св.прот 1ф'!O76,'св.прот 1ф'!P76))</f>
        <v/>
      </c>
      <c r="AX34" s="136" t="str">
        <f>IF(AW33="","",":")</f>
        <v/>
      </c>
      <c r="AY34" s="137" t="str">
        <f>IF('св.прот 1ф'!H76="","",IF('св.прот 1ф'!D76='св.прот 1ф'!H76,'св.прот 1ф'!P76,'св.прот 1ф'!O76))</f>
        <v/>
      </c>
      <c r="AZ34" s="1244"/>
      <c r="BA34" s="1245"/>
      <c r="BB34" s="1221"/>
      <c r="BC34" s="1222"/>
    </row>
    <row r="35" spans="1:55" ht="15.75" customHeight="1" x14ac:dyDescent="0.25">
      <c r="A35" s="1250">
        <v>16</v>
      </c>
      <c r="B35" s="1223"/>
      <c r="C35" s="133" t="str">
        <f>IF(B35="","",VLOOKUP(B35,'Списки участников'!A:H,3,FALSE))</f>
        <v/>
      </c>
      <c r="D35" s="1234" t="str">
        <f>IF(AW5="","",IF(AW6="W",0,IF(AW5=2,1,IF(AW5=1,2,IF(AW5=0,2)))))</f>
        <v/>
      </c>
      <c r="E35" s="1235"/>
      <c r="F35" s="1236"/>
      <c r="G35" s="1234" t="str">
        <f>IF(AW7="","",IF(AW8="W",0,IF(AW7=2,1,IF(AW7=1,2,IF(AW7=0,2)))))</f>
        <v/>
      </c>
      <c r="H35" s="1235"/>
      <c r="I35" s="1236"/>
      <c r="J35" s="1234" t="str">
        <f>IF(AW9="","",IF(AW10="W",0,IF(AW9=2,1,IF(AW9=1,2,IF(AW9=0,2)))))</f>
        <v/>
      </c>
      <c r="K35" s="1235"/>
      <c r="L35" s="1236"/>
      <c r="M35" s="1234" t="str">
        <f>IF(AW11="","",IF(AW12="W",0,IF(AW11=2,1,IF(AW11=1,2,IF(AW11=0,2)))))</f>
        <v/>
      </c>
      <c r="N35" s="1235"/>
      <c r="O35" s="1236"/>
      <c r="P35" s="1234" t="str">
        <f>IF(AW13="","",IF(AW14="W",0,IF(AW13=2,1,IF(AW13=1,2,IF(AW13=0,2)))))</f>
        <v/>
      </c>
      <c r="Q35" s="1235"/>
      <c r="R35" s="1236"/>
      <c r="S35" s="1234" t="str">
        <f>IF(AW15="","",IF(AW16="W",0,IF(AW15=2,1,IF(AW15=1,2,IF(AW15=0,2)))))</f>
        <v/>
      </c>
      <c r="T35" s="1235"/>
      <c r="U35" s="1236"/>
      <c r="V35" s="1234" t="str">
        <f>IF(AW17="","",IF(AW18="W",0,IF(AW17=2,1,IF(AW17=1,2,IF(AW17=0,2)))))</f>
        <v/>
      </c>
      <c r="W35" s="1235"/>
      <c r="X35" s="1236"/>
      <c r="Y35" s="1234" t="str">
        <f>IF(AW19="","",IF(AW20="W",0,IF(AW19=2,1,IF(AW19=1,2,IF(AW19=0,2)))))</f>
        <v/>
      </c>
      <c r="Z35" s="1235"/>
      <c r="AA35" s="1236"/>
      <c r="AB35" s="1234" t="str">
        <f>IF(AW21="","",IF(AW22="W",0,IF(AW21=2,1,IF(AW21=1,2,IF(AW21=0,2)))))</f>
        <v/>
      </c>
      <c r="AC35" s="1235"/>
      <c r="AD35" s="1236"/>
      <c r="AE35" s="1234" t="str">
        <f>IF(AW23="","",IF(AW24="W",0,IF(AW23=2,1,IF(AW23=1,2,IF(AW23=0,2)))))</f>
        <v/>
      </c>
      <c r="AF35" s="1235"/>
      <c r="AG35" s="1236"/>
      <c r="AH35" s="1234" t="str">
        <f>IF(AW25="","",IF(AW26="W",0,IF(AW25=2,1,IF(AW25=1,2,IF(AW25=0,2)))))</f>
        <v/>
      </c>
      <c r="AI35" s="1235"/>
      <c r="AJ35" s="1236"/>
      <c r="AK35" s="1234" t="str">
        <f>IF(AW27="","",IF(AW28="W",0,IF(AW27=2,1,IF(AW27=1,2,IF(AW27=0,2)))))</f>
        <v/>
      </c>
      <c r="AL35" s="1235"/>
      <c r="AM35" s="1236"/>
      <c r="AN35" s="1234" t="str">
        <f>IF(AW29="","",IF(AW30="W",0,IF(AW29=2,1,IF(AW29=1,2,IF(AW29=0,2)))))</f>
        <v/>
      </c>
      <c r="AO35" s="1235"/>
      <c r="AP35" s="1236"/>
      <c r="AQ35" s="1234" t="str">
        <f>IF(AW31="","",IF(AW32="W",0,IF(AW31=2,1,IF(AW31=1,2,IF(AW31=0,2)))))</f>
        <v/>
      </c>
      <c r="AR35" s="1235"/>
      <c r="AS35" s="1236"/>
      <c r="AT35" s="1234" t="str">
        <f>IF(AW33="","",IF(AW34="W",0,IF(AW33=2,1,IF(AW33=1,2,IF(AW33=0,2)))))</f>
        <v/>
      </c>
      <c r="AU35" s="1235"/>
      <c r="AV35" s="1236"/>
      <c r="AW35" s="1228"/>
      <c r="AX35" s="1229"/>
      <c r="AY35" s="1230"/>
      <c r="AZ35" s="1242" t="str">
        <f t="shared" ref="AZ35" si="14">IF(B35="","",SUM(G35,J35,M35,P35,S35,V35,Y35,AB35,AE35,AH35,AK35,AN35,AQ35,AT35,AW35,D35))</f>
        <v/>
      </c>
      <c r="BA35" s="1243"/>
      <c r="BB35" s="1220"/>
      <c r="BC35" s="1222" t="str">
        <f>IF(B35="","",RANK(AZ35,Ф1Оч))</f>
        <v/>
      </c>
    </row>
    <row r="36" spans="1:55" ht="15.75" customHeight="1" x14ac:dyDescent="0.25">
      <c r="A36" s="1251"/>
      <c r="B36" s="1224"/>
      <c r="C36" s="134" t="str">
        <f>IF(B35="","",VLOOKUP(B35,'Списки участников'!A:H,6,FALSE))</f>
        <v/>
      </c>
      <c r="D36" s="141" t="str">
        <f>IF(AW5="","",AY6)</f>
        <v/>
      </c>
      <c r="E36" s="136" t="str">
        <f>IF(AX6="","",":")</f>
        <v/>
      </c>
      <c r="F36" s="142" t="str">
        <f>IF(AY6="","",AW6)</f>
        <v/>
      </c>
      <c r="G36" s="141" t="str">
        <f>IF(AW7="","",AY8)</f>
        <v/>
      </c>
      <c r="H36" s="136" t="str">
        <f>IF(AX8="","",":")</f>
        <v/>
      </c>
      <c r="I36" s="142" t="str">
        <f>IF(AY8="","",AW8)</f>
        <v/>
      </c>
      <c r="J36" s="141" t="str">
        <f>IF(AW10="","",IF(AY10="l","W",AY10))</f>
        <v/>
      </c>
      <c r="K36" s="136" t="str">
        <f>IF(AX10="","",":")</f>
        <v/>
      </c>
      <c r="L36" s="142" t="str">
        <f>IF(AY10="","",AW10)</f>
        <v/>
      </c>
      <c r="M36" s="141" t="str">
        <f>IF(AW11="","",AY12)</f>
        <v/>
      </c>
      <c r="N36" s="136" t="str">
        <f>IF(AX12="","",":")</f>
        <v/>
      </c>
      <c r="O36" s="142" t="str">
        <f>IF(AY12="","",AW12)</f>
        <v/>
      </c>
      <c r="P36" s="141" t="str">
        <f>IF(AW13="","",AY14)</f>
        <v/>
      </c>
      <c r="Q36" s="136" t="str">
        <f>IF(AX14="","",":")</f>
        <v/>
      </c>
      <c r="R36" s="142" t="str">
        <f>IF(AY14="","",AW14)</f>
        <v/>
      </c>
      <c r="S36" s="141" t="str">
        <f>IF(AW15="","",AY16)</f>
        <v/>
      </c>
      <c r="T36" s="136" t="str">
        <f>IF(AX16="","",":")</f>
        <v/>
      </c>
      <c r="U36" s="142" t="str">
        <f>IF(AY16="","",AW16)</f>
        <v/>
      </c>
      <c r="V36" s="141" t="str">
        <f>IF(AW17="","",AY18)</f>
        <v/>
      </c>
      <c r="W36" s="136" t="str">
        <f>IF(AX18="","",":")</f>
        <v/>
      </c>
      <c r="X36" s="142" t="str">
        <f>IF(AY18="","",AW18)</f>
        <v/>
      </c>
      <c r="Y36" s="141" t="str">
        <f>IF(AW19="","",AY20)</f>
        <v/>
      </c>
      <c r="Z36" s="136" t="str">
        <f>IF(AX20="","",":")</f>
        <v/>
      </c>
      <c r="AA36" s="142" t="str">
        <f>IF(AY20="","",AW20)</f>
        <v/>
      </c>
      <c r="AB36" s="141" t="str">
        <f>IF(AW21="","",AY22)</f>
        <v/>
      </c>
      <c r="AC36" s="136" t="str">
        <f>IF(AX22="","",":")</f>
        <v/>
      </c>
      <c r="AD36" s="142" t="str">
        <f>IF(AY22="","",AW22)</f>
        <v/>
      </c>
      <c r="AE36" s="141" t="str">
        <f>IF(AW23="","",AY24)</f>
        <v/>
      </c>
      <c r="AF36" s="136" t="str">
        <f>IF(AX24="","",":")</f>
        <v/>
      </c>
      <c r="AG36" s="142" t="str">
        <f>IF(AY24="","",AW24)</f>
        <v/>
      </c>
      <c r="AH36" s="141" t="str">
        <f>IF(AW25="","",AY26)</f>
        <v/>
      </c>
      <c r="AI36" s="136" t="str">
        <f>IF(AX26="","",":")</f>
        <v/>
      </c>
      <c r="AJ36" s="142" t="str">
        <f>IF(AY26="","",AW26)</f>
        <v/>
      </c>
      <c r="AK36" s="141" t="str">
        <f>IF(AW27="","",AY28)</f>
        <v/>
      </c>
      <c r="AL36" s="136" t="str">
        <f>IF(AX28="","",":")</f>
        <v/>
      </c>
      <c r="AM36" s="142" t="str">
        <f>IF(AY28="","",AW28)</f>
        <v/>
      </c>
      <c r="AN36" s="141" t="str">
        <f>IF(AW29="","",AY30)</f>
        <v/>
      </c>
      <c r="AO36" s="136" t="str">
        <f>IF(AX30="","",":")</f>
        <v/>
      </c>
      <c r="AP36" s="142" t="str">
        <f>IF(AY30="","",AW30)</f>
        <v/>
      </c>
      <c r="AQ36" s="141" t="str">
        <f>IF(AW31="","",AY32)</f>
        <v/>
      </c>
      <c r="AR36" s="136" t="str">
        <f>IF(AX32="","",":")</f>
        <v/>
      </c>
      <c r="AS36" s="142" t="str">
        <f>IF(AY32="","",AW32)</f>
        <v/>
      </c>
      <c r="AT36" s="141" t="str">
        <f>IF(AW33="","",AY34)</f>
        <v/>
      </c>
      <c r="AU36" s="136" t="str">
        <f>IF(AX34="","",":")</f>
        <v/>
      </c>
      <c r="AV36" s="142" t="str">
        <f>IF(AY34="","",AW34)</f>
        <v/>
      </c>
      <c r="AW36" s="1231"/>
      <c r="AX36" s="1232"/>
      <c r="AY36" s="1233"/>
      <c r="AZ36" s="1244"/>
      <c r="BA36" s="1245"/>
      <c r="BB36" s="1221"/>
      <c r="BC36" s="1222"/>
    </row>
    <row r="38" spans="1:55" ht="18.75" x14ac:dyDescent="0.3">
      <c r="C38" s="143" t="s">
        <v>760</v>
      </c>
      <c r="D38" s="143"/>
      <c r="E38" s="1252" t="str">
        <f>'Списки участников'!H47</f>
        <v>Винокуров А.К</v>
      </c>
      <c r="F38" s="1252"/>
      <c r="G38" s="1252"/>
      <c r="H38" s="1252"/>
      <c r="I38" s="1252"/>
      <c r="J38" s="1252"/>
      <c r="K38" s="1252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253" t="s">
        <v>761</v>
      </c>
      <c r="X38" s="1253"/>
      <c r="Y38" s="1253"/>
      <c r="Z38" s="1253"/>
      <c r="AA38" s="1253"/>
      <c r="AB38" s="1253"/>
      <c r="AC38" s="1253"/>
      <c r="AD38" s="1253"/>
      <c r="AE38" s="1253"/>
      <c r="AF38" s="1253"/>
      <c r="AG38" s="1253"/>
      <c r="AH38" s="1253"/>
      <c r="AI38" s="143"/>
      <c r="AJ38" s="143"/>
      <c r="AK38" s="143"/>
      <c r="AL38" s="1253" t="str">
        <f>'Списки участников'!H48</f>
        <v>Брусин С.Б., Кашулина А.И.</v>
      </c>
      <c r="AM38" s="1253"/>
      <c r="AN38" s="1253"/>
      <c r="AO38" s="1253"/>
      <c r="AP38" s="1253"/>
      <c r="AQ38" s="1253"/>
      <c r="AR38" s="1253"/>
      <c r="AS38" s="1253"/>
      <c r="AT38" s="1253"/>
      <c r="AU38" s="1253"/>
      <c r="AV38" s="1253"/>
      <c r="AW38" s="1253"/>
      <c r="AX38" s="1253"/>
      <c r="AY38" s="1253"/>
      <c r="AZ38" s="1253"/>
      <c r="BA38" s="1253"/>
      <c r="BB38" s="1253"/>
      <c r="BC38" s="143"/>
    </row>
  </sheetData>
  <mergeCells count="362">
    <mergeCell ref="A1:BA1"/>
    <mergeCell ref="B29:B30"/>
    <mergeCell ref="B31:B32"/>
    <mergeCell ref="B33:B34"/>
    <mergeCell ref="B35:B36"/>
    <mergeCell ref="AZ33:BA34"/>
    <mergeCell ref="AK33:AM33"/>
    <mergeCell ref="AN33:AP33"/>
    <mergeCell ref="AQ33:AS33"/>
    <mergeCell ref="AQ31:AS32"/>
    <mergeCell ref="AT31:AV31"/>
    <mergeCell ref="AW31:AY31"/>
    <mergeCell ref="AZ31:BA32"/>
    <mergeCell ref="A31:A32"/>
    <mergeCell ref="D31:F31"/>
    <mergeCell ref="G31:I31"/>
    <mergeCell ref="J31:L31"/>
    <mergeCell ref="M31:O31"/>
    <mergeCell ref="P31:R31"/>
    <mergeCell ref="S31:U31"/>
    <mergeCell ref="V31:X31"/>
    <mergeCell ref="S29:U29"/>
    <mergeCell ref="V29:X29"/>
    <mergeCell ref="A35:A36"/>
    <mergeCell ref="BB33:BB34"/>
    <mergeCell ref="BC33:BC34"/>
    <mergeCell ref="BB35:BB36"/>
    <mergeCell ref="BB31:BB32"/>
    <mergeCell ref="BC31:BC32"/>
    <mergeCell ref="Y31:AA31"/>
    <mergeCell ref="AB31:AD31"/>
    <mergeCell ref="AE31:AG31"/>
    <mergeCell ref="BE10:BL10"/>
    <mergeCell ref="BC35:BC36"/>
    <mergeCell ref="AZ35:BA36"/>
    <mergeCell ref="AQ35:AS35"/>
    <mergeCell ref="AK35:AM35"/>
    <mergeCell ref="AN35:AP35"/>
    <mergeCell ref="AH33:AJ33"/>
    <mergeCell ref="AW33:AY33"/>
    <mergeCell ref="AT33:AV34"/>
    <mergeCell ref="BC27:BC28"/>
    <mergeCell ref="Y27:AA27"/>
    <mergeCell ref="AB27:AD27"/>
    <mergeCell ref="AE27:AG27"/>
    <mergeCell ref="AH27:AJ27"/>
    <mergeCell ref="AK27:AM28"/>
    <mergeCell ref="AN27:AP27"/>
    <mergeCell ref="E38:K38"/>
    <mergeCell ref="W38:AH38"/>
    <mergeCell ref="AL38:BB38"/>
    <mergeCell ref="AB35:AD35"/>
    <mergeCell ref="AE35:AG35"/>
    <mergeCell ref="AH35:AJ35"/>
    <mergeCell ref="AT35:AV35"/>
    <mergeCell ref="AW35:AY36"/>
    <mergeCell ref="V35:X35"/>
    <mergeCell ref="Y35:AA35"/>
    <mergeCell ref="D35:F35"/>
    <mergeCell ref="G35:I35"/>
    <mergeCell ref="J35:L35"/>
    <mergeCell ref="M35:O35"/>
    <mergeCell ref="P35:R35"/>
    <mergeCell ref="S35:U35"/>
    <mergeCell ref="P33:R33"/>
    <mergeCell ref="S33:U33"/>
    <mergeCell ref="V33:X33"/>
    <mergeCell ref="Y33:AA33"/>
    <mergeCell ref="AB33:AD33"/>
    <mergeCell ref="AE33:AG33"/>
    <mergeCell ref="A33:A34"/>
    <mergeCell ref="D33:F33"/>
    <mergeCell ref="G33:I33"/>
    <mergeCell ref="J33:L33"/>
    <mergeCell ref="M33:O33"/>
    <mergeCell ref="AH31:AJ31"/>
    <mergeCell ref="AK31:AM31"/>
    <mergeCell ref="AN31:AP31"/>
    <mergeCell ref="BB29:BB30"/>
    <mergeCell ref="BC29:BC30"/>
    <mergeCell ref="AK29:AM29"/>
    <mergeCell ref="AN29:AP30"/>
    <mergeCell ref="AQ29:AS29"/>
    <mergeCell ref="AT29:AV29"/>
    <mergeCell ref="AW29:AY29"/>
    <mergeCell ref="AZ29:BA30"/>
    <mergeCell ref="A29:A30"/>
    <mergeCell ref="D29:F29"/>
    <mergeCell ref="G29:I29"/>
    <mergeCell ref="J29:L29"/>
    <mergeCell ref="M29:O29"/>
    <mergeCell ref="P29:R29"/>
    <mergeCell ref="AQ27:AS27"/>
    <mergeCell ref="AT27:AV27"/>
    <mergeCell ref="AW27:AY27"/>
    <mergeCell ref="Y29:AA29"/>
    <mergeCell ref="AB29:AD29"/>
    <mergeCell ref="AE29:AG29"/>
    <mergeCell ref="AH29:AJ29"/>
    <mergeCell ref="BC25:BC26"/>
    <mergeCell ref="A27:A28"/>
    <mergeCell ref="B27:B28"/>
    <mergeCell ref="D27:F27"/>
    <mergeCell ref="G27:I27"/>
    <mergeCell ref="J27:L27"/>
    <mergeCell ref="M27:O27"/>
    <mergeCell ref="P27:R27"/>
    <mergeCell ref="S27:U27"/>
    <mergeCell ref="V27:X27"/>
    <mergeCell ref="AN25:AP25"/>
    <mergeCell ref="AQ25:AS25"/>
    <mergeCell ref="AT25:AV25"/>
    <mergeCell ref="AW25:AY25"/>
    <mergeCell ref="AZ25:BA26"/>
    <mergeCell ref="BB25:BB26"/>
    <mergeCell ref="V25:X25"/>
    <mergeCell ref="Y25:AA25"/>
    <mergeCell ref="AB25:AD25"/>
    <mergeCell ref="AE25:AG25"/>
    <mergeCell ref="AH25:AJ26"/>
    <mergeCell ref="AK25:AM25"/>
    <mergeCell ref="AZ27:BA28"/>
    <mergeCell ref="BB27:BB28"/>
    <mergeCell ref="AQ23:AS23"/>
    <mergeCell ref="AT23:AV23"/>
    <mergeCell ref="AW23:AY23"/>
    <mergeCell ref="AZ23:BA24"/>
    <mergeCell ref="S23:U23"/>
    <mergeCell ref="V23:X23"/>
    <mergeCell ref="Y23:AA23"/>
    <mergeCell ref="AB23:AD23"/>
    <mergeCell ref="AE23:AG24"/>
    <mergeCell ref="AH23:AJ23"/>
    <mergeCell ref="AN23:AP23"/>
    <mergeCell ref="A25:A26"/>
    <mergeCell ref="B25:B26"/>
    <mergeCell ref="D25:F25"/>
    <mergeCell ref="G25:I25"/>
    <mergeCell ref="J25:L25"/>
    <mergeCell ref="M25:O25"/>
    <mergeCell ref="P25:R25"/>
    <mergeCell ref="S25:U25"/>
    <mergeCell ref="AK23:AM23"/>
    <mergeCell ref="BC21:BC22"/>
    <mergeCell ref="A23:A24"/>
    <mergeCell ref="B23:B24"/>
    <mergeCell ref="D23:F23"/>
    <mergeCell ref="G23:I23"/>
    <mergeCell ref="J23:L23"/>
    <mergeCell ref="M23:O23"/>
    <mergeCell ref="P23:R23"/>
    <mergeCell ref="AH21:AJ21"/>
    <mergeCell ref="AK21:AM21"/>
    <mergeCell ref="AN21:AP21"/>
    <mergeCell ref="AQ21:AS21"/>
    <mergeCell ref="AT21:AV21"/>
    <mergeCell ref="AW21:AY21"/>
    <mergeCell ref="P21:R21"/>
    <mergeCell ref="S21:U21"/>
    <mergeCell ref="V21:X21"/>
    <mergeCell ref="Y21:AA21"/>
    <mergeCell ref="AB21:AD22"/>
    <mergeCell ref="AE21:AG21"/>
    <mergeCell ref="A21:A22"/>
    <mergeCell ref="B21:B22"/>
    <mergeCell ref="BB23:BB24"/>
    <mergeCell ref="BC23:BC24"/>
    <mergeCell ref="D21:F21"/>
    <mergeCell ref="G21:I21"/>
    <mergeCell ref="J21:L21"/>
    <mergeCell ref="M21:O21"/>
    <mergeCell ref="AQ19:AS19"/>
    <mergeCell ref="AT19:AV19"/>
    <mergeCell ref="AW19:AY19"/>
    <mergeCell ref="AZ19:BA20"/>
    <mergeCell ref="BB19:BB20"/>
    <mergeCell ref="AZ21:BA22"/>
    <mergeCell ref="BB21:BB22"/>
    <mergeCell ref="BC19:BC20"/>
    <mergeCell ref="Y19:AA20"/>
    <mergeCell ref="AB19:AD19"/>
    <mergeCell ref="AE19:AG19"/>
    <mergeCell ref="AH19:AJ19"/>
    <mergeCell ref="AK19:AM19"/>
    <mergeCell ref="AN19:AP19"/>
    <mergeCell ref="BC17:BC18"/>
    <mergeCell ref="A19:A20"/>
    <mergeCell ref="B19:B20"/>
    <mergeCell ref="D19:F19"/>
    <mergeCell ref="G19:I19"/>
    <mergeCell ref="J19:L19"/>
    <mergeCell ref="M19:O19"/>
    <mergeCell ref="P19:R19"/>
    <mergeCell ref="S19:U19"/>
    <mergeCell ref="V19:X19"/>
    <mergeCell ref="AN17:AP17"/>
    <mergeCell ref="AQ17:AS17"/>
    <mergeCell ref="AT17:AV17"/>
    <mergeCell ref="AW17:AY17"/>
    <mergeCell ref="AZ17:BA18"/>
    <mergeCell ref="BB17:BB18"/>
    <mergeCell ref="V17:X18"/>
    <mergeCell ref="Y17:AA17"/>
    <mergeCell ref="AB17:AD17"/>
    <mergeCell ref="AE17:AG17"/>
    <mergeCell ref="AH17:AJ17"/>
    <mergeCell ref="AK17:AM17"/>
    <mergeCell ref="BB15:BB16"/>
    <mergeCell ref="BC15:BC16"/>
    <mergeCell ref="A17:A18"/>
    <mergeCell ref="B17:B18"/>
    <mergeCell ref="D17:F17"/>
    <mergeCell ref="G17:I17"/>
    <mergeCell ref="J17:L17"/>
    <mergeCell ref="M17:O17"/>
    <mergeCell ref="P17:R17"/>
    <mergeCell ref="S17:U17"/>
    <mergeCell ref="AK15:AM15"/>
    <mergeCell ref="AN15:AP15"/>
    <mergeCell ref="AQ15:AS15"/>
    <mergeCell ref="AT15:AV15"/>
    <mergeCell ref="AW15:AY15"/>
    <mergeCell ref="AZ15:BA16"/>
    <mergeCell ref="S15:U16"/>
    <mergeCell ref="V15:X15"/>
    <mergeCell ref="Y15:AA15"/>
    <mergeCell ref="AB15:AD15"/>
    <mergeCell ref="AE15:AG15"/>
    <mergeCell ref="AH15:AJ15"/>
    <mergeCell ref="A15:A16"/>
    <mergeCell ref="B15:B16"/>
    <mergeCell ref="D15:F15"/>
    <mergeCell ref="G15:I15"/>
    <mergeCell ref="J15:L15"/>
    <mergeCell ref="M15:O15"/>
    <mergeCell ref="P15:R15"/>
    <mergeCell ref="AE13:AG13"/>
    <mergeCell ref="AZ13:BA14"/>
    <mergeCell ref="BB13:BB14"/>
    <mergeCell ref="BC13:BC14"/>
    <mergeCell ref="AW13:AY13"/>
    <mergeCell ref="A13:A14"/>
    <mergeCell ref="B13:B14"/>
    <mergeCell ref="D13:F13"/>
    <mergeCell ref="G13:I13"/>
    <mergeCell ref="J13:L13"/>
    <mergeCell ref="M13:O13"/>
    <mergeCell ref="AH13:AJ13"/>
    <mergeCell ref="AK13:AM13"/>
    <mergeCell ref="AN13:AP13"/>
    <mergeCell ref="AQ13:AS13"/>
    <mergeCell ref="AT13:AV13"/>
    <mergeCell ref="P13:R14"/>
    <mergeCell ref="S13:U13"/>
    <mergeCell ref="V13:X13"/>
    <mergeCell ref="Y13:AA13"/>
    <mergeCell ref="AB13:AD13"/>
    <mergeCell ref="AW11:AY11"/>
    <mergeCell ref="AZ11:BA12"/>
    <mergeCell ref="BB11:BB12"/>
    <mergeCell ref="BC11:BC12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H7:AJ7"/>
    <mergeCell ref="AK7:AM7"/>
    <mergeCell ref="BC9:BC10"/>
    <mergeCell ref="A11:A12"/>
    <mergeCell ref="B11:B12"/>
    <mergeCell ref="D11:F11"/>
    <mergeCell ref="G11:I11"/>
    <mergeCell ref="J11:L11"/>
    <mergeCell ref="M11:O12"/>
    <mergeCell ref="P11:R11"/>
    <mergeCell ref="S11:U11"/>
    <mergeCell ref="V11:X11"/>
    <mergeCell ref="AN9:AP9"/>
    <mergeCell ref="AQ9:AS9"/>
    <mergeCell ref="AT9:AV9"/>
    <mergeCell ref="AW9:AY9"/>
    <mergeCell ref="AZ9:BA10"/>
    <mergeCell ref="BB9:BB10"/>
    <mergeCell ref="V9:X9"/>
    <mergeCell ref="Y9:AA9"/>
    <mergeCell ref="AB9:AD9"/>
    <mergeCell ref="AE9:AG9"/>
    <mergeCell ref="AH9:AJ9"/>
    <mergeCell ref="AK9:AM9"/>
    <mergeCell ref="A9:A10"/>
    <mergeCell ref="B9:B10"/>
    <mergeCell ref="D9:F9"/>
    <mergeCell ref="G9:I9"/>
    <mergeCell ref="J9:L10"/>
    <mergeCell ref="M9:O9"/>
    <mergeCell ref="P9:R9"/>
    <mergeCell ref="S9:U9"/>
    <mergeCell ref="AZ5:BA6"/>
    <mergeCell ref="B5:B6"/>
    <mergeCell ref="D5:F6"/>
    <mergeCell ref="G5:I5"/>
    <mergeCell ref="J5:L5"/>
    <mergeCell ref="M5:O5"/>
    <mergeCell ref="AN7:AP7"/>
    <mergeCell ref="AQ7:AS7"/>
    <mergeCell ref="AT7:AV7"/>
    <mergeCell ref="AW7:AY7"/>
    <mergeCell ref="AZ7:BA8"/>
    <mergeCell ref="S7:U7"/>
    <mergeCell ref="V7:X7"/>
    <mergeCell ref="Y7:AA7"/>
    <mergeCell ref="AB7:AD7"/>
    <mergeCell ref="AE7:AG7"/>
    <mergeCell ref="BB5:BB6"/>
    <mergeCell ref="BC5:BC6"/>
    <mergeCell ref="A7:A8"/>
    <mergeCell ref="B7:B8"/>
    <mergeCell ref="D7:F7"/>
    <mergeCell ref="G7:I8"/>
    <mergeCell ref="J7:L7"/>
    <mergeCell ref="M7:O7"/>
    <mergeCell ref="P7:R7"/>
    <mergeCell ref="AH5:AJ5"/>
    <mergeCell ref="AK5:AM5"/>
    <mergeCell ref="AN5:AP5"/>
    <mergeCell ref="AQ5:AS5"/>
    <mergeCell ref="AT5:AV5"/>
    <mergeCell ref="AW5:AY5"/>
    <mergeCell ref="P5:R5"/>
    <mergeCell ref="S5:U5"/>
    <mergeCell ref="V5:X5"/>
    <mergeCell ref="Y5:AA5"/>
    <mergeCell ref="AB5:AD5"/>
    <mergeCell ref="AE5:AG5"/>
    <mergeCell ref="BB7:BB8"/>
    <mergeCell ref="BC7:BC8"/>
    <mergeCell ref="A5:A6"/>
    <mergeCell ref="Y4:AA4"/>
    <mergeCell ref="AB4:AD4"/>
    <mergeCell ref="AE4:AG4"/>
    <mergeCell ref="D3:O3"/>
    <mergeCell ref="C2:F2"/>
    <mergeCell ref="AK2:BB2"/>
    <mergeCell ref="D4:F4"/>
    <mergeCell ref="G4:I4"/>
    <mergeCell ref="J4:L4"/>
    <mergeCell ref="M4:O4"/>
    <mergeCell ref="P4:R4"/>
    <mergeCell ref="S4:U4"/>
    <mergeCell ref="V4:X4"/>
    <mergeCell ref="AQ4:AS4"/>
    <mergeCell ref="AT4:AV4"/>
    <mergeCell ref="AW4:AY4"/>
    <mergeCell ref="AZ4:BA4"/>
    <mergeCell ref="AH4:AJ4"/>
    <mergeCell ref="AK4:AM4"/>
    <mergeCell ref="AN4:AP4"/>
    <mergeCell ref="I2:AH2"/>
  </mergeCells>
  <conditionalFormatting sqref="BC5:BC36">
    <cfRule type="duplicateValues" dxfId="18" priority="1"/>
    <cfRule type="duplicateValues" dxfId="17" priority="2"/>
    <cfRule type="duplicateValues" dxfId="16" priority="3"/>
  </conditionalFormatting>
  <pageMargins left="0.51181102362204722" right="0.51181102362204722" top="0.74803149606299213" bottom="0.74803149606299213" header="0.31496062992125984" footer="0.31496062992125984"/>
  <pageSetup paperSize="9" scale="79" orientation="landscape" r:id="rId1"/>
  <colBreaks count="1" manualBreakCount="1">
    <brk id="55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T38"/>
  <sheetViews>
    <sheetView view="pageBreakPreview" zoomScale="90" zoomScaleNormal="80" zoomScaleSheetLayoutView="90" workbookViewId="0">
      <selection activeCell="AZ5" sqref="AZ5:BA6"/>
    </sheetView>
  </sheetViews>
  <sheetFormatPr defaultRowHeight="15" outlineLevelCol="1" x14ac:dyDescent="0.25"/>
  <cols>
    <col min="1" max="1" width="4.83203125" style="128" customWidth="1"/>
    <col min="2" max="2" width="4.83203125" style="128" hidden="1" customWidth="1" outlineLevel="1"/>
    <col min="3" max="3" width="29.6640625" style="128" customWidth="1" collapsed="1"/>
    <col min="4" max="51" width="2.6640625" style="128" customWidth="1"/>
    <col min="52" max="52" width="5.33203125" style="128" customWidth="1"/>
    <col min="53" max="53" width="4.6640625" style="128" customWidth="1"/>
    <col min="54" max="54" width="9.1640625" style="128" customWidth="1"/>
    <col min="55" max="55" width="8.33203125" style="128" customWidth="1"/>
    <col min="56" max="56" width="8.1640625" style="128" customWidth="1"/>
    <col min="57" max="16384" width="9.33203125" style="128"/>
  </cols>
  <sheetData>
    <row r="1" spans="1:98" ht="18.75" x14ac:dyDescent="0.25">
      <c r="A1" s="1218" t="str">
        <f>'Списки участников'!A1</f>
        <v xml:space="preserve">X Спартакиада
среди предприятий Нижегородской области ФСК "Профсоюзов",
под девизом "Будь спортивным - будь успешным!"
</v>
      </c>
      <c r="B1" s="1256"/>
      <c r="C1" s="1256"/>
      <c r="D1" s="1256"/>
      <c r="E1" s="1256"/>
      <c r="F1" s="1256"/>
      <c r="G1" s="1256"/>
      <c r="H1" s="1256"/>
      <c r="I1" s="1256"/>
      <c r="J1" s="1256"/>
      <c r="K1" s="1256"/>
      <c r="L1" s="1256"/>
      <c r="M1" s="1256"/>
      <c r="N1" s="1256"/>
      <c r="O1" s="1256"/>
      <c r="P1" s="1256"/>
      <c r="Q1" s="1256"/>
      <c r="R1" s="1256"/>
      <c r="S1" s="1256"/>
      <c r="T1" s="1256"/>
      <c r="U1" s="1256"/>
      <c r="V1" s="1256"/>
      <c r="W1" s="1256"/>
      <c r="X1" s="1256"/>
      <c r="Y1" s="1256"/>
      <c r="Z1" s="1256"/>
      <c r="AA1" s="1256"/>
      <c r="AB1" s="1256"/>
      <c r="AC1" s="1256"/>
      <c r="AD1" s="1256"/>
      <c r="AE1" s="1256"/>
      <c r="AF1" s="1256"/>
      <c r="AG1" s="1256"/>
      <c r="AH1" s="1256"/>
      <c r="AI1" s="1256"/>
      <c r="AJ1" s="1256"/>
      <c r="AK1" s="1256"/>
      <c r="AL1" s="1256"/>
      <c r="AM1" s="1256"/>
      <c r="AN1" s="1256"/>
      <c r="AO1" s="1256"/>
      <c r="AP1" s="1256"/>
      <c r="AQ1" s="1256"/>
      <c r="AR1" s="1256"/>
      <c r="AS1" s="1256"/>
      <c r="AT1" s="1256"/>
      <c r="AU1" s="1256"/>
      <c r="AV1" s="1256"/>
      <c r="AW1" s="1256"/>
      <c r="AX1" s="1256"/>
      <c r="AY1" s="1256"/>
      <c r="AZ1" s="1256"/>
      <c r="BA1" s="1256"/>
    </row>
    <row r="2" spans="1:98" ht="18.75" x14ac:dyDescent="0.25">
      <c r="C2" s="1216" t="str">
        <f>'Списки участников'!C3</f>
        <v>22 октября 2016 г.</v>
      </c>
      <c r="D2" s="1216"/>
      <c r="E2" s="1216"/>
      <c r="F2" s="1216"/>
      <c r="G2" s="917"/>
      <c r="H2" s="917"/>
      <c r="I2" s="1218" t="str">
        <f>'Списки участников'!A2</f>
        <v>Соревнования по настольному теннису</v>
      </c>
      <c r="J2" s="1219"/>
      <c r="K2" s="1219"/>
      <c r="L2" s="1219"/>
      <c r="M2" s="1219"/>
      <c r="N2" s="1219"/>
      <c r="O2" s="1219"/>
      <c r="P2" s="1219"/>
      <c r="Q2" s="1219"/>
      <c r="R2" s="1219"/>
      <c r="S2" s="1219"/>
      <c r="T2" s="1219"/>
      <c r="U2" s="1219"/>
      <c r="V2" s="1219"/>
      <c r="W2" s="1219"/>
      <c r="X2" s="1219"/>
      <c r="Y2" s="1219"/>
      <c r="Z2" s="1219"/>
      <c r="AA2" s="1219"/>
      <c r="AB2" s="1219"/>
      <c r="AC2" s="1219"/>
      <c r="AD2" s="1219"/>
      <c r="AE2" s="1219"/>
      <c r="AF2" s="1219"/>
      <c r="AG2" s="1219"/>
      <c r="AH2" s="1219"/>
      <c r="AI2" s="917"/>
      <c r="AJ2" s="917"/>
      <c r="AK2" s="1217">
        <f>'Списки участников'!H3</f>
        <v>0</v>
      </c>
      <c r="AL2" s="1217"/>
      <c r="AM2" s="1217"/>
      <c r="AN2" s="1217"/>
      <c r="AO2" s="1217"/>
      <c r="AP2" s="1217"/>
      <c r="AQ2" s="1217"/>
      <c r="AR2" s="1217"/>
      <c r="AS2" s="1217"/>
      <c r="AT2" s="1217"/>
      <c r="AU2" s="1217"/>
      <c r="AV2" s="1217"/>
      <c r="AW2" s="1217"/>
      <c r="AX2" s="1217"/>
      <c r="AY2" s="1217"/>
      <c r="AZ2" s="1217"/>
      <c r="BA2" s="1217"/>
      <c r="BB2" s="1217"/>
    </row>
    <row r="3" spans="1:98" ht="18.75" x14ac:dyDescent="0.3">
      <c r="C3" s="919" t="s">
        <v>1044</v>
      </c>
      <c r="D3" s="1214">
        <f>'Списки участников'!D6</f>
        <v>0</v>
      </c>
      <c r="E3" s="1215"/>
      <c r="F3" s="1215"/>
      <c r="G3" s="1215"/>
      <c r="H3" s="1215"/>
      <c r="I3" s="1215"/>
      <c r="J3" s="1215"/>
      <c r="K3" s="1215"/>
      <c r="L3" s="1215"/>
      <c r="M3" s="1215"/>
      <c r="N3" s="1215"/>
      <c r="O3" s="1215"/>
    </row>
    <row r="4" spans="1:98" x14ac:dyDescent="0.25">
      <c r="A4" s="129" t="s">
        <v>3</v>
      </c>
      <c r="B4" s="916"/>
      <c r="C4" s="131" t="s">
        <v>757</v>
      </c>
      <c r="D4" s="1211">
        <v>1</v>
      </c>
      <c r="E4" s="1212"/>
      <c r="F4" s="1213"/>
      <c r="G4" s="1211">
        <v>2</v>
      </c>
      <c r="H4" s="1212"/>
      <c r="I4" s="1213"/>
      <c r="J4" s="1211">
        <v>3</v>
      </c>
      <c r="K4" s="1212"/>
      <c r="L4" s="1213"/>
      <c r="M4" s="1211">
        <v>4</v>
      </c>
      <c r="N4" s="1212"/>
      <c r="O4" s="1213"/>
      <c r="P4" s="1211">
        <v>5</v>
      </c>
      <c r="Q4" s="1212"/>
      <c r="R4" s="1213"/>
      <c r="S4" s="1211">
        <v>6</v>
      </c>
      <c r="T4" s="1212"/>
      <c r="U4" s="1213"/>
      <c r="V4" s="1211">
        <v>7</v>
      </c>
      <c r="W4" s="1212"/>
      <c r="X4" s="1213"/>
      <c r="Y4" s="1211">
        <v>8</v>
      </c>
      <c r="Z4" s="1212"/>
      <c r="AA4" s="1213"/>
      <c r="AB4" s="1211">
        <v>9</v>
      </c>
      <c r="AC4" s="1212"/>
      <c r="AD4" s="1213"/>
      <c r="AE4" s="1211">
        <v>10</v>
      </c>
      <c r="AF4" s="1212"/>
      <c r="AG4" s="1213"/>
      <c r="AH4" s="1211">
        <v>11</v>
      </c>
      <c r="AI4" s="1212"/>
      <c r="AJ4" s="1213"/>
      <c r="AK4" s="1211">
        <v>12</v>
      </c>
      <c r="AL4" s="1212"/>
      <c r="AM4" s="1213"/>
      <c r="AN4" s="1211">
        <v>13</v>
      </c>
      <c r="AO4" s="1212"/>
      <c r="AP4" s="1213"/>
      <c r="AQ4" s="1211">
        <v>14</v>
      </c>
      <c r="AR4" s="1212"/>
      <c r="AS4" s="1213"/>
      <c r="AT4" s="1211">
        <v>15</v>
      </c>
      <c r="AU4" s="1212"/>
      <c r="AV4" s="1213"/>
      <c r="AW4" s="1211">
        <v>16</v>
      </c>
      <c r="AX4" s="1212"/>
      <c r="AY4" s="1213"/>
      <c r="AZ4" s="1211" t="s">
        <v>758</v>
      </c>
      <c r="BA4" s="1213"/>
      <c r="BB4" s="918" t="s">
        <v>759</v>
      </c>
      <c r="BC4" s="132" t="s">
        <v>100</v>
      </c>
      <c r="BE4" s="903"/>
    </row>
    <row r="5" spans="1:98" ht="15.75" customHeight="1" x14ac:dyDescent="0.25">
      <c r="A5" s="1175">
        <v>1</v>
      </c>
      <c r="B5" s="1237"/>
      <c r="C5" s="133" t="str">
        <f>IF(B5="","",VLOOKUP(B5,'Списки участников'!A:H,3,FALSE))</f>
        <v/>
      </c>
      <c r="D5" s="1246"/>
      <c r="E5" s="1246"/>
      <c r="F5" s="1247"/>
      <c r="G5" s="1234" t="str">
        <f>IF('св.прот 2ф'!H117="","",IF(G6="L",0,IF(G6&gt;I6,2,1)))</f>
        <v/>
      </c>
      <c r="H5" s="1235"/>
      <c r="I5" s="1236"/>
      <c r="J5" s="1234" t="str">
        <f>IF('св.прот 2ф'!H109="","",IF(J6="L",0,IF(J6&gt;L6,2,1)))</f>
        <v/>
      </c>
      <c r="K5" s="1235"/>
      <c r="L5" s="1236"/>
      <c r="M5" s="1234" t="str">
        <f>IF('св.прот 2ф'!H101="","",IF(M6="L",0,IF(M6&gt;O6,2,1)))</f>
        <v/>
      </c>
      <c r="N5" s="1235"/>
      <c r="O5" s="1236"/>
      <c r="P5" s="1234" t="str">
        <f>IF('св.прот 2ф'!H93="","",IF(P6="L",0,IF(P6&gt;R6,2,1)))</f>
        <v/>
      </c>
      <c r="Q5" s="1235"/>
      <c r="R5" s="1236"/>
      <c r="S5" s="1234" t="str">
        <f>IF('св.прот 2ф'!H85="","",IF(S6="L",0,IF(S6&gt;U6,2,1)))</f>
        <v/>
      </c>
      <c r="T5" s="1235"/>
      <c r="U5" s="1236"/>
      <c r="V5" s="1234" t="str">
        <f>IF('св.прот 2ф'!H77="","",IF(V6="L",0,IF(V6&gt;X6,2,1)))</f>
        <v/>
      </c>
      <c r="W5" s="1235"/>
      <c r="X5" s="1236"/>
      <c r="Y5" s="1234" t="str">
        <f>IF('св.прот 2ф'!H69="","",IF(Y6="L",0,IF(Y6&gt;AA6,2,1)))</f>
        <v/>
      </c>
      <c r="Z5" s="1235"/>
      <c r="AA5" s="1236"/>
      <c r="AB5" s="1234" t="str">
        <f>IF('св.прот 2ф'!H61="","",IF(AB6="L",0,IF(AB6&gt;AD6,2,1)))</f>
        <v/>
      </c>
      <c r="AC5" s="1235"/>
      <c r="AD5" s="1236"/>
      <c r="AE5" s="1234" t="str">
        <f>IF('св.прот 2ф'!H53="","",IF(AE6="L",0,IF(AE6&gt;AG6,2,1)))</f>
        <v/>
      </c>
      <c r="AF5" s="1235"/>
      <c r="AG5" s="1236"/>
      <c r="AH5" s="1234" t="str">
        <f>IF('св.прот 2ф'!H45="","",IF(AH6="L",0,IF(AH6&gt;AJ6,2,1)))</f>
        <v/>
      </c>
      <c r="AI5" s="1235"/>
      <c r="AJ5" s="1236"/>
      <c r="AK5" s="1234" t="str">
        <f>IF('св.прот 2ф'!H37="","",IF(AK6="L",0,IF(AK6&gt;AM6,2,1)))</f>
        <v/>
      </c>
      <c r="AL5" s="1235"/>
      <c r="AM5" s="1236"/>
      <c r="AN5" s="1234" t="str">
        <f>IF('св.прот 2ф'!H29="","",IF(AN6="L",0,IF(AN6&gt;AP6,2,1)))</f>
        <v/>
      </c>
      <c r="AO5" s="1235"/>
      <c r="AP5" s="1236"/>
      <c r="AQ5" s="1234" t="str">
        <f>IF('св.прот 2ф'!H21="","",IF(AQ6="L",0,IF(AQ6&gt;AS6,2,1)))</f>
        <v/>
      </c>
      <c r="AR5" s="1235"/>
      <c r="AS5" s="1236"/>
      <c r="AT5" s="1234" t="str">
        <f>IF('св.прот 2ф'!H13="","",IF(AT6="L",0,IF(AT6&gt;AV6,2,1)))</f>
        <v/>
      </c>
      <c r="AU5" s="1235"/>
      <c r="AV5" s="1236"/>
      <c r="AW5" s="1234" t="str">
        <f>IF('св.прот 2ф'!H5="","",IF(AW6="L",0,IF(AW6&gt;AY6,2,1)))</f>
        <v/>
      </c>
      <c r="AX5" s="1235"/>
      <c r="AY5" s="1236"/>
      <c r="AZ5" s="1242" t="str">
        <f>IF(B5="","",SUM(G5,J5,M5,P5,S5,V5,Y5,AB5,AE5,AH5,AK5,AN5,AQ5,AT5,AW5,D5))</f>
        <v/>
      </c>
      <c r="BA5" s="1243"/>
      <c r="BB5" s="1220"/>
      <c r="BC5" s="1222" t="str">
        <f>IF(B5="","",RANK(AZ5,Ф2Оч)+16)</f>
        <v/>
      </c>
      <c r="BD5" s="128" t="str">
        <f>IF('св.прот 2ф'!BE117="","",IF(BD6="L",0,IF(BD6&gt;BF6,2,1)))</f>
        <v/>
      </c>
      <c r="BG5" s="128" t="str">
        <f>IF('св.прот 2ф'!BE109="","",IF(BG6="L",0,IF(BG6&gt;BI6,2,1)))</f>
        <v/>
      </c>
      <c r="BJ5" s="128" t="str">
        <f>IF('св.прот 2ф'!BE101="","",IF(BJ6="L",0,IF(BJ6&gt;BL6,2,1)))</f>
        <v/>
      </c>
      <c r="BM5" s="128" t="str">
        <f>IF('св.прот 2ф'!BE93="","",IF(BM6="L",0,IF(BM6&gt;BO6,2,1)))</f>
        <v/>
      </c>
      <c r="BP5" s="128" t="str">
        <f>IF('св.прот 2ф'!BE85="","",IF(BP6="L",0,IF(BP6&gt;BR6,2,1)))</f>
        <v/>
      </c>
      <c r="BS5" s="128" t="str">
        <f>IF('св.прот 2ф'!BE77="","",IF(BS6="L",0,IF(BS6&gt;BU6,2,1)))</f>
        <v/>
      </c>
      <c r="BV5" s="128" t="str">
        <f>IF('св.прот 2ф'!BE69="","",IF(BV6="L",0,IF(BV6&gt;BX6,2,1)))</f>
        <v/>
      </c>
      <c r="BY5" s="128" t="str">
        <f>IF('св.прот 2ф'!BE61="","",IF(BY6="L",0,IF(BY6&gt;CA6,2,1)))</f>
        <v/>
      </c>
      <c r="CB5" s="128" t="str">
        <f>IF('св.прот 2ф'!BE53="","",IF(CB6="L",0,IF(CB6&gt;CD6,2,1)))</f>
        <v/>
      </c>
      <c r="CE5" s="128" t="str">
        <f>IF('св.прот 2ф'!BE45="","",IF(CE6="L",0,IF(CE6&gt;CG6,2,1)))</f>
        <v/>
      </c>
      <c r="CH5" s="128" t="str">
        <f>IF('св.прот 2ф'!BE37="","",IF(CH6="L",0,IF(CH6&gt;CJ6,2,1)))</f>
        <v/>
      </c>
      <c r="CK5" s="128" t="str">
        <f>IF('св.прот 2ф'!BE29="","",IF(CK6="L",0,IF(CK6&gt;CM6,2,1)))</f>
        <v/>
      </c>
      <c r="CN5" s="128" t="str">
        <f>IF('св.прот 2ф'!BE21="","",IF(CN6="L",0,IF(CN6&gt;CP6,2,1)))</f>
        <v/>
      </c>
      <c r="CQ5" s="128" t="str">
        <f>IF('св.прот 2ф'!BE13="","",IF(CQ6="L",0,IF(CQ6&gt;CS6,2,1)))</f>
        <v/>
      </c>
      <c r="CT5" s="128" t="str">
        <f>IF('св.прот 2ф'!BE5="","",IF(CT6="L",0,IF(CT6&gt;CV6,2,1)))</f>
        <v/>
      </c>
    </row>
    <row r="6" spans="1:98" ht="15.75" customHeight="1" x14ac:dyDescent="0.25">
      <c r="A6" s="1176"/>
      <c r="B6" s="1238"/>
      <c r="C6" s="134" t="str">
        <f>IF(B5="","",VLOOKUP(B5,'Списки участников'!A:H,6,FALSE))</f>
        <v/>
      </c>
      <c r="D6" s="1232"/>
      <c r="E6" s="1232"/>
      <c r="F6" s="1233"/>
      <c r="G6" s="135" t="str">
        <f>IF('св.прот 2ф'!H117="","",IF('св.прот 2ф'!D117='св.прот 2ф'!H117,'св.прот 2ф'!O117,'св.прот 2ф'!P117))</f>
        <v/>
      </c>
      <c r="H6" s="136" t="str">
        <f>IF(G5="","",":")</f>
        <v/>
      </c>
      <c r="I6" s="137" t="str">
        <f>IF('св.прот 2ф'!H117="","",IF('св.прот 2ф'!D117='св.прот 2ф'!H117,'св.прот 2ф'!P117,'св.прот 2ф'!O117))</f>
        <v/>
      </c>
      <c r="J6" s="135" t="str">
        <f>IF('св.прот 2ф'!H109="","",IF('св.прот 2ф'!D109='св.прот 2ф'!H109,'св.прот 2ф'!O109,'св.прот 2ф'!P109))</f>
        <v/>
      </c>
      <c r="K6" s="136" t="str">
        <f>IF(J5="","",":")</f>
        <v/>
      </c>
      <c r="L6" s="137" t="str">
        <f>IF('св.прот 2ф'!H109="","",IF('св.прот 2ф'!D109='св.прот 2ф'!H109,'св.прот 2ф'!P109,'св.прот 2ф'!O109))</f>
        <v/>
      </c>
      <c r="M6" s="135" t="str">
        <f>IF('св.прот 2ф'!H101="","",IF('св.прот 2ф'!D101='св.прот 2ф'!H101,'св.прот 2ф'!O101,'св.прот 2ф'!P101))</f>
        <v/>
      </c>
      <c r="N6" s="136" t="str">
        <f>IF(M5="","",":")</f>
        <v/>
      </c>
      <c r="O6" s="137" t="str">
        <f>IF('св.прот 2ф'!H101="","",IF('св.прот 2ф'!D101='св.прот 2ф'!H101,'св.прот 2ф'!P101,'св.прот 2ф'!O101))</f>
        <v/>
      </c>
      <c r="P6" s="135" t="str">
        <f>IF('св.прот 2ф'!H93="","",IF('св.прот 2ф'!D93='св.прот 2ф'!H93,'св.прот 2ф'!O93,'св.прот 2ф'!P93))</f>
        <v/>
      </c>
      <c r="Q6" s="136" t="str">
        <f>IF(P5="","",":")</f>
        <v/>
      </c>
      <c r="R6" s="137" t="str">
        <f>IF('св.прот 2ф'!H93="","",IF('св.прот 2ф'!D93='св.прот 2ф'!H93,'св.прот 2ф'!P93,'св.прот 2ф'!O93))</f>
        <v/>
      </c>
      <c r="S6" s="135" t="str">
        <f>IF('св.прот 2ф'!H85="","",IF('св.прот 2ф'!D85='св.прот 2ф'!H85,'св.прот 2ф'!O85,'св.прот 2ф'!P85))</f>
        <v/>
      </c>
      <c r="T6" s="136" t="str">
        <f>IF(S5="","",":")</f>
        <v/>
      </c>
      <c r="U6" s="137" t="str">
        <f>IF('св.прот 2ф'!H85="","",IF('св.прот 2ф'!D85='св.прот 2ф'!H85,'св.прот 2ф'!P85,'св.прот 2ф'!O85))</f>
        <v/>
      </c>
      <c r="V6" s="135" t="str">
        <f>IF('св.прот 2ф'!H77="","",IF('св.прот 2ф'!D77='св.прот 2ф'!H77,'св.прот 2ф'!O77,'св.прот 2ф'!P77))</f>
        <v/>
      </c>
      <c r="W6" s="136" t="str">
        <f>IF(V5="","",":")</f>
        <v/>
      </c>
      <c r="X6" s="137" t="str">
        <f>IF('св.прот 2ф'!H77="","",IF('св.прот 2ф'!D77='св.прот 2ф'!H77,'св.прот 2ф'!P77,'св.прот 2ф'!O77))</f>
        <v/>
      </c>
      <c r="Y6" s="135" t="str">
        <f>IF('св.прот 2ф'!H69="","",IF('св.прот 2ф'!D69='св.прот 2ф'!H69,'св.прот 2ф'!O69,'св.прот 2ф'!P69))</f>
        <v/>
      </c>
      <c r="Z6" s="136" t="str">
        <f>IF(Y5="","",":")</f>
        <v/>
      </c>
      <c r="AA6" s="137" t="str">
        <f>IF('св.прот 2ф'!H69="","",IF('св.прот 2ф'!D69='св.прот 2ф'!H69,'св.прот 2ф'!P69,'св.прот 2ф'!O69))</f>
        <v/>
      </c>
      <c r="AB6" s="135" t="str">
        <f>IF('св.прот 2ф'!H61="","",IF('св.прот 2ф'!D61='св.прот 2ф'!H61,'св.прот 2ф'!O61,'св.прот 2ф'!P61))</f>
        <v/>
      </c>
      <c r="AC6" s="136" t="str">
        <f>IF(AB5="","",":")</f>
        <v/>
      </c>
      <c r="AD6" s="137" t="str">
        <f>IF('св.прот 2ф'!H61="","",IF('св.прот 2ф'!D61='св.прот 2ф'!H61,'св.прот 2ф'!P61,'св.прот 2ф'!O61))</f>
        <v/>
      </c>
      <c r="AE6" s="135" t="str">
        <f>IF('св.прот 2ф'!H53="","",IF('св.прот 2ф'!D53='св.прот 2ф'!H53,'св.прот 2ф'!O53,'св.прот 2ф'!P53))</f>
        <v/>
      </c>
      <c r="AF6" s="136" t="str">
        <f>IF(AE5="","",":")</f>
        <v/>
      </c>
      <c r="AG6" s="137" t="str">
        <f>IF('св.прот 2ф'!H53="","",IF('св.прот 2ф'!D53='св.прот 2ф'!H53,'св.прот 2ф'!P53,'св.прот 2ф'!O53))</f>
        <v/>
      </c>
      <c r="AH6" s="135" t="str">
        <f>IF('св.прот 2ф'!H45="","",IF('св.прот 2ф'!D45='св.прот 2ф'!H45,'св.прот 2ф'!O45,'св.прот 2ф'!P45))</f>
        <v/>
      </c>
      <c r="AI6" s="136" t="str">
        <f>IF(AH5="","",":")</f>
        <v/>
      </c>
      <c r="AJ6" s="137" t="str">
        <f>IF('св.прот 2ф'!H45="","",IF('св.прот 2ф'!D45='св.прот 2ф'!H45,'св.прот 2ф'!P45,'св.прот 2ф'!O45))</f>
        <v/>
      </c>
      <c r="AK6" s="135" t="str">
        <f>IF('св.прот 2ф'!H37="","",IF('св.прот 2ф'!D37='св.прот 2ф'!H37,'св.прот 2ф'!O37,'св.прот 2ф'!P37))</f>
        <v/>
      </c>
      <c r="AL6" s="136" t="str">
        <f>IF(AK5="","",":")</f>
        <v/>
      </c>
      <c r="AM6" s="137" t="str">
        <f>IF('св.прот 2ф'!H37="","",IF('св.прот 2ф'!D37='св.прот 2ф'!H37,'св.прот 2ф'!P37,'св.прот 2ф'!O37))</f>
        <v/>
      </c>
      <c r="AN6" s="135" t="str">
        <f>IF('св.прот 2ф'!H29="","",IF('св.прот 2ф'!D29='св.прот 2ф'!H29,'св.прот 2ф'!O29,'св.прот 2ф'!P29))</f>
        <v/>
      </c>
      <c r="AO6" s="136" t="str">
        <f>IF(AN5="","",":")</f>
        <v/>
      </c>
      <c r="AP6" s="137" t="str">
        <f>IF('св.прот 2ф'!H29="","",IF('св.прот 2ф'!D29='св.прот 2ф'!H29,'св.прот 2ф'!P29,'св.прот 2ф'!O29))</f>
        <v/>
      </c>
      <c r="AQ6" s="135" t="str">
        <f>IF('св.прот 2ф'!H21="","",IF('св.прот 2ф'!D21='св.прот 2ф'!H21,'св.прот 2ф'!O21,'св.прот 2ф'!P21))</f>
        <v/>
      </c>
      <c r="AR6" s="136" t="str">
        <f>IF(AQ5="","",":")</f>
        <v/>
      </c>
      <c r="AS6" s="137" t="str">
        <f>IF('св.прот 2ф'!H21="","",IF('св.прот 2ф'!D21='св.прот 2ф'!H21,'св.прот 2ф'!P21,'св.прот 2ф'!O21))</f>
        <v/>
      </c>
      <c r="AT6" s="135" t="str">
        <f>IF('св.прот 2ф'!H13="","",IF('св.прот 2ф'!D13='св.прот 2ф'!H13,'св.прот 2ф'!O13,'св.прот 2ф'!P13))</f>
        <v/>
      </c>
      <c r="AU6" s="136" t="str">
        <f>IF(AT5="","",":")</f>
        <v/>
      </c>
      <c r="AV6" s="137" t="str">
        <f>IF('св.прот 2ф'!H13="","",IF('св.прот 2ф'!D13='св.прот 2ф'!H13,'св.прот 2ф'!P13,'св.прот 2ф'!O13))</f>
        <v/>
      </c>
      <c r="AW6" s="135" t="str">
        <f>IF('св.прот 2ф'!H5="","",IF('св.прот 2ф'!D5='св.прот 2ф'!H5,'св.прот 2ф'!O5,'св.прот 2ф'!P5))</f>
        <v/>
      </c>
      <c r="AX6" s="136" t="str">
        <f>IF(AW5="","",":")</f>
        <v/>
      </c>
      <c r="AY6" s="137" t="str">
        <f>IF('св.прот 2ф'!H5="","",IF('св.прот 2ф'!D5='св.прот 2ф'!H5,'св.прот 2ф'!P5,'св.прот 2ф'!O5))</f>
        <v/>
      </c>
      <c r="AZ6" s="1244"/>
      <c r="BA6" s="1245"/>
      <c r="BB6" s="1221"/>
      <c r="BC6" s="1222"/>
      <c r="BG6" s="128" t="str">
        <f>IF('св.прот 2ф'!BE110="","",IF(BG7="L",0,IF(BG7&gt;BI7,2,1)))</f>
        <v/>
      </c>
      <c r="BJ6" s="128" t="str">
        <f>IF('св.прот 2ф'!BE102="","",IF(BJ7="L",0,IF(BJ7&gt;BL7,2,1)))</f>
        <v/>
      </c>
      <c r="BM6" s="128" t="str">
        <f>IF('св.прот 2ф'!BE94="","",IF(BM7="L",0,IF(BM7&gt;BO7,2,1)))</f>
        <v/>
      </c>
      <c r="BP6" s="128" t="str">
        <f>IF('св.прот 2ф'!BE86="","",IF(BP7="L",0,IF(BP7&gt;BR7,2,1)))</f>
        <v/>
      </c>
      <c r="BS6" s="128" t="str">
        <f>IF('св.прот 2ф'!BE78="","",IF(BS7="L",0,IF(BS7&gt;BU7,2,1)))</f>
        <v/>
      </c>
    </row>
    <row r="7" spans="1:98" ht="15.75" customHeight="1" x14ac:dyDescent="0.25">
      <c r="A7" s="1175">
        <v>2</v>
      </c>
      <c r="B7" s="1223"/>
      <c r="C7" s="133" t="str">
        <f>IF(B7="","",VLOOKUP(B7,'Списки участников'!A:H,3,FALSE))</f>
        <v/>
      </c>
      <c r="D7" s="1225" t="str">
        <f>IF(G5="","",IF(G6="W",0,IF(G5=2,1,IF(G5=1,2,IF(G5=0,2)))))</f>
        <v/>
      </c>
      <c r="E7" s="1226"/>
      <c r="F7" s="1227"/>
      <c r="G7" s="1228"/>
      <c r="H7" s="1229"/>
      <c r="I7" s="1230"/>
      <c r="J7" s="1234" t="str">
        <f>IF('св.прот 2ф'!H60="","",IF(J8="L",0,IF(J8&gt;L8,2,1)))</f>
        <v/>
      </c>
      <c r="K7" s="1235"/>
      <c r="L7" s="1236"/>
      <c r="M7" s="1234" t="str">
        <f>IF('св.прот 2ф'!H110="","",IF(M8="L",0,IF(M8&gt;O8,2,1)))</f>
        <v/>
      </c>
      <c r="N7" s="1235"/>
      <c r="O7" s="1236"/>
      <c r="P7" s="1234" t="str">
        <f>IF('св.прот 2ф'!H51="","",IF(P8="L",0,IF(P8&gt;R8,2,1)))</f>
        <v/>
      </c>
      <c r="Q7" s="1235"/>
      <c r="R7" s="1236"/>
      <c r="S7" s="1234" t="str">
        <f>IF('св.прот 2ф'!H103="","",IF(S8="L",0,IF(S8&gt;U8,2,1)))</f>
        <v/>
      </c>
      <c r="T7" s="1235"/>
      <c r="U7" s="1236"/>
      <c r="V7" s="1234" t="str">
        <f>IF('св.прот 2ф'!H42="","",IF(V8="L",0,IF(V8&gt;X8,2,1)))</f>
        <v/>
      </c>
      <c r="W7" s="1235"/>
      <c r="X7" s="1236"/>
      <c r="Y7" s="1234" t="str">
        <f>IF('св.прот 2ф'!H96="","",IF(Y8="L",0,IF(Y8&gt;AA8,2,1)))</f>
        <v/>
      </c>
      <c r="Z7" s="1235"/>
      <c r="AA7" s="1236"/>
      <c r="AB7" s="1234" t="str">
        <f>IF('св.прот 2ф'!H33="","",IF(AB8="L",0,IF(AB8&gt;AD8,2,1)))</f>
        <v/>
      </c>
      <c r="AC7" s="1235"/>
      <c r="AD7" s="1236"/>
      <c r="AE7" s="1234" t="str">
        <f>IF('св.прот 2ф'!H89="","",IF(AE8="L",0,IF(AE8&gt;AG8,2,1)))</f>
        <v/>
      </c>
      <c r="AF7" s="1235"/>
      <c r="AG7" s="1236"/>
      <c r="AH7" s="1234" t="str">
        <f>IF('св.прот 2ф'!H24="","",IF(AH8="L",0,IF(AH8&gt;AJ8,2,1)))</f>
        <v/>
      </c>
      <c r="AI7" s="1235"/>
      <c r="AJ7" s="1236"/>
      <c r="AK7" s="1234" t="str">
        <f>IF('св.прот 2ф'!H82="","",IF(AK8="L",0,IF(AK8&gt;AM8,2,1)))</f>
        <v/>
      </c>
      <c r="AL7" s="1235"/>
      <c r="AM7" s="1236"/>
      <c r="AN7" s="1234" t="str">
        <f>IF('св.прот 2ф'!H15="","",IF(AN8="L",0,IF(AN8&gt;AP8,2,1)))</f>
        <v/>
      </c>
      <c r="AO7" s="1235"/>
      <c r="AP7" s="1236"/>
      <c r="AQ7" s="1234" t="str">
        <f>IF('св.прот 2ф'!H75="","",IF(AQ8="L",0,IF(AQ8&gt;AS8,2,1)))</f>
        <v/>
      </c>
      <c r="AR7" s="1235"/>
      <c r="AS7" s="1236"/>
      <c r="AT7" s="1234" t="str">
        <f>IF('св.прот 2ф'!H6="","",IF(AT8="L",0,IF(AT8&gt;AV8,2,1)))</f>
        <v/>
      </c>
      <c r="AU7" s="1235"/>
      <c r="AV7" s="1236"/>
      <c r="AW7" s="1234" t="str">
        <f>IF('св.прот 2ф'!H68="","",IF(AW8="L",0,IF(AW8&gt;AY8,2,1)))</f>
        <v/>
      </c>
      <c r="AX7" s="1235"/>
      <c r="AY7" s="1236"/>
      <c r="AZ7" s="1242" t="str">
        <f t="shared" ref="AZ7" si="0">IF(B7="","",SUM(G7,J7,M7,P7,S7,V7,Y7,AB7,AE7,AH7,AK7,AN7,AQ7,AT7,AW7,D7))</f>
        <v/>
      </c>
      <c r="BA7" s="1243"/>
      <c r="BB7" s="1220"/>
      <c r="BC7" s="1222" t="str">
        <f>IF(B7="","",RANK(AZ7,Ф2Оч)+16)</f>
        <v/>
      </c>
    </row>
    <row r="8" spans="1:98" ht="15.75" customHeight="1" x14ac:dyDescent="0.25">
      <c r="A8" s="1176"/>
      <c r="B8" s="1224"/>
      <c r="C8" s="134" t="str">
        <f>IF(B7="","",VLOOKUP(B7,'Списки участников'!A:H,6,FALSE))</f>
        <v/>
      </c>
      <c r="D8" s="138" t="str">
        <f>IF(G5="","",I6)</f>
        <v/>
      </c>
      <c r="E8" s="139" t="str">
        <f>IF(G5="","",":")</f>
        <v/>
      </c>
      <c r="F8" s="140" t="str">
        <f>IF(I6="","",G6)</f>
        <v/>
      </c>
      <c r="G8" s="1231"/>
      <c r="H8" s="1232"/>
      <c r="I8" s="1233"/>
      <c r="J8" s="926" t="str">
        <f>IF('св.прот 2ф'!H60="","",IF('св.прот 2ф'!D60='св.прот 2ф'!H60,'св.прот 2ф'!O60,'св.прот 2ф'!P60))</f>
        <v/>
      </c>
      <c r="K8" s="927" t="str">
        <f>IF(J7="","",":")</f>
        <v/>
      </c>
      <c r="L8" s="928" t="str">
        <f>IF('св.прот 2ф'!H60="","",IF('св.прот 2ф'!D60='св.прот 2ф'!H60,'св.прот 2ф'!P60,'св.прот 2ф'!O60))</f>
        <v/>
      </c>
      <c r="M8" s="926" t="str">
        <f>IF('св.прот 2ф'!H110="","",IF('св.прот 2ф'!D110='св.прот 2ф'!H110,'св.прот 2ф'!O110,'св.прот 2ф'!P110))</f>
        <v/>
      </c>
      <c r="N8" s="927" t="str">
        <f>IF(M7="","",":")</f>
        <v/>
      </c>
      <c r="O8" s="928" t="str">
        <f>IF('св.прот 2ф'!H110="","",IF('св.прот 2ф'!D110='св.прот 2ф'!H110,'св.прот 2ф'!P110,'св.прот 2ф'!O110))</f>
        <v/>
      </c>
      <c r="P8" s="926" t="str">
        <f>IF('св.прот 2ф'!H51="","",IF('св.прот 2ф'!D51='св.прот 2ф'!H51,'св.прот 2ф'!O51,'св.прот 2ф'!P51))</f>
        <v/>
      </c>
      <c r="Q8" s="927" t="str">
        <f>IF(P7="","",":")</f>
        <v/>
      </c>
      <c r="R8" s="928" t="str">
        <f>IF('св.прот 2ф'!H51="","",IF('св.прот 2ф'!D51='св.прот 2ф'!H51,'св.прот 2ф'!P51,'св.прот 2ф'!O51))</f>
        <v/>
      </c>
      <c r="S8" s="926" t="str">
        <f>IF('св.прот 2ф'!H103="","",IF('св.прот 2ф'!D103='св.прот 2ф'!H103,'св.прот 2ф'!O103,'св.прот 2ф'!P103))</f>
        <v/>
      </c>
      <c r="T8" s="927" t="str">
        <f>IF(S7="","",":")</f>
        <v/>
      </c>
      <c r="U8" s="928" t="str">
        <f>IF('св.прот 2ф'!H103="","",IF('св.прот 2ф'!D103='св.прот 2ф'!H103,'св.прот 2ф'!P103,'св.прот 2ф'!O103))</f>
        <v/>
      </c>
      <c r="V8" s="926" t="str">
        <f>IF('св.прот 2ф'!H42="","",IF('св.прот 2ф'!D42='св.прот 2ф'!H42,'св.прот 2ф'!O42,'св.прот 2ф'!P42))</f>
        <v/>
      </c>
      <c r="W8" s="927" t="str">
        <f>IF(V7="","",":")</f>
        <v/>
      </c>
      <c r="X8" s="928" t="str">
        <f>IF('св.прот 2ф'!H42="","",IF('св.прот 2ф'!D42='св.прот 2ф'!H42,'св.прот 2ф'!P42,'св.прот 2ф'!O42))</f>
        <v/>
      </c>
      <c r="Y8" s="926" t="str">
        <f>IF('св.прот 2ф'!H96="","",IF('св.прот 2ф'!D96='св.прот 2ф'!H96,'св.прот 2ф'!O96,'св.прот 2ф'!P96))</f>
        <v/>
      </c>
      <c r="Z8" s="927" t="str">
        <f>IF(Y7="","",":")</f>
        <v/>
      </c>
      <c r="AA8" s="928" t="str">
        <f>IF('св.прот 2ф'!H96="","",IF('св.прот 2ф'!D96='св.прот 2ф'!H96,'св.прот 2ф'!P96,'св.прот 2ф'!O96))</f>
        <v/>
      </c>
      <c r="AB8" s="926" t="str">
        <f>IF('св.прот 2ф'!H33="","",IF('св.прот 2ф'!D33='св.прот 2ф'!H33,'св.прот 2ф'!O33,'св.прот 2ф'!P33))</f>
        <v/>
      </c>
      <c r="AC8" s="927" t="str">
        <f>IF(AB7="","",":")</f>
        <v/>
      </c>
      <c r="AD8" s="928" t="str">
        <f>IF('св.прот 2ф'!H33="","",IF('св.прот 2ф'!D33='св.прот 2ф'!H33,'св.прот 2ф'!P33,'св.прот 2ф'!O33))</f>
        <v/>
      </c>
      <c r="AE8" s="926" t="str">
        <f>IF('св.прот 2ф'!H89="","",IF('св.прот 2ф'!D89='св.прот 2ф'!H89,'св.прот 2ф'!O89,'св.прот 2ф'!P89))</f>
        <v/>
      </c>
      <c r="AF8" s="927" t="str">
        <f>IF(AE7="","",":")</f>
        <v/>
      </c>
      <c r="AG8" s="928" t="str">
        <f>IF('св.прот 2ф'!H89="","",IF('св.прот 2ф'!D89='св.прот 2ф'!H89,'св.прот 2ф'!P89,'св.прот 2ф'!O89))</f>
        <v/>
      </c>
      <c r="AH8" s="926" t="str">
        <f>IF('св.прот 2ф'!H24="","",IF('св.прот 2ф'!D24='св.прот 2ф'!H24,'св.прот 2ф'!O24,'св.прот 2ф'!P24))</f>
        <v/>
      </c>
      <c r="AI8" s="927" t="str">
        <f>IF(AH7="","",":")</f>
        <v/>
      </c>
      <c r="AJ8" s="928" t="str">
        <f>IF('св.прот 2ф'!H24="","",IF('св.прот 2ф'!D24='св.прот 2ф'!H24,'св.прот 2ф'!P24,'св.прот 2ф'!O24))</f>
        <v/>
      </c>
      <c r="AK8" s="926" t="str">
        <f>IF('св.прот 2ф'!H82="","",IF('св.прот 2ф'!D82='св.прот 2ф'!H82,'св.прот 2ф'!O82,'св.прот 2ф'!P82))</f>
        <v/>
      </c>
      <c r="AL8" s="927" t="str">
        <f>IF(AK7="","",":")</f>
        <v/>
      </c>
      <c r="AM8" s="928" t="str">
        <f>IF('св.прот 2ф'!H82="","",IF('св.прот 2ф'!D82='св.прот 2ф'!H82,'св.прот 2ф'!P82,'св.прот 2ф'!O82))</f>
        <v/>
      </c>
      <c r="AN8" s="926" t="str">
        <f>IF('св.прот 2ф'!H15="","",IF('св.прот 2ф'!D15='св.прот 2ф'!H15,'св.прот 2ф'!O15,'св.прот 2ф'!P15))</f>
        <v/>
      </c>
      <c r="AO8" s="927" t="str">
        <f>IF(AN7="","",":")</f>
        <v/>
      </c>
      <c r="AP8" s="928" t="str">
        <f>IF('св.прот 2ф'!H15="","",IF('св.прот 2ф'!D15='св.прот 2ф'!H15,'св.прот 2ф'!P15,'св.прот 2ф'!O15))</f>
        <v/>
      </c>
      <c r="AQ8" s="926" t="str">
        <f>IF('св.прот 2ф'!H75="","",IF('св.прот 2ф'!D75='св.прот 2ф'!H75,'св.прот 2ф'!O75,'св.прот 2ф'!P75))</f>
        <v/>
      </c>
      <c r="AR8" s="927" t="str">
        <f>IF(AQ7="","",":")</f>
        <v/>
      </c>
      <c r="AS8" s="928" t="str">
        <f>IF('св.прот 2ф'!H75="","",IF('св.прот 2ф'!D75='св.прот 2ф'!H75,'св.прот 2ф'!P75,'св.прот 2ф'!O75))</f>
        <v/>
      </c>
      <c r="AT8" s="926" t="str">
        <f>IF('св.прот 2ф'!H6="","",IF('св.прот 2ф'!D6='св.прот 2ф'!H6,'св.прот 2ф'!O6,'св.прот 2ф'!P6))</f>
        <v/>
      </c>
      <c r="AU8" s="927" t="str">
        <f>IF(AT7="","",":")</f>
        <v/>
      </c>
      <c r="AV8" s="928" t="str">
        <f>IF('св.прот 2ф'!H6="","",IF('св.прот 2ф'!D6='св.прот 2ф'!H6,'св.прот 2ф'!P6,'св.прот 2ф'!O6))</f>
        <v/>
      </c>
      <c r="AW8" s="926" t="str">
        <f>IF('св.прот 2ф'!H68="","",IF('св.прот 2ф'!D68='св.прот 2ф'!H68,'св.прот 2ф'!O68,'св.прот 2ф'!P68))</f>
        <v/>
      </c>
      <c r="AX8" s="927" t="str">
        <f>IF(AW7="","",":")</f>
        <v/>
      </c>
      <c r="AY8" s="928" t="str">
        <f>IF('св.прот 2ф'!H68="","",IF('св.прот 2ф'!D68='св.прот 2ф'!H68,'св.прот 2ф'!P68,'св.прот 2ф'!O68))</f>
        <v/>
      </c>
      <c r="AZ8" s="1244"/>
      <c r="BA8" s="1245"/>
      <c r="BB8" s="1221"/>
      <c r="BC8" s="1222"/>
    </row>
    <row r="9" spans="1:98" ht="15.75" customHeight="1" x14ac:dyDescent="0.25">
      <c r="A9" s="1175">
        <v>3</v>
      </c>
      <c r="B9" s="1237"/>
      <c r="C9" s="133" t="str">
        <f>IF(B9="","",VLOOKUP(B9,'Списки участников'!A:H,3,FALSE))</f>
        <v/>
      </c>
      <c r="D9" s="1225" t="str">
        <f>IF(J5="","",IF(J6="W",0,IF(J5=2,1,IF(J5=1,2,IF(J5=0,2)))))</f>
        <v/>
      </c>
      <c r="E9" s="1226"/>
      <c r="F9" s="1227"/>
      <c r="G9" s="1234" t="str">
        <f>IF(J7="","",IF(J8="W",0,IF(J7=2,1,IF(J7=1,2,IF(J7=0,2)))))</f>
        <v/>
      </c>
      <c r="H9" s="1235"/>
      <c r="I9" s="1236"/>
      <c r="J9" s="1228"/>
      <c r="K9" s="1229"/>
      <c r="L9" s="1230"/>
      <c r="M9" s="1239" t="str">
        <f>IF('св.прот 2ф'!H52="","",IF(M10="L",0,IF(M10&gt;O10,2,1)))</f>
        <v/>
      </c>
      <c r="N9" s="1240"/>
      <c r="O9" s="1241"/>
      <c r="P9" s="1239" t="str">
        <f>IF('св.прот 2ф'!H102="","",IF(P10="L",0,IF(P10&gt;R10,2,1)))</f>
        <v/>
      </c>
      <c r="Q9" s="1240"/>
      <c r="R9" s="1241"/>
      <c r="S9" s="1239" t="str">
        <f>IF('св.прот 2ф'!H43="","",IF(S10="L",0,IF(S10&gt;U10,2,1)))</f>
        <v/>
      </c>
      <c r="T9" s="1240"/>
      <c r="U9" s="1241"/>
      <c r="V9" s="1239" t="str">
        <f>IF('св.прот 2ф'!H95="","",IF(V10="L",0,IF(V10&gt;X10,2,1)))</f>
        <v/>
      </c>
      <c r="W9" s="1240"/>
      <c r="X9" s="1241"/>
      <c r="Y9" s="1239" t="str">
        <f>IF('св.прот 2ф'!H34="","",IF(Y10="L",0,IF(Y10&gt;AA10,2,1)))</f>
        <v/>
      </c>
      <c r="Z9" s="1240"/>
      <c r="AA9" s="1241"/>
      <c r="AB9" s="1239" t="str">
        <f>IF('св.прот 2ф'!H88="","",IF(AB10="L",0,IF(AB10&gt;AD10,2,1)))</f>
        <v/>
      </c>
      <c r="AC9" s="1240"/>
      <c r="AD9" s="1241"/>
      <c r="AE9" s="1239" t="str">
        <f>IF('св.прот 2ф'!H25="","",IF(AE10="L",0,IF(AE10&gt;AG10,2,1)))</f>
        <v/>
      </c>
      <c r="AF9" s="1240"/>
      <c r="AG9" s="1241"/>
      <c r="AH9" s="1239" t="str">
        <f>IF('св.прот 2ф'!H81="","",IF(AH10="L",0,IF(AH10&gt;AJ10,2,1)))</f>
        <v/>
      </c>
      <c r="AI9" s="1240"/>
      <c r="AJ9" s="1241"/>
      <c r="AK9" s="1239" t="str">
        <f>IF('св.прот 2ф'!H16="","",IF(AK10="L",0,IF(AK10&gt;AM10,2,1)))</f>
        <v/>
      </c>
      <c r="AL9" s="1240"/>
      <c r="AM9" s="1241"/>
      <c r="AN9" s="1239" t="str">
        <f>IF('св.прот 2ф'!H74="","",IF(AN10="L",0,IF(AN10&gt;AP10,2,1)))</f>
        <v/>
      </c>
      <c r="AO9" s="1240"/>
      <c r="AP9" s="1241"/>
      <c r="AQ9" s="1239" t="str">
        <f>IF('св.прот 2ф'!H7="","",IF(AQ10="L",0,IF(AQ10&gt;AS10,2,1)))</f>
        <v/>
      </c>
      <c r="AR9" s="1240"/>
      <c r="AS9" s="1241"/>
      <c r="AT9" s="1239" t="str">
        <f>IF('св.прот 2ф'!H67="","",IF(AT10="L",0,IF(AT10&gt;AV10,2,1)))</f>
        <v/>
      </c>
      <c r="AU9" s="1240"/>
      <c r="AV9" s="1241"/>
      <c r="AW9" s="1239" t="str">
        <f>IF('св.прот 2ф'!H118="","",IF(AW10="L",0,IF(AW10&gt;AY10,2,1)))</f>
        <v/>
      </c>
      <c r="AX9" s="1240"/>
      <c r="AY9" s="1241"/>
      <c r="AZ9" s="1242" t="str">
        <f t="shared" ref="AZ9" si="1">IF(B9="","",SUM(G9,J9,M9,P9,S9,V9,Y9,AB9,AE9,AH9,AK9,AN9,AQ9,AT9,AW9,D9))</f>
        <v/>
      </c>
      <c r="BA9" s="1243"/>
      <c r="BB9" s="1220"/>
      <c r="BC9" s="1222" t="str">
        <f>IF(B9="","",RANK(AZ9,Ф2Оч)+16)</f>
        <v/>
      </c>
    </row>
    <row r="10" spans="1:98" ht="15.75" customHeight="1" x14ac:dyDescent="0.25">
      <c r="A10" s="1176"/>
      <c r="B10" s="1238"/>
      <c r="C10" s="134" t="str">
        <f>IF(B9="","",VLOOKUP(B9,'Списки участников'!A:H,6,FALSE))</f>
        <v/>
      </c>
      <c r="D10" s="141" t="str">
        <f>IF(J5="","",L6)</f>
        <v/>
      </c>
      <c r="E10" s="136" t="str">
        <f>IF(K6="","",":")</f>
        <v/>
      </c>
      <c r="F10" s="140" t="str">
        <f>IF(L6="","",J6)</f>
        <v/>
      </c>
      <c r="G10" s="141" t="str">
        <f>IF(J7="","",L8)</f>
        <v/>
      </c>
      <c r="H10" s="136" t="str">
        <f>IF(K8="","",":")</f>
        <v/>
      </c>
      <c r="I10" s="142" t="str">
        <f>IF(L8="","",J8)</f>
        <v/>
      </c>
      <c r="J10" s="1231"/>
      <c r="K10" s="1232"/>
      <c r="L10" s="1233"/>
      <c r="M10" s="926" t="str">
        <f>IF('св.прот 2ф'!H52="","",IF('св.прот 2ф'!D52='св.прот 2ф'!H52,'св.прот 2ф'!O52,'св.прот 2ф'!P52))</f>
        <v/>
      </c>
      <c r="N10" s="927" t="str">
        <f>IF(M9="","",":")</f>
        <v/>
      </c>
      <c r="O10" s="928" t="str">
        <f>IF('св.прот 2ф'!H52="","",IF('св.прот 2ф'!D52='св.прот 2ф'!H52,'св.прот 2ф'!P52,'св.прот 2ф'!O52))</f>
        <v/>
      </c>
      <c r="P10" s="926" t="str">
        <f>IF('св.прот 2ф'!H102="","",IF('св.прот 2ф'!D102='св.прот 2ф'!H102,'св.прот 2ф'!O102,'св.прот 2ф'!P102))</f>
        <v/>
      </c>
      <c r="Q10" s="927" t="str">
        <f>IF(P9="","",":")</f>
        <v/>
      </c>
      <c r="R10" s="928" t="str">
        <f>IF('св.прот 2ф'!H102="","",IF('св.прот 2ф'!D102='св.прот 2ф'!H102,'св.прот 2ф'!P102,'св.прот 2ф'!O102))</f>
        <v/>
      </c>
      <c r="S10" s="926" t="str">
        <f>IF('св.прот 2ф'!H43="","",IF('св.прот 2ф'!D43='св.прот 2ф'!H43,'св.прот 2ф'!O43,'св.прот 2ф'!P43))</f>
        <v/>
      </c>
      <c r="T10" s="927" t="str">
        <f>IF(S9="","",":")</f>
        <v/>
      </c>
      <c r="U10" s="928" t="str">
        <f>IF('св.прот 2ф'!H43="","",IF('св.прот 2ф'!D43='св.прот 2ф'!H43,'св.прот 2ф'!P43,'св.прот 2ф'!O43))</f>
        <v/>
      </c>
      <c r="V10" s="926" t="str">
        <f>IF('св.прот 2ф'!H95="","",IF('св.прот 2ф'!D95='св.прот 2ф'!H95,'св.прот 2ф'!O95,'св.прот 2ф'!P95))</f>
        <v/>
      </c>
      <c r="W10" s="927" t="str">
        <f>IF(V9="","",":")</f>
        <v/>
      </c>
      <c r="X10" s="928" t="str">
        <f>IF('св.прот 2ф'!H95="","",IF('св.прот 2ф'!D95='св.прот 2ф'!H95,'св.прот 2ф'!P95,'св.прот 2ф'!O95))</f>
        <v/>
      </c>
      <c r="Y10" s="926" t="str">
        <f>IF('св.прот 2ф'!H34="","",IF('св.прот 2ф'!D34='св.прот 2ф'!H34,'св.прот 2ф'!O34,'св.прот 2ф'!P34))</f>
        <v/>
      </c>
      <c r="Z10" s="927" t="str">
        <f>IF(Y9="","",":")</f>
        <v/>
      </c>
      <c r="AA10" s="928" t="str">
        <f>IF('св.прот 2ф'!H34="","",IF('св.прот 2ф'!D34='св.прот 2ф'!H34,'св.прот 2ф'!P34,'св.прот 2ф'!O34))</f>
        <v/>
      </c>
      <c r="AB10" s="926" t="str">
        <f>IF('св.прот 2ф'!H88="","",IF('св.прот 2ф'!D88='св.прот 2ф'!H88,'св.прот 2ф'!O88,'св.прот 2ф'!P88))</f>
        <v/>
      </c>
      <c r="AC10" s="927" t="str">
        <f>IF(AB9="","",":")</f>
        <v/>
      </c>
      <c r="AD10" s="928" t="str">
        <f>IF('св.прот 2ф'!H88="","",IF('св.прот 2ф'!D88='св.прот 2ф'!H88,'св.прот 2ф'!P88,'св.прот 2ф'!O88))</f>
        <v/>
      </c>
      <c r="AE10" s="926" t="str">
        <f>IF('св.прот 2ф'!H25="","",IF('св.прот 2ф'!D25='св.прот 2ф'!H25,'св.прот 2ф'!O25,'св.прот 2ф'!P25))</f>
        <v/>
      </c>
      <c r="AF10" s="927" t="str">
        <f>IF(AE9="","",":")</f>
        <v/>
      </c>
      <c r="AG10" s="928" t="str">
        <f>IF('св.прот 2ф'!H25="","",IF('св.прот 2ф'!D25='св.прот 2ф'!H25,'св.прот 2ф'!P25,'св.прот 2ф'!O25))</f>
        <v/>
      </c>
      <c r="AH10" s="926" t="str">
        <f>IF('св.прот 2ф'!H81="","",IF('св.прот 2ф'!D81='св.прот 2ф'!H81,'св.прот 2ф'!O81,'св.прот 2ф'!P81))</f>
        <v/>
      </c>
      <c r="AI10" s="927" t="str">
        <f>IF(AH9="","",":")</f>
        <v/>
      </c>
      <c r="AJ10" s="928" t="str">
        <f>IF('св.прот 2ф'!H81="","",IF('св.прот 2ф'!D81='св.прот 2ф'!H81,'св.прот 2ф'!P81,'св.прот 2ф'!O81))</f>
        <v/>
      </c>
      <c r="AK10" s="926" t="str">
        <f>IF('св.прот 2ф'!H16="","",IF('св.прот 2ф'!D16='св.прот 2ф'!H16,'св.прот 2ф'!O16,'св.прот 2ф'!P16))</f>
        <v/>
      </c>
      <c r="AL10" s="927" t="str">
        <f>IF(AK9="","",":")</f>
        <v/>
      </c>
      <c r="AM10" s="928" t="str">
        <f>IF('св.прот 2ф'!H16="","",IF('св.прот 2ф'!D16='св.прот 2ф'!H16,'св.прот 2ф'!P16,'св.прот 2ф'!O16))</f>
        <v/>
      </c>
      <c r="AN10" s="926" t="str">
        <f>IF('св.прот 2ф'!H74="","",IF('св.прот 2ф'!D74='св.прот 2ф'!H74,'св.прот 2ф'!O74,'св.прот 2ф'!P74))</f>
        <v/>
      </c>
      <c r="AO10" s="927" t="str">
        <f>IF(AN9="","",":")</f>
        <v/>
      </c>
      <c r="AP10" s="928" t="str">
        <f>IF('св.прот 2ф'!H74="","",IF('св.прот 2ф'!D74='св.прот 2ф'!H74,'св.прот 2ф'!P74,'св.прот 2ф'!O74))</f>
        <v/>
      </c>
      <c r="AQ10" s="926" t="str">
        <f>IF('св.прот 2ф'!H7="","",IF('св.прот 2ф'!D7='св.прот 2ф'!H7,'св.прот 2ф'!O7,'св.прот 2ф'!P7))</f>
        <v/>
      </c>
      <c r="AR10" s="927" t="str">
        <f>IF(AQ9="","",":")</f>
        <v/>
      </c>
      <c r="AS10" s="928" t="str">
        <f>IF('св.прот 2ф'!H7="","",IF('св.прот 2ф'!D7='св.прот 2ф'!H7,'св.прот 2ф'!P7,'св.прот 2ф'!O7))</f>
        <v/>
      </c>
      <c r="AT10" s="926" t="str">
        <f>IF('св.прот 2ф'!H67="","",IF('св.прот 2ф'!D67='св.прот 2ф'!H67,'св.прот 2ф'!O67,'св.прот 2ф'!P67))</f>
        <v/>
      </c>
      <c r="AU10" s="927" t="str">
        <f>IF(AT9="","",":")</f>
        <v/>
      </c>
      <c r="AV10" s="928" t="str">
        <f>IF('св.прот 2ф'!H67="","",IF('св.прот 2ф'!D67='св.прот 2ф'!H67,'св.прот 2ф'!P67,'св.прот 2ф'!O67))</f>
        <v/>
      </c>
      <c r="AW10" s="926" t="str">
        <f>IF('св.прот 2ф'!H118="","",IF('св.прот 2ф'!D118='св.прот 2ф'!H118,'св.прот 2ф'!O118,'св.прот 2ф'!P118))</f>
        <v/>
      </c>
      <c r="AX10" s="927" t="str">
        <f>IF(AW9="","",":")</f>
        <v/>
      </c>
      <c r="AY10" s="928" t="str">
        <f>IF('св.прот 2ф'!H118="","",IF('св.прот 2ф'!D118='св.прот 2ф'!H118,'св.прот 2ф'!P118,'св.прот 2ф'!O118))</f>
        <v/>
      </c>
      <c r="AZ10" s="1244"/>
      <c r="BA10" s="1245"/>
      <c r="BB10" s="1221"/>
      <c r="BC10" s="1222"/>
      <c r="BE10" s="1254"/>
      <c r="BF10" s="1255"/>
      <c r="BG10" s="1255"/>
      <c r="BH10" s="1255"/>
      <c r="BI10" s="1255"/>
      <c r="BJ10" s="1255"/>
      <c r="BK10" s="1255"/>
      <c r="BL10" s="1255"/>
    </row>
    <row r="11" spans="1:98" ht="15.75" customHeight="1" x14ac:dyDescent="0.25">
      <c r="A11" s="1175">
        <v>4</v>
      </c>
      <c r="B11" s="1223"/>
      <c r="C11" s="133" t="str">
        <f>IF(B11="","",VLOOKUP(B11,'Списки участников'!A:H,3,FALSE))</f>
        <v/>
      </c>
      <c r="D11" s="1234" t="str">
        <f>IF(M5="","",IF(M6="W",0,IF(M5=2,1,IF(M5=1,2,IF(M5=0,2)))))</f>
        <v/>
      </c>
      <c r="E11" s="1235"/>
      <c r="F11" s="1236"/>
      <c r="G11" s="1234" t="str">
        <f>IF(M7="","",IF(M8="W",0,IF(M7=2,1,IF(M7=1,2,IF(M7=0,2)))))</f>
        <v/>
      </c>
      <c r="H11" s="1235"/>
      <c r="I11" s="1236"/>
      <c r="J11" s="1234" t="str">
        <f>IF(M9="","",IF(M10="W",0,IF(M9=2,1,IF(M9=1,2,IF(M9=0,2)))))</f>
        <v/>
      </c>
      <c r="K11" s="1235"/>
      <c r="L11" s="1236"/>
      <c r="M11" s="1229"/>
      <c r="N11" s="1229"/>
      <c r="O11" s="1229"/>
      <c r="P11" s="1234" t="str">
        <f>IF('св.прот 2ф'!H44="","",IF(P12="L",0,IF(P12&gt;R12,2,1)))</f>
        <v/>
      </c>
      <c r="Q11" s="1235"/>
      <c r="R11" s="1236"/>
      <c r="S11" s="1239" t="str">
        <f>IF('св.прот 2ф'!H94="","",IF(S12="L",0,IF(S12&gt;U12,2,1)))</f>
        <v/>
      </c>
      <c r="T11" s="1240"/>
      <c r="U11" s="1241"/>
      <c r="V11" s="1239" t="str">
        <f>IF('св.прот 2ф'!H35="","",IF(V12="L",0,IF(V12&gt;X12,2,1)))</f>
        <v/>
      </c>
      <c r="W11" s="1240"/>
      <c r="X11" s="1241"/>
      <c r="Y11" s="1239" t="str">
        <f>IF('св.прот 2ф'!H87="","",IF(Y12="L",0,IF(Y12&gt;AA12,2,1)))</f>
        <v/>
      </c>
      <c r="Z11" s="1240"/>
      <c r="AA11" s="1241"/>
      <c r="AB11" s="1239" t="str">
        <f>IF('св.прот 2ф'!H26="","",IF(AB12="L",0,IF(AB12&gt;AD12,2,1)))</f>
        <v/>
      </c>
      <c r="AC11" s="1240"/>
      <c r="AD11" s="1241"/>
      <c r="AE11" s="1239" t="str">
        <f>IF('св.прот 2ф'!H80="","",IF(AE12="L",0,IF(AE12&gt;AG12,2,1)))</f>
        <v/>
      </c>
      <c r="AF11" s="1240"/>
      <c r="AG11" s="1241"/>
      <c r="AH11" s="1239" t="str">
        <f>IF('св.прот 2ф'!H17="","",IF(AH12="L",0,IF(AH12&gt;AJ12,2,1)))</f>
        <v/>
      </c>
      <c r="AI11" s="1240"/>
      <c r="AJ11" s="1241"/>
      <c r="AK11" s="1239" t="str">
        <f>IF('св.прот 2ф'!H73="","",IF(AK12="L",0,IF(AK12&gt;AM12,2,1)))</f>
        <v/>
      </c>
      <c r="AL11" s="1240"/>
      <c r="AM11" s="1241"/>
      <c r="AN11" s="1239" t="str">
        <f>IF('св.прот 2ф'!H8="","",IF(AN12="L",0,IF(AN12&gt;AP12,2,1)))</f>
        <v/>
      </c>
      <c r="AO11" s="1240"/>
      <c r="AP11" s="1241"/>
      <c r="AQ11" s="1239" t="str">
        <f>IF('св.прот 2ф'!H66="","",IF(AQ12="L",0,IF(AQ12&gt;AS12,2,1)))</f>
        <v/>
      </c>
      <c r="AR11" s="1240"/>
      <c r="AS11" s="1241"/>
      <c r="AT11" s="1239" t="str">
        <f>IF('св.прот 2ф'!H119="","",IF(AT12="L",0,IF(AT12&gt;AV12,2,1)))</f>
        <v/>
      </c>
      <c r="AU11" s="1240"/>
      <c r="AV11" s="1241"/>
      <c r="AW11" s="1239" t="str">
        <f>IF('св.прот 2ф'!H59="","",IF(AW12="L",0,IF(AW12&gt;AY12,2,1)))</f>
        <v/>
      </c>
      <c r="AX11" s="1240"/>
      <c r="AY11" s="1241"/>
      <c r="AZ11" s="1242" t="str">
        <f t="shared" ref="AZ11" si="2">IF(B11="","",SUM(G11,J11,M11,P11,S11,V11,Y11,AB11,AE11,AH11,AK11,AN11,AQ11,AT11,AW11,D11))</f>
        <v/>
      </c>
      <c r="BA11" s="1243"/>
      <c r="BB11" s="1220"/>
      <c r="BC11" s="1222" t="str">
        <f>IF(B11="","",RANK(AZ11,Ф2Оч)+16)</f>
        <v/>
      </c>
    </row>
    <row r="12" spans="1:98" ht="15.75" customHeight="1" x14ac:dyDescent="0.25">
      <c r="A12" s="1176"/>
      <c r="B12" s="1224"/>
      <c r="C12" s="134" t="str">
        <f>IF(B11="","",VLOOKUP(B11,'Списки участников'!A:H,6,FALSE))</f>
        <v/>
      </c>
      <c r="D12" s="141" t="str">
        <f>IF(M5="","",O6)</f>
        <v/>
      </c>
      <c r="E12" s="136" t="str">
        <f>IF(N6="","",":")</f>
        <v/>
      </c>
      <c r="F12" s="142" t="str">
        <f>IF(O6="","",M6)</f>
        <v/>
      </c>
      <c r="G12" s="141" t="str">
        <f>IF(M7="","",O8)</f>
        <v/>
      </c>
      <c r="H12" s="136" t="str">
        <f>IF(N8="","",":")</f>
        <v/>
      </c>
      <c r="I12" s="142" t="str">
        <f>IF(O8="","",M8)</f>
        <v/>
      </c>
      <c r="J12" s="141" t="str">
        <f>IF(M9="","",O10)</f>
        <v/>
      </c>
      <c r="K12" s="136" t="str">
        <f>IF(N10="","",":")</f>
        <v/>
      </c>
      <c r="L12" s="142" t="str">
        <f>IF(O10="","",M10)</f>
        <v/>
      </c>
      <c r="M12" s="1248"/>
      <c r="N12" s="1248"/>
      <c r="O12" s="1248"/>
      <c r="P12" s="926" t="str">
        <f>IF('св.прот 2ф'!H44="","",IF('св.прот 2ф'!D44='св.прот 2ф'!H44,'св.прот 2ф'!O44,'св.прот 2ф'!P44))</f>
        <v/>
      </c>
      <c r="Q12" s="927" t="str">
        <f>IF(P11="","",":")</f>
        <v/>
      </c>
      <c r="R12" s="928" t="str">
        <f>IF('св.прот 2ф'!H44="","",IF('св.прот 2ф'!D44='св.прот 2ф'!H44,'св.прот 2ф'!P44,'св.прот 2ф'!O44))</f>
        <v/>
      </c>
      <c r="S12" s="926" t="str">
        <f>IF('св.прот 2ф'!H94="","",IF('св.прот 2ф'!D94='св.прот 2ф'!H94,'св.прот 2ф'!O94,'св.прот 2ф'!P94))</f>
        <v/>
      </c>
      <c r="T12" s="927" t="str">
        <f>IF(S11="","",":")</f>
        <v/>
      </c>
      <c r="U12" s="928" t="str">
        <f>IF('св.прот 2ф'!H94="","",IF('св.прот 2ф'!D94='св.прот 2ф'!H94,'св.прот 2ф'!P94,'св.прот 2ф'!O94))</f>
        <v/>
      </c>
      <c r="V12" s="926" t="str">
        <f>IF('св.прот 2ф'!H35="","",IF('св.прот 2ф'!D35='св.прот 2ф'!H35,'св.прот 2ф'!O34,'св.прот 2ф'!P35))</f>
        <v/>
      </c>
      <c r="W12" s="927" t="str">
        <f>IF(V11="","",":")</f>
        <v/>
      </c>
      <c r="X12" s="928" t="str">
        <f>IF('св.прот 2ф'!H35="","",IF('св.прот 2ф'!D35='св.прот 2ф'!H35,'св.прот 2ф'!P35,'св.прот 2ф'!O35))</f>
        <v/>
      </c>
      <c r="Y12" s="926" t="str">
        <f>IF('св.прот 2ф'!H87="","",IF('св.прот 2ф'!D87='св.прот 2ф'!H87,'св.прот 2ф'!O87,'св.прот 2ф'!P87))</f>
        <v/>
      </c>
      <c r="Z12" s="927" t="str">
        <f>IF(Y11="","",":")</f>
        <v/>
      </c>
      <c r="AA12" s="928" t="str">
        <f>IF('св.прот 2ф'!H87="","",IF('св.прот 2ф'!D87='св.прот 2ф'!H87,'св.прот 2ф'!P87,'св.прот 2ф'!O87))</f>
        <v/>
      </c>
      <c r="AB12" s="926" t="str">
        <f>IF('св.прот 2ф'!H26="","",IF('св.прот 2ф'!D26='св.прот 2ф'!H26,'св.прот 2ф'!O26,'св.прот 2ф'!P26))</f>
        <v/>
      </c>
      <c r="AC12" s="927" t="str">
        <f>IF(AB11="","",":")</f>
        <v/>
      </c>
      <c r="AD12" s="928" t="str">
        <f>IF('св.прот 2ф'!H26="","",IF('св.прот 2ф'!D26='св.прот 2ф'!H26,'св.прот 2ф'!P26,'св.прот 2ф'!O26))</f>
        <v/>
      </c>
      <c r="AE12" s="926" t="str">
        <f>IF('св.прот 2ф'!H80="","",IF('св.прот 2ф'!D80='св.прот 2ф'!H80,'св.прот 2ф'!O11,'св.прот 2ф'!P80))</f>
        <v/>
      </c>
      <c r="AF12" s="927" t="str">
        <f>IF(AE11="","",":")</f>
        <v/>
      </c>
      <c r="AG12" s="928" t="str">
        <f>IF('св.прот 2ф'!H80="","",IF('св.прот 2ф'!D80='св.прот 2ф'!H80,'св.прот 2ф'!P80,'св.прот 2ф'!O80))</f>
        <v/>
      </c>
      <c r="AH12" s="926" t="str">
        <f>IF('св.прот 2ф'!H17="","",IF('св.прот 2ф'!D17='св.прот 2ф'!H17,'св.прот 2ф'!O17,'св.прот 2ф'!P17))</f>
        <v/>
      </c>
      <c r="AI12" s="927" t="str">
        <f>IF(AH11="","",":")</f>
        <v/>
      </c>
      <c r="AJ12" s="928" t="str">
        <f>IF('св.прот 2ф'!H17="","",IF('св.прот 2ф'!D17='св.прот 2ф'!H17,'св.прот 2ф'!P17,'св.прот 2ф'!O17))</f>
        <v/>
      </c>
      <c r="AK12" s="926" t="str">
        <f>IF('св.прот 2ф'!H73="","",IF('св.прот 2ф'!D73='св.прот 2ф'!H73,'св.прот 2ф'!O73,'св.прот 2ф'!P73))</f>
        <v/>
      </c>
      <c r="AL12" s="927" t="str">
        <f>IF(AK11="","",":")</f>
        <v/>
      </c>
      <c r="AM12" s="928" t="str">
        <f>IF('св.прот 2ф'!H73="","",IF('св.прот 2ф'!D73='св.прот 2ф'!H73,'св.прот 2ф'!P73,'св.прот 2ф'!O73))</f>
        <v/>
      </c>
      <c r="AN12" s="926" t="str">
        <f>IF('св.прот 2ф'!H8="","",IF('св.прот 2ф'!D8='св.прот 2ф'!H8,'св.прот 2ф'!O8,'св.прот 2ф'!P8))</f>
        <v/>
      </c>
      <c r="AO12" s="927" t="str">
        <f>IF(AN11="","",":")</f>
        <v/>
      </c>
      <c r="AP12" s="928" t="str">
        <f>IF('св.прот 2ф'!H8="","",IF('св.прот 2ф'!D8='св.прот 2ф'!H8,'св.прот 2ф'!P8,'св.прот 2ф'!O8))</f>
        <v/>
      </c>
      <c r="AQ12" s="926" t="str">
        <f>IF('св.прот 2ф'!H66="","",IF('св.прот 2ф'!D66='св.прот 2ф'!H66,'св.прот 2ф'!O66,'св.прот 2ф'!P66))</f>
        <v/>
      </c>
      <c r="AR12" s="927" t="str">
        <f>IF(AQ11="","",":")</f>
        <v/>
      </c>
      <c r="AS12" s="928" t="str">
        <f>IF('св.прот 2ф'!H66="","",IF('св.прот 2ф'!D66='св.прот 2ф'!H66,'св.прот 2ф'!P66,'св.прот 2ф'!O66))</f>
        <v/>
      </c>
      <c r="AT12" s="926" t="str">
        <f>IF('св.прот 2ф'!H119="","",IF('св.прот 2ф'!D119='св.прот 2ф'!H119,'св.прот 2ф'!O119,'св.прот 2ф'!P119))</f>
        <v/>
      </c>
      <c r="AU12" s="927" t="str">
        <f>IF(AT11="","",":")</f>
        <v/>
      </c>
      <c r="AV12" s="928" t="str">
        <f>IF('св.прот 2ф'!H119="","",IF('св.прот 2ф'!D119='св.прот 2ф'!H119,'св.прот 2ф'!P119,'св.прот 2ф'!O119))</f>
        <v/>
      </c>
      <c r="AW12" s="926" t="str">
        <f>IF('св.прот 2ф'!H59="","",IF('св.прот 2ф'!D59='св.прот 2ф'!H59,'св.прот 2ф'!O59,'св.прот 2ф'!P59))</f>
        <v/>
      </c>
      <c r="AX12" s="927" t="str">
        <f>IF(AW11="","",":")</f>
        <v/>
      </c>
      <c r="AY12" s="928" t="str">
        <f>IF('св.прот 2ф'!H59="","",IF('св.прот 2ф'!D59='св.прот 2ф'!H59,'св.прот 2ф'!P59,'св.прот 2ф'!O59))</f>
        <v/>
      </c>
      <c r="AZ12" s="1244"/>
      <c r="BA12" s="1245"/>
      <c r="BB12" s="1221"/>
      <c r="BC12" s="1222"/>
    </row>
    <row r="13" spans="1:98" ht="15.75" customHeight="1" x14ac:dyDescent="0.25">
      <c r="A13" s="1175">
        <v>5</v>
      </c>
      <c r="B13" s="1237"/>
      <c r="C13" s="133" t="str">
        <f>IF(B13="","",VLOOKUP(B13,'Списки участников'!A:H,3,FALSE))</f>
        <v/>
      </c>
      <c r="D13" s="1234" t="str">
        <f>IF(P5="","",IF(P6="W",0,IF(P5=2,1,IF(P5=1,2,IF(P5=0,2)))))</f>
        <v/>
      </c>
      <c r="E13" s="1235"/>
      <c r="F13" s="1236"/>
      <c r="G13" s="1234" t="str">
        <f>IF(P7="","",IF(P8="W",0,IF(P7=2,1,IF(P7=1,2,IF(P7=0,2)))))</f>
        <v/>
      </c>
      <c r="H13" s="1235"/>
      <c r="I13" s="1236"/>
      <c r="J13" s="1234" t="str">
        <f>IF(P9="","",IF(P10="W",0,IF(P9=2,1,IF(P9=1,2,IF(P9=0,2)))))</f>
        <v/>
      </c>
      <c r="K13" s="1235"/>
      <c r="L13" s="1236"/>
      <c r="M13" s="1234" t="str">
        <f>IF(P11="","",IF(P12="W",0,IF(P11=2,1,IF(P11=1,2,IF(P11=0,2)))))</f>
        <v/>
      </c>
      <c r="N13" s="1235"/>
      <c r="O13" s="1236"/>
      <c r="P13" s="1228"/>
      <c r="Q13" s="1229"/>
      <c r="R13" s="1230"/>
      <c r="S13" s="1239" t="str">
        <f>IF('св.прот 2ф'!H36="","",IF(S14="L",0,IF(S14&gt;U14,2,1)))</f>
        <v/>
      </c>
      <c r="T13" s="1240"/>
      <c r="U13" s="1241"/>
      <c r="V13" s="1239" t="str">
        <f>IF('св.прот 2ф'!H86="","",IF(V14="L",0,IF(V14&gt;X14,2,1)))</f>
        <v/>
      </c>
      <c r="W13" s="1240"/>
      <c r="X13" s="1241"/>
      <c r="Y13" s="1239" t="str">
        <f>IF('св.прот 2ф'!H27="","",IF(Y14="L",0,IF(Y14&gt;AA14,2,1)))</f>
        <v/>
      </c>
      <c r="Z13" s="1240"/>
      <c r="AA13" s="1241"/>
      <c r="AB13" s="1239" t="str">
        <f>IF('св.прот 2ф'!H79="","",IF(AB14="L",0,IF(AB14&gt;AD14,2,1)))</f>
        <v/>
      </c>
      <c r="AC13" s="1240"/>
      <c r="AD13" s="1241"/>
      <c r="AE13" s="1239" t="str">
        <f>IF('св.прот 2ф'!H18="","",IF(AE14="L",0,IF(AE14&gt;AG14,2,1)))</f>
        <v/>
      </c>
      <c r="AF13" s="1240"/>
      <c r="AG13" s="1241"/>
      <c r="AH13" s="1239" t="str">
        <f>IF('св.прот 2ф'!H72="","",IF(AH14="L",0,IF(AH14&gt;AJ14,2,1)))</f>
        <v/>
      </c>
      <c r="AI13" s="1240"/>
      <c r="AJ13" s="1241"/>
      <c r="AK13" s="1239" t="str">
        <f>IF('св.прот 2ф'!H9="","",IF(AK14="L",0,IF(AK14&gt;AM14,2,1)))</f>
        <v/>
      </c>
      <c r="AL13" s="1240"/>
      <c r="AM13" s="1241"/>
      <c r="AN13" s="1239" t="str">
        <f>IF('св.прот 2ф'!H65="","",IF(AN14="L",0,IF(AN14&gt;AP14,2,1)))</f>
        <v/>
      </c>
      <c r="AO13" s="1240"/>
      <c r="AP13" s="1241"/>
      <c r="AQ13" s="1239" t="str">
        <f>IF('св.прот 2ф'!H120="","",IF(AQ14="L",0,IF(AQ14&gt;AS14,2,1)))</f>
        <v/>
      </c>
      <c r="AR13" s="1240"/>
      <c r="AS13" s="1241"/>
      <c r="AT13" s="1239" t="str">
        <f>IF('св.прот 2ф'!H58="","",IF(AT14="L",0,IF(AT14&gt;AV14,2,1)))</f>
        <v/>
      </c>
      <c r="AU13" s="1240"/>
      <c r="AV13" s="1241"/>
      <c r="AW13" s="1239" t="str">
        <f>IF('св.прот 2ф'!H111="","",IF(AW14="L",0,IF(AW14&gt;AY14,2,1)))</f>
        <v/>
      </c>
      <c r="AX13" s="1240"/>
      <c r="AY13" s="1241"/>
      <c r="AZ13" s="1242" t="str">
        <f t="shared" ref="AZ13" si="3">IF(B13="","",SUM(G13,J13,M13,P13,S13,V13,Y13,AB13,AE13,AH13,AK13,AN13,AQ13,AT13,AW13,D13))</f>
        <v/>
      </c>
      <c r="BA13" s="1243"/>
      <c r="BB13" s="1220"/>
      <c r="BC13" s="1222" t="str">
        <f>IF(B13="","",RANK(AZ13,Ф2Оч)+16)</f>
        <v/>
      </c>
    </row>
    <row r="14" spans="1:98" ht="15.75" customHeight="1" x14ac:dyDescent="0.25">
      <c r="A14" s="1176"/>
      <c r="B14" s="1238"/>
      <c r="C14" s="134" t="str">
        <f>IF(B13="","",VLOOKUP(B13,'Списки участников'!A:H,6,FALSE))</f>
        <v/>
      </c>
      <c r="D14" s="141" t="str">
        <f>IF(P5="","",R6)</f>
        <v/>
      </c>
      <c r="E14" s="136" t="str">
        <f>IF(Q6="","",":")</f>
        <v/>
      </c>
      <c r="F14" s="142" t="str">
        <f>IF(R6="","",P6)</f>
        <v/>
      </c>
      <c r="G14" s="141" t="str">
        <f>IF(P7="","",R8)</f>
        <v/>
      </c>
      <c r="H14" s="136" t="str">
        <f>IF(Q8="","",":")</f>
        <v/>
      </c>
      <c r="I14" s="142" t="str">
        <f>IF(R8="","",P8)</f>
        <v/>
      </c>
      <c r="J14" s="141" t="str">
        <f>IF(P9="","",R10)</f>
        <v/>
      </c>
      <c r="K14" s="136" t="str">
        <f>IF(Q10="","",":")</f>
        <v/>
      </c>
      <c r="L14" s="142" t="str">
        <f>IF(R10="","",P10)</f>
        <v/>
      </c>
      <c r="M14" s="141" t="str">
        <f>IF(P11="","",R12)</f>
        <v/>
      </c>
      <c r="N14" s="136" t="str">
        <f>IF(Q12="","",":")</f>
        <v/>
      </c>
      <c r="O14" s="142" t="str">
        <f>IF(R12="","",P12)</f>
        <v/>
      </c>
      <c r="P14" s="1231"/>
      <c r="Q14" s="1232"/>
      <c r="R14" s="1233"/>
      <c r="S14" s="926" t="str">
        <f>IF('св.прот 2ф'!H36="","",IF('св.прот 2ф'!D36='св.прот 2ф'!H36,'св.прот 2ф'!O36,'св.прот 2ф'!P36))</f>
        <v/>
      </c>
      <c r="T14" s="927" t="str">
        <f>IF(S13="","",":")</f>
        <v/>
      </c>
      <c r="U14" s="928" t="str">
        <f>IF('св.прот 2ф'!H36="","",IF('св.прот 2ф'!D36='св.прот 2ф'!H36,'св.прот 2ф'!P36,'св.прот 2ф'!O36))</f>
        <v/>
      </c>
      <c r="V14" s="926" t="str">
        <f>IF('св.прот 2ф'!H86="","",IF('св.прот 2ф'!D86='св.прот 2ф'!H86,'св.прот 2ф'!O86,'св.прот 2ф'!P86))</f>
        <v/>
      </c>
      <c r="W14" s="927" t="str">
        <f>IF(V13="","",":")</f>
        <v/>
      </c>
      <c r="X14" s="928" t="str">
        <f>IF('св.прот 2ф'!H86="","",IF('св.прот 2ф'!D86='св.прот 2ф'!H86,'св.прот 2ф'!P86,'св.прот 2ф'!O86))</f>
        <v/>
      </c>
      <c r="Y14" s="926" t="str">
        <f>IF('св.прот 2ф'!H27="","",IF('св.прот 2ф'!D27='св.прот 2ф'!H27,'св.прот 2ф'!O27,'св.прот 2ф'!P27))</f>
        <v/>
      </c>
      <c r="Z14" s="927" t="str">
        <f>IF(Y13="","",":")</f>
        <v/>
      </c>
      <c r="AA14" s="928" t="str">
        <f>IF('св.прот 2ф'!H27="","",IF('св.прот 2ф'!D27='св.прот 2ф'!H27,'св.прот 2ф'!P27,'св.прот 2ф'!O27))</f>
        <v/>
      </c>
      <c r="AB14" s="926" t="str">
        <f>IF('св.прот 2ф'!H79="","",IF('св.прот 2ф'!D79='св.прот 2ф'!H79,'св.прот 2ф'!O79,'св.прот 2ф'!P79))</f>
        <v/>
      </c>
      <c r="AC14" s="927" t="str">
        <f>IF(AB13="","",":")</f>
        <v/>
      </c>
      <c r="AD14" s="928" t="str">
        <f>IF('св.прот 2ф'!H79="","",IF('св.прот 2ф'!D79='св.прот 2ф'!H79,'св.прот 2ф'!P79,'св.прот 2ф'!O79))</f>
        <v/>
      </c>
      <c r="AE14" s="926" t="str">
        <f>IF('св.прот 2ф'!H18="","",IF('св.прот 2ф'!D18='св.прот 2ф'!H18,'св.прот 2ф'!O18,'св.прот 2ф'!P18))</f>
        <v/>
      </c>
      <c r="AF14" s="927" t="str">
        <f>IF(AE13="","",":")</f>
        <v/>
      </c>
      <c r="AG14" s="928" t="str">
        <f>IF('св.прот 2ф'!H18="","",IF('св.прот 2ф'!D18='св.прот 2ф'!H18,'св.прот 2ф'!P18,'св.прот 2ф'!O18))</f>
        <v/>
      </c>
      <c r="AH14" s="926" t="str">
        <f>IF('св.прот 2ф'!H72="","",IF('св.прот 2ф'!D72='св.прот 2ф'!H72,'св.прот 2ф'!O72,'св.прот 2ф'!P72))</f>
        <v/>
      </c>
      <c r="AI14" s="927" t="str">
        <f>IF(AH13="","",":")</f>
        <v/>
      </c>
      <c r="AJ14" s="928" t="str">
        <f>IF('св.прот 2ф'!H72="","",IF('св.прот 2ф'!D72='св.прот 2ф'!H72,'св.прот 2ф'!P72,'св.прот 2ф'!O72))</f>
        <v/>
      </c>
      <c r="AK14" s="926" t="str">
        <f>IF('св.прот 2ф'!H9="","",IF('св.прот 2ф'!D9='св.прот 2ф'!H9,'св.прот 2ф'!O9,'св.прот 2ф'!P9))</f>
        <v/>
      </c>
      <c r="AL14" s="927" t="str">
        <f>IF(AK13="","",":")</f>
        <v/>
      </c>
      <c r="AM14" s="928" t="str">
        <f>IF('св.прот 2ф'!H9="","",IF('св.прот 2ф'!D9='св.прот 2ф'!H9,'св.прот 2ф'!P9,'св.прот 2ф'!O9))</f>
        <v/>
      </c>
      <c r="AN14" s="926" t="str">
        <f>IF('св.прот 2ф'!H65="","",IF('св.прот 2ф'!D65='св.прот 2ф'!H65,'св.прот 2ф'!O65,'св.прот 2ф'!P65))</f>
        <v/>
      </c>
      <c r="AO14" s="927" t="str">
        <f>IF(AN13="","",":")</f>
        <v/>
      </c>
      <c r="AP14" s="928" t="str">
        <f>IF('св.прот 2ф'!H65="","",IF('св.прот 2ф'!D65='св.прот 2ф'!H65,'св.прот 2ф'!P65,'св.прот 2ф'!O65))</f>
        <v/>
      </c>
      <c r="AQ14" s="926" t="str">
        <f>IF('св.прот 2ф'!H120="","",IF('св.прот 2ф'!D120='св.прот 2ф'!H120,'св.прот 2ф'!O120,'св.прот 2ф'!P120))</f>
        <v/>
      </c>
      <c r="AR14" s="927" t="str">
        <f>IF(AQ13="","",":")</f>
        <v/>
      </c>
      <c r="AS14" s="928" t="str">
        <f>IF('св.прот 2ф'!H120="","",IF('св.прот 2ф'!D120='св.прот 2ф'!H120,'св.прот 2ф'!P120,'св.прот 2ф'!O120))</f>
        <v/>
      </c>
      <c r="AT14" s="926" t="str">
        <f>IF('св.прот 2ф'!H58="","",IF('св.прот 2ф'!D58='св.прот 2ф'!H58,'св.прот 2ф'!O58,'св.прот 2ф'!P58))</f>
        <v/>
      </c>
      <c r="AU14" s="927" t="str">
        <f>IF(AT13="","",":")</f>
        <v/>
      </c>
      <c r="AV14" s="928" t="str">
        <f>IF('св.прот 2ф'!H58="","",IF('св.прот 2ф'!D58='св.прот 2ф'!H58,'св.прот 2ф'!P58,'св.прот 2ф'!O58))</f>
        <v/>
      </c>
      <c r="AW14" s="926" t="str">
        <f>IF('св.прот 2ф'!H111="","",IF('св.прот 2ф'!D111='св.прот 2ф'!H111,'св.прот 2ф'!O111,'св.прот 2ф'!P111))</f>
        <v/>
      </c>
      <c r="AX14" s="927" t="str">
        <f>IF(AW13="","",":")</f>
        <v/>
      </c>
      <c r="AY14" s="928" t="str">
        <f>IF('св.прот 2ф'!H111="","",IF('св.прот 2ф'!D111='св.прот 2ф'!H111,'св.прот 2ф'!P111,'св.прот 2ф'!O111))</f>
        <v/>
      </c>
      <c r="AZ14" s="1244"/>
      <c r="BA14" s="1245"/>
      <c r="BB14" s="1221"/>
      <c r="BC14" s="1222"/>
    </row>
    <row r="15" spans="1:98" ht="15.75" customHeight="1" x14ac:dyDescent="0.25">
      <c r="A15" s="1175">
        <v>6</v>
      </c>
      <c r="B15" s="1223"/>
      <c r="C15" s="133" t="str">
        <f>IF(B15="","",VLOOKUP(B15,'Списки участников'!A:H,3,FALSE))</f>
        <v/>
      </c>
      <c r="D15" s="1234" t="str">
        <f>IF(S5="","",IF(S6="W",0,IF(S5=2,1,IF(S5=1,2,IF(S5=0,2)))))</f>
        <v/>
      </c>
      <c r="E15" s="1235"/>
      <c r="F15" s="1236"/>
      <c r="G15" s="1234" t="str">
        <f>IF(S7="","",IF(S8="W",0,IF(S7=2,1,IF(S7=1,2,IF(S7=0,2)))))</f>
        <v/>
      </c>
      <c r="H15" s="1235"/>
      <c r="I15" s="1236"/>
      <c r="J15" s="1234" t="str">
        <f>IF(S9="","",IF(S10="W",0,IF(S9=2,1,IF(S9=1,2,IF(S9=0,2)))))</f>
        <v/>
      </c>
      <c r="K15" s="1235"/>
      <c r="L15" s="1236"/>
      <c r="M15" s="1234" t="str">
        <f>IF(S11="","",IF(S12="W",0,IF(S11=2,1,IF(S11=1,2,IF(S11=0,2)))))</f>
        <v/>
      </c>
      <c r="N15" s="1235"/>
      <c r="O15" s="1236"/>
      <c r="P15" s="1234" t="str">
        <f>IF(S13="","",IF(S14="W",0,IF(S13=2,1,IF(S13=1,2,IF(S13=0,2)))))</f>
        <v/>
      </c>
      <c r="Q15" s="1235"/>
      <c r="R15" s="1236"/>
      <c r="S15" s="1228"/>
      <c r="T15" s="1229"/>
      <c r="U15" s="1230"/>
      <c r="V15" s="1234" t="str">
        <f>IF('св.прот 2ф'!H28="","",IF(V16="L",0,IF(V16&gt;X16,2,1)))</f>
        <v/>
      </c>
      <c r="W15" s="1235"/>
      <c r="X15" s="1236"/>
      <c r="Y15" s="1234" t="str">
        <f>IF('св.прот 2ф'!H78="","",IF(Y16="L",0,IF(Y16&gt;AA16,2,1)))</f>
        <v/>
      </c>
      <c r="Z15" s="1235"/>
      <c r="AA15" s="1236"/>
      <c r="AB15" s="1234" t="str">
        <f>IF('св.прот 2ф'!H19="","",IF(AB16="L",0,IF(AB16&gt;AD16,2,1)))</f>
        <v/>
      </c>
      <c r="AC15" s="1235"/>
      <c r="AD15" s="1236"/>
      <c r="AE15" s="1239" t="str">
        <f>IF('св.прот 2ф'!H71="","",IF(AE16="L",0,IF(AE16&gt;AG16,2,1)))</f>
        <v/>
      </c>
      <c r="AF15" s="1240"/>
      <c r="AG15" s="1241"/>
      <c r="AH15" s="1239" t="str">
        <f>IF('св.прот 2ф'!H10="","",IF(AH16="L",0,IF(AH16&gt;AJ16,2,1)))</f>
        <v/>
      </c>
      <c r="AI15" s="1240"/>
      <c r="AJ15" s="1241"/>
      <c r="AK15" s="1239" t="str">
        <f>IF('св.прот 2ф'!H64="","",IF(AK16="L",0,IF(AK16&gt;AM16,2,1)))</f>
        <v/>
      </c>
      <c r="AL15" s="1240"/>
      <c r="AM15" s="1241"/>
      <c r="AN15" s="1239" t="str">
        <f>IF('св.прот 2ф'!H121="","",IF(AN16="L",0,IF(AN16&gt;AP16,2,1)))</f>
        <v/>
      </c>
      <c r="AO15" s="1240"/>
      <c r="AP15" s="1241"/>
      <c r="AQ15" s="1239" t="str">
        <f>IF('св.прот 2ф'!H57="","",IF(AQ16="L",0,IF(AQ16&gt;AS16,2,1)))</f>
        <v/>
      </c>
      <c r="AR15" s="1240"/>
      <c r="AS15" s="1241"/>
      <c r="AT15" s="1239" t="str">
        <f>IF('св.прот 2ф'!H112="","",IF(AT16="L",0,IF(AT16&gt;AV16,2,1)))</f>
        <v/>
      </c>
      <c r="AU15" s="1240"/>
      <c r="AV15" s="1241"/>
      <c r="AW15" s="1239" t="str">
        <f>IF('св.прот 2ф'!H50="","",IF(AW16="L",0,IF(AW16&gt;AY16,2,1)))</f>
        <v/>
      </c>
      <c r="AX15" s="1240"/>
      <c r="AY15" s="1241"/>
      <c r="AZ15" s="1242" t="str">
        <f t="shared" ref="AZ15" si="4">IF(B15="","",SUM(G15,J15,M15,P15,S15,V15,Y15,AB15,AE15,AH15,AK15,AN15,AQ15,AT15,AW15,D15))</f>
        <v/>
      </c>
      <c r="BA15" s="1243"/>
      <c r="BB15" s="1220"/>
      <c r="BC15" s="1222" t="str">
        <f>IF(B15="","",RANK(AZ15,Ф2Оч)+16)</f>
        <v/>
      </c>
    </row>
    <row r="16" spans="1:98" ht="15.75" customHeight="1" x14ac:dyDescent="0.25">
      <c r="A16" s="1176"/>
      <c r="B16" s="1224"/>
      <c r="C16" s="134" t="str">
        <f>IF(B15="","",VLOOKUP(B15,'Списки участников'!A:H,6,FALSE))</f>
        <v/>
      </c>
      <c r="D16" s="141" t="str">
        <f>IF(S5="","",U6)</f>
        <v/>
      </c>
      <c r="E16" s="136" t="str">
        <f>IF(T6="","",":")</f>
        <v/>
      </c>
      <c r="F16" s="142" t="str">
        <f>IF(U6="","",S6)</f>
        <v/>
      </c>
      <c r="G16" s="141" t="str">
        <f>IF(S7="","",U8)</f>
        <v/>
      </c>
      <c r="H16" s="136" t="str">
        <f>IF(T8="","",":")</f>
        <v/>
      </c>
      <c r="I16" s="142" t="str">
        <f>IF(U8="","",S8)</f>
        <v/>
      </c>
      <c r="J16" s="141" t="str">
        <f>IF(S9="","",U10)</f>
        <v/>
      </c>
      <c r="K16" s="136" t="str">
        <f>IF(T10="","",":")</f>
        <v/>
      </c>
      <c r="L16" s="142" t="str">
        <f>IF(U10="","",S10)</f>
        <v/>
      </c>
      <c r="M16" s="141" t="str">
        <f>IF(S11="","",U12)</f>
        <v/>
      </c>
      <c r="N16" s="136" t="str">
        <f>IF(T12="","",":")</f>
        <v/>
      </c>
      <c r="O16" s="142" t="str">
        <f>IF(U12="","",S12)</f>
        <v/>
      </c>
      <c r="P16" s="141" t="str">
        <f>IF(S13="","",U14)</f>
        <v/>
      </c>
      <c r="Q16" s="136" t="str">
        <f>IF(T14="","",":")</f>
        <v/>
      </c>
      <c r="R16" s="142" t="str">
        <f>IF(U14="","",S14)</f>
        <v/>
      </c>
      <c r="S16" s="1231"/>
      <c r="T16" s="1232"/>
      <c r="U16" s="1233"/>
      <c r="V16" s="926" t="str">
        <f>IF('св.прот 2ф'!H28="","",IF('св.прот 2ф'!D28='св.прот 2ф'!H28,'св.прот 2ф'!O28,'св.прот 2ф'!P28))</f>
        <v/>
      </c>
      <c r="W16" s="927" t="str">
        <f>IF(V15="","",":")</f>
        <v/>
      </c>
      <c r="X16" s="928" t="str">
        <f>IF('св.прот 2ф'!H28="","",IF('св.прот 2ф'!D28='св.прот 2ф'!H28,'св.прот 2ф'!P28,'св.прот 2ф'!O28))</f>
        <v/>
      </c>
      <c r="Y16" s="926" t="str">
        <f>IF('св.прот 2ф'!H78="","",IF('св.прот 2ф'!D78='св.прот 2ф'!H78,'св.прот 2ф'!O78,'св.прот 2ф'!P78))</f>
        <v/>
      </c>
      <c r="Z16" s="927" t="str">
        <f>IF(Y15="","",":")</f>
        <v/>
      </c>
      <c r="AA16" s="928" t="str">
        <f>IF('св.прот 2ф'!H78="","",IF('св.прот 2ф'!D78='св.прот 2ф'!H78,'св.прот 2ф'!P78,'св.прот 2ф'!O78))</f>
        <v/>
      </c>
      <c r="AB16" s="926" t="str">
        <f>IF('св.прот 2ф'!H19="","",IF('св.прот 2ф'!D19='св.прот 2ф'!H19,'св.прот 2ф'!O19,'св.прот 2ф'!P19))</f>
        <v/>
      </c>
      <c r="AC16" s="927" t="str">
        <f>IF(AB15="","",":")</f>
        <v/>
      </c>
      <c r="AD16" s="928" t="str">
        <f>IF('св.прот 2ф'!H19="","",IF('св.прот 2ф'!D19='св.прот 2ф'!H19,'св.прот 2ф'!P19,'св.прот 2ф'!O19))</f>
        <v/>
      </c>
      <c r="AE16" s="926" t="str">
        <f>IF('св.прот 2ф'!H71="","",IF('св.прот 2ф'!D71='св.прот 2ф'!H71,'св.прот 2ф'!O15,'св.прот 2ф'!P71))</f>
        <v/>
      </c>
      <c r="AF16" s="927" t="str">
        <f>IF(AE15="","",":")</f>
        <v/>
      </c>
      <c r="AG16" s="928" t="str">
        <f>IF('св.прот 2ф'!H71="","",IF('св.прот 2ф'!D71='св.прот 2ф'!H71,'св.прот 2ф'!P71,'св.прот 2ф'!O71))</f>
        <v/>
      </c>
      <c r="AH16" s="926" t="str">
        <f>IF('св.прот 2ф'!H10="","",IF('св.прот 2ф'!D10='св.прот 2ф'!H10,'св.прот 2ф'!O10,'св.прот 2ф'!P10))</f>
        <v/>
      </c>
      <c r="AI16" s="927" t="str">
        <f>IF(AH15="","",":")</f>
        <v/>
      </c>
      <c r="AJ16" s="928" t="str">
        <f>IF('св.прот 2ф'!H10="","",IF('св.прот 2ф'!D10='св.прот 2ф'!H10,'св.прот 2ф'!P10,'св.прот 2ф'!O10))</f>
        <v/>
      </c>
      <c r="AK16" s="926" t="str">
        <f>IF('св.прот 2ф'!H64="","",IF('св.прот 2ф'!D64='св.прот 2ф'!H64,'св.прот 2ф'!O64,'св.прот 2ф'!P64))</f>
        <v/>
      </c>
      <c r="AL16" s="927" t="str">
        <f>IF(AK15="","",":")</f>
        <v/>
      </c>
      <c r="AM16" s="928" t="str">
        <f>IF('св.прот 2ф'!H64="","",IF('св.прот 2ф'!D64='св.прот 2ф'!H64,'св.прот 2ф'!P64,'св.прот 2ф'!O64))</f>
        <v/>
      </c>
      <c r="AN16" s="926" t="str">
        <f>IF('св.прот 2ф'!H121="","",IF('св.прот 2ф'!D121='св.прот 2ф'!H121,'св.прот 2ф'!O121,'св.прот 2ф'!P121))</f>
        <v/>
      </c>
      <c r="AO16" s="927" t="str">
        <f>IF(AN15="","",":")</f>
        <v/>
      </c>
      <c r="AP16" s="928" t="str">
        <f>IF('св.прот 2ф'!H121="","",IF('св.прот 2ф'!D121='св.прот 2ф'!H121,'св.прот 2ф'!P121,'св.прот 2ф'!O121))</f>
        <v/>
      </c>
      <c r="AQ16" s="926" t="str">
        <f>IF('св.прот 2ф'!H57="","",IF('св.прот 2ф'!D57='св.прот 2ф'!H57,'св.прот 2ф'!O57,'св.прот 2ф'!P57))</f>
        <v/>
      </c>
      <c r="AR16" s="927" t="str">
        <f>IF(AQ15="","",":")</f>
        <v/>
      </c>
      <c r="AS16" s="928" t="str">
        <f>IF('св.прот 2ф'!H57="","",IF('св.прот 2ф'!D57='св.прот 2ф'!H57,'св.прот 2ф'!P57,'св.прот 2ф'!O57))</f>
        <v/>
      </c>
      <c r="AT16" s="926" t="str">
        <f>IF('св.прот 2ф'!H112="","",IF('св.прот 2ф'!D112='св.прот 2ф'!H112,'св.прот 2ф'!O112,'св.прот 2ф'!P112))</f>
        <v/>
      </c>
      <c r="AU16" s="927" t="str">
        <f>IF(AT15="","",":")</f>
        <v/>
      </c>
      <c r="AV16" s="928" t="str">
        <f>IF('св.прот 2ф'!H112="","",IF('св.прот 2ф'!D112='св.прот 2ф'!H112,'св.прот 2ф'!P112,'св.прот 2ф'!O112))</f>
        <v/>
      </c>
      <c r="AW16" s="926" t="str">
        <f>IF('св.прот 2ф'!H50="","",IF('св.прот 2ф'!D50='св.прот 2ф'!H50,'св.прот 2ф'!O50,'св.прот 2ф'!P50))</f>
        <v/>
      </c>
      <c r="AX16" s="927" t="str">
        <f>IF(AW15="","",":")</f>
        <v/>
      </c>
      <c r="AY16" s="928" t="str">
        <f>IF('св.прот 2ф'!H50="","",IF('св.прот 2ф'!D50='св.прот 2ф'!H50,'св.прот 2ф'!P50,'св.прот 2ф'!O50))</f>
        <v/>
      </c>
      <c r="AZ16" s="1244"/>
      <c r="BA16" s="1245"/>
      <c r="BB16" s="1221"/>
      <c r="BC16" s="1222"/>
    </row>
    <row r="17" spans="1:55" ht="15.75" customHeight="1" x14ac:dyDescent="0.25">
      <c r="A17" s="1175">
        <v>7</v>
      </c>
      <c r="B17" s="1237"/>
      <c r="C17" s="133" t="str">
        <f>IF(B17="","",VLOOKUP(B17,'Списки участников'!A:H,3,FALSE))</f>
        <v/>
      </c>
      <c r="D17" s="1234" t="str">
        <f>IF(V5="","",IF(V6="W",0,IF(V5=2,1,IF(V5=1,2,IF(V5=0,2)))))</f>
        <v/>
      </c>
      <c r="E17" s="1235"/>
      <c r="F17" s="1236"/>
      <c r="G17" s="1234" t="str">
        <f>IF(V7="","",IF(V8="W",0,IF(V7=2,1,IF(V7=1,2,IF(V7=0,2)))))</f>
        <v/>
      </c>
      <c r="H17" s="1235"/>
      <c r="I17" s="1236"/>
      <c r="J17" s="1234" t="str">
        <f>IF(V9="","",IF(V10="W",0,IF(V9=2,1,IF(V9=1,2,IF(V9=0,2)))))</f>
        <v/>
      </c>
      <c r="K17" s="1235"/>
      <c r="L17" s="1236"/>
      <c r="M17" s="1234" t="str">
        <f>IF(V11="","",IF(V12="W",0,IF(V11=2,1,IF(V11=1,2,IF(V11=0,2)))))</f>
        <v/>
      </c>
      <c r="N17" s="1235"/>
      <c r="O17" s="1236"/>
      <c r="P17" s="1234" t="str">
        <f>IF(V13="","",IF(V14="W",0,IF(V13=2,1,IF(V13=1,2,IF(V13=0,2)))))</f>
        <v/>
      </c>
      <c r="Q17" s="1235"/>
      <c r="R17" s="1236"/>
      <c r="S17" s="1234" t="str">
        <f>IF(V15="","",IF(V16="W",0,IF(V15=2,1,IF(V15=1,2,IF(V15=0,2)))))</f>
        <v/>
      </c>
      <c r="T17" s="1235"/>
      <c r="U17" s="1236"/>
      <c r="V17" s="1249"/>
      <c r="W17" s="1246"/>
      <c r="X17" s="1247"/>
      <c r="Y17" s="1239" t="str">
        <f>IF('св.прот 2ф'!H20="","",IF(Y18="L",0,IF(Y18&gt;AA18,2,1)))</f>
        <v/>
      </c>
      <c r="Z17" s="1240"/>
      <c r="AA17" s="1241"/>
      <c r="AB17" s="1239" t="str">
        <f>IF('св.прот 2ф'!H70="","",IF(AB18="L",0,IF(AB18&gt;AD18,2,1)))</f>
        <v/>
      </c>
      <c r="AC17" s="1240"/>
      <c r="AD17" s="1241"/>
      <c r="AE17" s="1239" t="str">
        <f>IF('св.прот 2ф'!H11="","",IF(AE18="L",0,IF(AE18&gt;AG18,2,1)))</f>
        <v/>
      </c>
      <c r="AF17" s="1240"/>
      <c r="AG17" s="1241"/>
      <c r="AH17" s="1239" t="str">
        <f>IF('св.прот 2ф'!H63="","",IF(AH18="L",0,IF(AH18&gt;AJ18,2,1)))</f>
        <v/>
      </c>
      <c r="AI17" s="1240"/>
      <c r="AJ17" s="1241"/>
      <c r="AK17" s="1239" t="str">
        <f>IF('св.прот 2ф'!H122="","",IF(AK18="L",0,IF(AK18&gt;AM18,2,1)))</f>
        <v/>
      </c>
      <c r="AL17" s="1240"/>
      <c r="AM17" s="1241"/>
      <c r="AN17" s="1239" t="str">
        <f>IF('св.прот 2ф'!H56="","",IF(AN18="L",0,IF(AN18&gt;AP18,2,1)))</f>
        <v/>
      </c>
      <c r="AO17" s="1240"/>
      <c r="AP17" s="1241"/>
      <c r="AQ17" s="1239" t="str">
        <f>IF('св.прот 2ф'!H113="","",IF(AQ18="L",0,IF(AQ18&gt;AS18,2,1)))</f>
        <v/>
      </c>
      <c r="AR17" s="1240"/>
      <c r="AS17" s="1241"/>
      <c r="AT17" s="1239" t="str">
        <f>IF('св.прот 2ф'!H49="","",IF(AT18="L",0,IF(AT18&gt;AV18,2,1)))</f>
        <v/>
      </c>
      <c r="AU17" s="1240"/>
      <c r="AV17" s="1241"/>
      <c r="AW17" s="1239" t="str">
        <f>IF('св.прот 2ф'!H104="","",IF(AW18="L",0,IF(AW18&gt;AY18,2,1)))</f>
        <v/>
      </c>
      <c r="AX17" s="1240"/>
      <c r="AY17" s="1241"/>
      <c r="AZ17" s="1242" t="str">
        <f t="shared" ref="AZ17" si="5">IF(B17="","",SUM(G17,J17,M17,P17,S17,V17,Y17,AB17,AE17,AH17,AK17,AN17,AQ17,AT17,AW17,D17))</f>
        <v/>
      </c>
      <c r="BA17" s="1243"/>
      <c r="BB17" s="1220"/>
      <c r="BC17" s="1222" t="str">
        <f>IF(B17="","",RANK(AZ17,Ф2Оч)+16)</f>
        <v/>
      </c>
    </row>
    <row r="18" spans="1:55" ht="15.75" customHeight="1" x14ac:dyDescent="0.25">
      <c r="A18" s="1176"/>
      <c r="B18" s="1238"/>
      <c r="C18" s="134" t="str">
        <f>IF(B17="","",VLOOKUP(B17,'Списки участников'!A:H,6,FALSE))</f>
        <v/>
      </c>
      <c r="D18" s="141" t="str">
        <f>IF(V5="","",X6)</f>
        <v/>
      </c>
      <c r="E18" s="136" t="str">
        <f>IF(W6="","",":")</f>
        <v/>
      </c>
      <c r="F18" s="142" t="str">
        <f>IF(X6="","",V6)</f>
        <v/>
      </c>
      <c r="G18" s="141" t="str">
        <f>IF(V7="","",X8)</f>
        <v/>
      </c>
      <c r="H18" s="136" t="str">
        <f>IF(W8="","",":")</f>
        <v/>
      </c>
      <c r="I18" s="142" t="str">
        <f>IF(X8="","",V8)</f>
        <v/>
      </c>
      <c r="J18" s="141" t="str">
        <f>IF(V9="","",X10)</f>
        <v/>
      </c>
      <c r="K18" s="136" t="str">
        <f>IF(W10="","",":")</f>
        <v/>
      </c>
      <c r="L18" s="142" t="str">
        <f>IF(X10="","",V10)</f>
        <v/>
      </c>
      <c r="M18" s="141" t="str">
        <f>IF(V11="","",X12)</f>
        <v/>
      </c>
      <c r="N18" s="136" t="str">
        <f>IF(W12="","",":")</f>
        <v/>
      </c>
      <c r="O18" s="142" t="str">
        <f>IF(X12="","",V12)</f>
        <v/>
      </c>
      <c r="P18" s="141" t="str">
        <f>IF(V13="","",X14)</f>
        <v/>
      </c>
      <c r="Q18" s="136" t="str">
        <f>IF(W14="","",":")</f>
        <v/>
      </c>
      <c r="R18" s="142" t="str">
        <f>IF(X14="","",V14)</f>
        <v/>
      </c>
      <c r="S18" s="141" t="str">
        <f>IF(V15="","",X16)</f>
        <v/>
      </c>
      <c r="T18" s="136" t="str">
        <f>IF(W16="","",":")</f>
        <v/>
      </c>
      <c r="U18" s="142" t="str">
        <f>IF(X16="","",V16)</f>
        <v/>
      </c>
      <c r="V18" s="1231"/>
      <c r="W18" s="1232"/>
      <c r="X18" s="1233"/>
      <c r="Y18" s="926" t="str">
        <f>IF('св.прот 2ф'!H20="","",IF('св.прот 2ф'!D20='св.прот 2ф'!H20,'св.прот 2ф'!O20,'св.прот 2ф'!P20))</f>
        <v/>
      </c>
      <c r="Z18" s="927" t="str">
        <f>IF(Y17="","",":")</f>
        <v/>
      </c>
      <c r="AA18" s="928" t="str">
        <f>IF('св.прот 2ф'!H20="","",IF('св.прот 2ф'!D20='св.прот 2ф'!H20,'св.прот 2ф'!P20,'св.прот 2ф'!O20))</f>
        <v/>
      </c>
      <c r="AB18" s="926" t="str">
        <f>IF('св.прот 2ф'!H70="","",IF('св.прот 2ф'!D70='св.прот 2ф'!H70,'св.прот 2ф'!O70,'св.прот 2ф'!P70))</f>
        <v/>
      </c>
      <c r="AC18" s="927" t="str">
        <f>IF(AB17="","",":")</f>
        <v/>
      </c>
      <c r="AD18" s="928" t="str">
        <f>IF('св.прот 2ф'!H70="","",IF('св.прот 2ф'!D70='св.прот 2ф'!H70,'св.прот 2ф'!P70,'св.прот 2ф'!O70))</f>
        <v/>
      </c>
      <c r="AE18" s="926" t="str">
        <f>IF('св.прот 2ф'!H11="","",IF('св.прот 2ф'!D11='св.прот 2ф'!H11,'св.прот 2ф'!O11,'св.прот 2ф'!P11))</f>
        <v/>
      </c>
      <c r="AF18" s="927" t="str">
        <f>IF(AE17="","",":")</f>
        <v/>
      </c>
      <c r="AG18" s="928" t="str">
        <f>IF('св.прот 2ф'!H11="","",IF('св.прот 2ф'!D11='св.прот 2ф'!H11,'св.прот 2ф'!P11,'св.прот 2ф'!O11))</f>
        <v/>
      </c>
      <c r="AH18" s="926" t="str">
        <f>IF('св.прот 2ф'!H63="","",IF('св.прот 2ф'!D63='св.прот 2ф'!H63,'св.прот 2ф'!O63,'св.прот 2ф'!P63))</f>
        <v/>
      </c>
      <c r="AI18" s="927" t="str">
        <f>IF(AH17="","",":")</f>
        <v/>
      </c>
      <c r="AJ18" s="928" t="str">
        <f>IF('св.прот 2ф'!H63="","",IF('св.прот 2ф'!D63='св.прот 2ф'!H63,'св.прот 2ф'!P63,'св.прот 2ф'!O63))</f>
        <v/>
      </c>
      <c r="AK18" s="926" t="str">
        <f>IF('св.прот 2ф'!H122="","",IF('св.прот 2ф'!D122='св.прот 2ф'!H122,'св.прот 2ф'!O122,'св.прот 2ф'!P122))</f>
        <v/>
      </c>
      <c r="AL18" s="927" t="str">
        <f>IF(AK17="","",":")</f>
        <v/>
      </c>
      <c r="AM18" s="928" t="str">
        <f>IF('св.прот 2ф'!H122="","",IF('св.прот 2ф'!D122='св.прот 2ф'!H122,'св.прот 2ф'!P122,'св.прот 2ф'!O122))</f>
        <v/>
      </c>
      <c r="AN18" s="926" t="str">
        <f>IF('св.прот 2ф'!H56="","",IF('св.прот 2ф'!D56='св.прот 2ф'!H56,'св.прот 2ф'!O56,'св.прот 2ф'!P56))</f>
        <v/>
      </c>
      <c r="AO18" s="927" t="str">
        <f>IF(AN17="","",":")</f>
        <v/>
      </c>
      <c r="AP18" s="928" t="str">
        <f>IF('св.прот 2ф'!H56="","",IF('св.прот 2ф'!D56='св.прот 2ф'!H56,'св.прот 2ф'!P56,'св.прот 2ф'!O56))</f>
        <v/>
      </c>
      <c r="AQ18" s="926" t="str">
        <f>IF('св.прот 2ф'!H113="","",IF('св.прот 2ф'!D113='св.прот 2ф'!H113,'св.прот 2ф'!O113,'св.прот 2ф'!P113))</f>
        <v/>
      </c>
      <c r="AR18" s="927" t="str">
        <f>IF(AQ17="","",":")</f>
        <v/>
      </c>
      <c r="AS18" s="928" t="str">
        <f>IF('св.прот 2ф'!H113="","",IF('св.прот 2ф'!D113='св.прот 2ф'!H113,'св.прот 2ф'!P113,'св.прот 2ф'!O113))</f>
        <v/>
      </c>
      <c r="AT18" s="926" t="str">
        <f>IF('св.прот 2ф'!H49="","",IF('св.прот 2ф'!D49='св.прот 2ф'!H49,'св.прот 2ф'!O49,'св.прот 2ф'!P49))</f>
        <v/>
      </c>
      <c r="AU18" s="927" t="str">
        <f>IF(AT17="","",":")</f>
        <v/>
      </c>
      <c r="AV18" s="928" t="str">
        <f>IF('св.прот 2ф'!H49="","",IF('св.прот 2ф'!D49='св.прот 2ф'!H49,'св.прот 2ф'!P49,'св.прот 2ф'!O49))</f>
        <v/>
      </c>
      <c r="AW18" s="926" t="str">
        <f>IF('св.прот 2ф'!H104="","",IF('св.прот 2ф'!D104='св.прот 2ф'!H104,'св.прот 2ф'!O104,'св.прот 2ф'!P104))</f>
        <v/>
      </c>
      <c r="AX18" s="927" t="str">
        <f>IF(AW17="","",":")</f>
        <v/>
      </c>
      <c r="AY18" s="928" t="str">
        <f>IF('св.прот 2ф'!H104="","",IF('св.прот 2ф'!D104='св.прот 2ф'!H104,'св.прот 2ф'!P104,'св.прот 2ф'!O104))</f>
        <v/>
      </c>
      <c r="AZ18" s="1244"/>
      <c r="BA18" s="1245"/>
      <c r="BB18" s="1221"/>
      <c r="BC18" s="1222"/>
    </row>
    <row r="19" spans="1:55" ht="15.75" customHeight="1" x14ac:dyDescent="0.25">
      <c r="A19" s="1175">
        <v>8</v>
      </c>
      <c r="B19" s="1223"/>
      <c r="C19" s="133" t="str">
        <f>IF(B19="","",VLOOKUP(B19,'Списки участников'!A:H,3,FALSE))</f>
        <v/>
      </c>
      <c r="D19" s="1234" t="str">
        <f>IF(Y5="","",IF(Y6="W",0,IF(Y5=2,1,IF(Y5=1,2,IF(Y5=0,2)))))</f>
        <v/>
      </c>
      <c r="E19" s="1235"/>
      <c r="F19" s="1236"/>
      <c r="G19" s="1234" t="str">
        <f>IF(Y7="","",IF(Y8="W",0,IF(Y7=2,1,IF(Y7=1,2,IF(Y7=0,2)))))</f>
        <v/>
      </c>
      <c r="H19" s="1235"/>
      <c r="I19" s="1236"/>
      <c r="J19" s="1234" t="str">
        <f>IF(Y9="","",IF(Y10="W",0,IF(Y9=2,1,IF(Y9=1,2,IF(Y9=0,2)))))</f>
        <v/>
      </c>
      <c r="K19" s="1235"/>
      <c r="L19" s="1236"/>
      <c r="M19" s="1234" t="str">
        <f>IF(Y11="","",IF(Y12="W",0,IF(Y11=2,1,IF(Y11=1,2,IF(Y11=0,2)))))</f>
        <v/>
      </c>
      <c r="N19" s="1235"/>
      <c r="O19" s="1236"/>
      <c r="P19" s="1234" t="str">
        <f>IF(Y13="","",IF(Y14="W",0,IF(Y13=2,1,IF(Y13=1,2,IF(Y13=0,2)))))</f>
        <v/>
      </c>
      <c r="Q19" s="1235"/>
      <c r="R19" s="1236"/>
      <c r="S19" s="1234" t="str">
        <f>IF(Y15="","",IF(Y16="W",0,IF(Y15=2,1,IF(Y15=1,2,IF(Y15=0,2)))))</f>
        <v/>
      </c>
      <c r="T19" s="1235"/>
      <c r="U19" s="1236"/>
      <c r="V19" s="1234" t="str">
        <f>IF(Y17="","",IF(Y18="W",0,IF(Y17=2,1,IF(Y17=1,2,IF(Y17=0,2)))))</f>
        <v/>
      </c>
      <c r="W19" s="1235"/>
      <c r="X19" s="1236"/>
      <c r="Y19" s="1228"/>
      <c r="Z19" s="1229"/>
      <c r="AA19" s="1230"/>
      <c r="AB19" s="1239" t="str">
        <f>IF('св.прот 2ф'!H12="","",IF(AB20="L",0,IF(AB20&gt;AD20,2,1)))</f>
        <v/>
      </c>
      <c r="AC19" s="1240"/>
      <c r="AD19" s="1241"/>
      <c r="AE19" s="1239" t="str">
        <f>IF('св.прот 2ф'!H62="","",IF(AE20="L",0,IF(AE20&gt;AG20,2,1)))</f>
        <v/>
      </c>
      <c r="AF19" s="1240"/>
      <c r="AG19" s="1241"/>
      <c r="AH19" s="1239" t="str">
        <f>IF('св.прот 2ф'!H123="","",IF(AH20="L",0,IF(AH20&gt;AJ20,2,1)))</f>
        <v/>
      </c>
      <c r="AI19" s="1240"/>
      <c r="AJ19" s="1241"/>
      <c r="AK19" s="1239" t="str">
        <f>IF('св.прот 2ф'!H55="","",IF(AK20="L",0,IF(AK20&gt;AM20,2,1)))</f>
        <v/>
      </c>
      <c r="AL19" s="1240"/>
      <c r="AM19" s="1241"/>
      <c r="AN19" s="1239" t="str">
        <f>IF('св.прот 2ф'!H114="","",IF(AN20="L",0,IF(AN20&gt;AP20,2,1)))</f>
        <v/>
      </c>
      <c r="AO19" s="1240"/>
      <c r="AP19" s="1241"/>
      <c r="AQ19" s="1239" t="str">
        <f>IF('св.прот 2ф'!H48="","",IF(AQ20="L",0,IF(AQ20&gt;AS20,2,1)))</f>
        <v/>
      </c>
      <c r="AR19" s="1240"/>
      <c r="AS19" s="1241"/>
      <c r="AT19" s="1239" t="str">
        <f>IF('св.прот 2ф'!H105="","",IF(AT20="L",0,IF(AT20&gt;AV20,2,1)))</f>
        <v/>
      </c>
      <c r="AU19" s="1240"/>
      <c r="AV19" s="1241"/>
      <c r="AW19" s="1239" t="str">
        <f>IF('св.прот 2ф'!H41="","",IF(AW20="L",0,IF(AW20&gt;AY20,2,1)))</f>
        <v/>
      </c>
      <c r="AX19" s="1240"/>
      <c r="AY19" s="1241"/>
      <c r="AZ19" s="1242" t="str">
        <f t="shared" ref="AZ19" si="6">IF(B19="","",SUM(G19,J19,M19,P19,S19,V19,Y19,AB19,AE19,AH19,AK19,AN19,AQ19,AT19,AW19,D19))</f>
        <v/>
      </c>
      <c r="BA19" s="1243"/>
      <c r="BB19" s="1220"/>
      <c r="BC19" s="1222" t="str">
        <f>IF(B19="","",RANK(AZ19,Ф2Оч)+16)</f>
        <v/>
      </c>
    </row>
    <row r="20" spans="1:55" ht="15.75" customHeight="1" x14ac:dyDescent="0.25">
      <c r="A20" s="1176"/>
      <c r="B20" s="1224"/>
      <c r="C20" s="134" t="str">
        <f>IF(B19="","",VLOOKUP(B19,'Списки участников'!A:H,6,FALSE))</f>
        <v/>
      </c>
      <c r="D20" s="141" t="str">
        <f>IF(Y5="","",AA6)</f>
        <v/>
      </c>
      <c r="E20" s="136" t="str">
        <f>IF(Z6="","",":")</f>
        <v/>
      </c>
      <c r="F20" s="142" t="str">
        <f>IF(AA6="","",Y6)</f>
        <v/>
      </c>
      <c r="G20" s="141" t="str">
        <f>IF(Y7="","",AA8)</f>
        <v/>
      </c>
      <c r="H20" s="136" t="str">
        <f>IF(Z8="","",":")</f>
        <v/>
      </c>
      <c r="I20" s="142" t="str">
        <f>IF(AA8="","",Y8)</f>
        <v/>
      </c>
      <c r="J20" s="141" t="str">
        <f>IF(Y9="","",AA10)</f>
        <v/>
      </c>
      <c r="K20" s="136" t="str">
        <f>IF(Z10="","",":")</f>
        <v/>
      </c>
      <c r="L20" s="142" t="str">
        <f>IF(AA10="","",Y10)</f>
        <v/>
      </c>
      <c r="M20" s="141" t="str">
        <f>IF(Y11="","",AA12)</f>
        <v/>
      </c>
      <c r="N20" s="136" t="str">
        <f>IF(Z12="","",":")</f>
        <v/>
      </c>
      <c r="O20" s="142" t="str">
        <f>IF(AA12="","",Y12)</f>
        <v/>
      </c>
      <c r="P20" s="141" t="str">
        <f>IF(Y13="","",AA14)</f>
        <v/>
      </c>
      <c r="Q20" s="136" t="str">
        <f>IF(Z14="","",":")</f>
        <v/>
      </c>
      <c r="R20" s="142" t="str">
        <f>IF(AA14="","",Y14)</f>
        <v/>
      </c>
      <c r="S20" s="141" t="str">
        <f>IF(Y15="","",AA16)</f>
        <v/>
      </c>
      <c r="T20" s="136" t="str">
        <f>IF(Z16="","",":")</f>
        <v/>
      </c>
      <c r="U20" s="142" t="str">
        <f>IF(AA16="","",Y16)</f>
        <v/>
      </c>
      <c r="V20" s="141" t="str">
        <f>IF(Y17="","",AA18)</f>
        <v/>
      </c>
      <c r="W20" s="136" t="str">
        <f>IF(Z18="","",":")</f>
        <v/>
      </c>
      <c r="X20" s="142" t="str">
        <f>IF(AA18="","",Y18)</f>
        <v/>
      </c>
      <c r="Y20" s="1231"/>
      <c r="Z20" s="1232"/>
      <c r="AA20" s="1233"/>
      <c r="AB20" s="926" t="str">
        <f>IF('св.прот 2ф'!H12="","",IF('св.прот 2ф'!D12='св.прот 2ф'!H12,'св.прот 2ф'!O12,'св.прот 2ф'!P12))</f>
        <v/>
      </c>
      <c r="AC20" s="927" t="str">
        <f>IF(AB19="","",":")</f>
        <v/>
      </c>
      <c r="AD20" s="928" t="str">
        <f>IF('св.прот 2ф'!H12="","",IF('св.прот 2ф'!D12='св.прот 2ф'!H12,'св.прот 2ф'!P12,'св.прот 2ф'!O12))</f>
        <v/>
      </c>
      <c r="AE20" s="926" t="str">
        <f>IF('св.прот 2ф'!H62="","",IF('св.прот 2ф'!D62='св.прот 2ф'!H62,'св.прот 2ф'!O19,'св.прот 2ф'!P62))</f>
        <v/>
      </c>
      <c r="AF20" s="927" t="str">
        <f>IF(AE19="","",":")</f>
        <v/>
      </c>
      <c r="AG20" s="928" t="str">
        <f>IF('св.прот 2ф'!H62="","",IF('св.прот 2ф'!D62='св.прот 2ф'!H62,'св.прот 2ф'!P62,'св.прот 2ф'!O62))</f>
        <v/>
      </c>
      <c r="AH20" s="926" t="str">
        <f>IF('св.прот 2ф'!H123="","",IF('св.прот 2ф'!D123='св.прот 2ф'!H123,'св.прот 2ф'!O123,'св.прот 2ф'!P123))</f>
        <v/>
      </c>
      <c r="AI20" s="927" t="str">
        <f>IF(AH19="","",":")</f>
        <v/>
      </c>
      <c r="AJ20" s="928" t="str">
        <f>IF('св.прот 2ф'!H123="","",IF('св.прот 2ф'!D123='св.прот 2ф'!H123,'св.прот 2ф'!P123,'св.прот 2ф'!O123))</f>
        <v/>
      </c>
      <c r="AK20" s="926" t="str">
        <f>IF('св.прот 2ф'!H55="","",IF('св.прот 2ф'!D55='св.прот 2ф'!H55,'св.прот 2ф'!O55,'св.прот 2ф'!P55))</f>
        <v/>
      </c>
      <c r="AL20" s="927" t="str">
        <f>IF(AK19="","",":")</f>
        <v/>
      </c>
      <c r="AM20" s="928" t="str">
        <f>IF('св.прот 2ф'!H55="","",IF('св.прот 2ф'!D55='св.прот 2ф'!H55,'св.прот 2ф'!P55,'св.прот 2ф'!O55))</f>
        <v/>
      </c>
      <c r="AN20" s="926" t="str">
        <f>IF('св.прот 2ф'!H114="","",IF('св.прот 2ф'!D114='св.прот 2ф'!H114,'св.прот 2ф'!O114,'св.прот 2ф'!P114))</f>
        <v/>
      </c>
      <c r="AO20" s="927" t="str">
        <f>IF(AN19="","",":")</f>
        <v/>
      </c>
      <c r="AP20" s="928" t="str">
        <f>IF('св.прот 2ф'!H114="","",IF('св.прот 2ф'!D114='св.прот 2ф'!H114,'св.прот 2ф'!P114,'св.прот 2ф'!O114))</f>
        <v/>
      </c>
      <c r="AQ20" s="926" t="str">
        <f>IF('св.прот 2ф'!H48="","",IF('св.прот 2ф'!D48='св.прот 2ф'!H48,'св.прот 2ф'!O48,'св.прот 2ф'!P48))</f>
        <v/>
      </c>
      <c r="AR20" s="927" t="str">
        <f>IF(AQ19="","",":")</f>
        <v/>
      </c>
      <c r="AS20" s="928" t="str">
        <f>IF('св.прот 2ф'!H48="","",IF('св.прот 2ф'!D48='св.прот 2ф'!H48,'св.прот 2ф'!P48,'св.прот 2ф'!O48))</f>
        <v/>
      </c>
      <c r="AT20" s="926" t="str">
        <f>IF('св.прот 2ф'!H105="","",IF('св.прот 2ф'!D105='св.прот 2ф'!H105,'св.прот 2ф'!O105,'св.прот 2ф'!P105))</f>
        <v/>
      </c>
      <c r="AU20" s="927" t="str">
        <f>IF(AT19="","",":")</f>
        <v/>
      </c>
      <c r="AV20" s="928" t="str">
        <f>IF('св.прот 2ф'!H105="","",IF('св.прот 2ф'!D105='св.прот 2ф'!H105,'св.прот 2ф'!P105,'св.прот 2ф'!O105))</f>
        <v/>
      </c>
      <c r="AW20" s="926" t="str">
        <f>IF('св.прот 2ф'!H41="","",IF('св.прот 2ф'!D41='св.прот 2ф'!H41,'св.прот 2ф'!O41,'св.прот 2ф'!P41))</f>
        <v/>
      </c>
      <c r="AX20" s="927" t="str">
        <f>IF(AW19="","",":")</f>
        <v/>
      </c>
      <c r="AY20" s="928" t="str">
        <f>IF('св.прот 2ф'!H41="","",IF('св.прот 2ф'!D41='св.прот 2ф'!H41,'св.прот 2ф'!P41,'св.прот 2ф'!O41))</f>
        <v/>
      </c>
      <c r="AZ20" s="1244"/>
      <c r="BA20" s="1245"/>
      <c r="BB20" s="1221"/>
      <c r="BC20" s="1222"/>
    </row>
    <row r="21" spans="1:55" ht="15.75" customHeight="1" x14ac:dyDescent="0.25">
      <c r="A21" s="1175">
        <v>9</v>
      </c>
      <c r="B21" s="1237"/>
      <c r="C21" s="133" t="str">
        <f>IF(B21="","",VLOOKUP(B21,'Списки участников'!A:H,3,FALSE))</f>
        <v/>
      </c>
      <c r="D21" s="1234" t="str">
        <f>IF(AB5="","",IF(AB6="W",0,IF(AB5=2,1,IF(AB5=1,2,IF(AB5=0,2)))))</f>
        <v/>
      </c>
      <c r="E21" s="1235"/>
      <c r="F21" s="1236"/>
      <c r="G21" s="1234" t="str">
        <f>IF(AB7="","",IF(AB8="W",0,IF(AB7=2,1,IF(AB7=1,2,IF(AB7=0,2)))))</f>
        <v/>
      </c>
      <c r="H21" s="1235"/>
      <c r="I21" s="1236"/>
      <c r="J21" s="1234" t="str">
        <f>IF(AB9="","",IF(AB10="W",0,IF(AB9=2,1,IF(AB9=1,2,IF(AB9=0,2)))))</f>
        <v/>
      </c>
      <c r="K21" s="1235"/>
      <c r="L21" s="1236"/>
      <c r="M21" s="1234" t="str">
        <f>IF(AB11="","",IF(AB12="W",0,IF(AB11=2,1,IF(AB11=1,2,IF(AB11=0,2)))))</f>
        <v/>
      </c>
      <c r="N21" s="1235"/>
      <c r="O21" s="1236"/>
      <c r="P21" s="1234" t="str">
        <f>IF(AB13="","",IF(AB14="W",0,IF(AB13=2,1,IF(AB13=1,2,IF(AB13=0,2)))))</f>
        <v/>
      </c>
      <c r="Q21" s="1235"/>
      <c r="R21" s="1236"/>
      <c r="S21" s="1234" t="str">
        <f>IF(AB15="","",IF(AB16="W",0,IF(AB15=2,1,IF(AB15=1,2,IF(AB15=0,2)))))</f>
        <v/>
      </c>
      <c r="T21" s="1235"/>
      <c r="U21" s="1236"/>
      <c r="V21" s="1234" t="str">
        <f>IF(AB17="","",IF(AB18="W",0,IF(AB17=2,1,IF(AB17=1,2,IF(AB17=0,2)))))</f>
        <v/>
      </c>
      <c r="W21" s="1235"/>
      <c r="X21" s="1236"/>
      <c r="Y21" s="1234" t="str">
        <f>IF(AB19="","",IF(AB20="W",0,IF(AB19=2,1,IF(AB19=1,2,IF(AB19=0,2)))))</f>
        <v/>
      </c>
      <c r="Z21" s="1235"/>
      <c r="AA21" s="1236"/>
      <c r="AB21" s="1249"/>
      <c r="AC21" s="1246"/>
      <c r="AD21" s="1247"/>
      <c r="AE21" s="1239" t="str">
        <f>IF('св.прот 2ф'!H124="","",IF(AE22="L",0,IF(AE22&gt;AG22,2,1)))</f>
        <v/>
      </c>
      <c r="AF21" s="1240"/>
      <c r="AG21" s="1241"/>
      <c r="AH21" s="1239" t="str">
        <f>IF('св.прот 2ф'!H54="","",IF(AH22="L",0,IF(AH22&gt;AJ22,2,1)))</f>
        <v/>
      </c>
      <c r="AI21" s="1240"/>
      <c r="AJ21" s="1241"/>
      <c r="AK21" s="1239" t="str">
        <f>IF('св.прот 2ф'!H115="","",IF(AK22="L",0,IF(AK22&gt;AM22,2,1)))</f>
        <v/>
      </c>
      <c r="AL21" s="1240"/>
      <c r="AM21" s="1241"/>
      <c r="AN21" s="1239" t="str">
        <f>IF('св.прот 2ф'!H47="","",IF(AN22="L",0,IF(AN22&gt;AP22,2,1)))</f>
        <v/>
      </c>
      <c r="AO21" s="1240"/>
      <c r="AP21" s="1241"/>
      <c r="AQ21" s="1239" t="str">
        <f>IF('св.прот 2ф'!H106="","",IF(AQ22="L",0,IF(AQ22&gt;AS22,2,1)))</f>
        <v/>
      </c>
      <c r="AR21" s="1240"/>
      <c r="AS21" s="1241"/>
      <c r="AT21" s="1239" t="str">
        <f>IF('св.прот 2ф'!H40="","",IF(AT22="L",0,IF(AT22&gt;AV22,2,1)))</f>
        <v/>
      </c>
      <c r="AU21" s="1240"/>
      <c r="AV21" s="1241"/>
      <c r="AW21" s="1239" t="str">
        <f>IF('св.прот 2ф'!H97="","",IF(AW22="L",0,IF(AW22&gt;AY22,2,1)))</f>
        <v/>
      </c>
      <c r="AX21" s="1240"/>
      <c r="AY21" s="1241"/>
      <c r="AZ21" s="1242" t="str">
        <f t="shared" ref="AZ21" si="7">IF(B21="","",SUM(G21,J21,M21,P21,S21,V21,Y21,AB21,AE21,AH21,AK21,AN21,AQ21,AT21,AW21,D21))</f>
        <v/>
      </c>
      <c r="BA21" s="1243"/>
      <c r="BB21" s="1220"/>
      <c r="BC21" s="1222" t="str">
        <f>IF(B21="","",RANK(AZ21,Ф2Оч)+16)</f>
        <v/>
      </c>
    </row>
    <row r="22" spans="1:55" ht="15.75" customHeight="1" x14ac:dyDescent="0.25">
      <c r="A22" s="1176"/>
      <c r="B22" s="1238"/>
      <c r="C22" s="134" t="str">
        <f>IF(B21="","",VLOOKUP(B21,'Списки участников'!A:H,6,FALSE))</f>
        <v/>
      </c>
      <c r="D22" s="141" t="str">
        <f>IF(AB5="","",AD6)</f>
        <v/>
      </c>
      <c r="E22" s="136" t="str">
        <f>IF(AC6="","",":")</f>
        <v/>
      </c>
      <c r="F22" s="142" t="str">
        <f>IF(AD6="","",AB6)</f>
        <v/>
      </c>
      <c r="G22" s="141" t="str">
        <f>IF(AB7="","",AD8)</f>
        <v/>
      </c>
      <c r="H22" s="136" t="str">
        <f>IF(AC8="","",":")</f>
        <v/>
      </c>
      <c r="I22" s="142" t="str">
        <f>IF(AD8="","",AB8)</f>
        <v/>
      </c>
      <c r="J22" s="141" t="str">
        <f>IF(AB9="","",AD10)</f>
        <v/>
      </c>
      <c r="K22" s="136" t="str">
        <f>IF(AC10="","",":")</f>
        <v/>
      </c>
      <c r="L22" s="142" t="str">
        <f>IF(AD10="","",AB10)</f>
        <v/>
      </c>
      <c r="M22" s="141" t="str">
        <f>IF(AB11="","",AD12)</f>
        <v/>
      </c>
      <c r="N22" s="136" t="str">
        <f>IF(AC12="","",":")</f>
        <v/>
      </c>
      <c r="O22" s="142" t="str">
        <f>IF(AD12="","",AB12)</f>
        <v/>
      </c>
      <c r="P22" s="141" t="str">
        <f>IF(AB13="","",AD14)</f>
        <v/>
      </c>
      <c r="Q22" s="136" t="str">
        <f>IF(AC14="","",":")</f>
        <v/>
      </c>
      <c r="R22" s="142" t="str">
        <f>IF(AD14="","",AB14)</f>
        <v/>
      </c>
      <c r="S22" s="141" t="str">
        <f>IF(AB15="","",AD16)</f>
        <v/>
      </c>
      <c r="T22" s="136" t="str">
        <f>IF(AC16="","",":")</f>
        <v/>
      </c>
      <c r="U22" s="142" t="str">
        <f>IF(AD16="","",AB16)</f>
        <v/>
      </c>
      <c r="V22" s="141" t="str">
        <f>IF(AB17="","",AD18)</f>
        <v/>
      </c>
      <c r="W22" s="136" t="str">
        <f>IF(AC18="","",":")</f>
        <v/>
      </c>
      <c r="X22" s="142" t="str">
        <f>IF(AD18="","",AB18)</f>
        <v/>
      </c>
      <c r="Y22" s="141" t="str">
        <f>IF(AB19="","",AD20)</f>
        <v/>
      </c>
      <c r="Z22" s="136" t="str">
        <f>IF(AC20="","",":")</f>
        <v/>
      </c>
      <c r="AA22" s="142" t="str">
        <f>IF(AD20="","",AB20)</f>
        <v/>
      </c>
      <c r="AB22" s="1231"/>
      <c r="AC22" s="1232"/>
      <c r="AD22" s="1233"/>
      <c r="AE22" s="926" t="str">
        <f>IF('св.прот 2ф'!H124="","",IF('св.прот 2ф'!D124='св.прот 2ф'!H124,'св.прот 2ф'!O21,'св.прот 2ф'!P124))</f>
        <v/>
      </c>
      <c r="AF22" s="927" t="str">
        <f>IF(AE21="","",":")</f>
        <v/>
      </c>
      <c r="AG22" s="928" t="str">
        <f>IF('св.прот 2ф'!H124="","",IF('св.прот 2ф'!D124='св.прот 2ф'!H124,'св.прот 2ф'!P124,'св.прот 2ф'!O124))</f>
        <v/>
      </c>
      <c r="AH22" s="926" t="str">
        <f>IF('св.прот 2ф'!H54="","",IF('св.прот 2ф'!D54='св.прот 2ф'!H54,'св.прот 2ф'!O54,'св.прот 2ф'!P54))</f>
        <v/>
      </c>
      <c r="AI22" s="927" t="str">
        <f>IF(AH21="","",":")</f>
        <v/>
      </c>
      <c r="AJ22" s="928" t="str">
        <f>IF('св.прот 2ф'!H54="","",IF('св.прот 2ф'!D54='св.прот 2ф'!H54,'св.прот 2ф'!P54,'св.прот 2ф'!O54))</f>
        <v/>
      </c>
      <c r="AK22" s="926" t="str">
        <f>IF('св.прот 2ф'!H115="","",IF('св.прот 2ф'!D115='св.прот 2ф'!H115,'св.прот 2ф'!O115,'св.прот 2ф'!P115))</f>
        <v/>
      </c>
      <c r="AL22" s="927" t="str">
        <f>IF(AK21="","",":")</f>
        <v/>
      </c>
      <c r="AM22" s="928" t="str">
        <f>IF('св.прот 2ф'!H115="","",IF('св.прот 2ф'!D115='св.прот 2ф'!H115,'св.прот 2ф'!P115,'св.прот 2ф'!O115))</f>
        <v/>
      </c>
      <c r="AN22" s="926" t="str">
        <f>IF('св.прот 2ф'!H47="","",IF('св.прот 2ф'!D47='св.прот 2ф'!H47,'св.прот 2ф'!O47,'св.прот 2ф'!P47))</f>
        <v/>
      </c>
      <c r="AO22" s="927" t="str">
        <f>IF(AN21="","",":")</f>
        <v/>
      </c>
      <c r="AP22" s="928" t="str">
        <f>IF('св.прот 2ф'!H47="","",IF('св.прот 2ф'!D47='св.прот 2ф'!H47,'св.прот 2ф'!P47,'св.прот 2ф'!O47))</f>
        <v/>
      </c>
      <c r="AQ22" s="926" t="str">
        <f>IF('св.прот 2ф'!H106="","",IF('св.прот 2ф'!D106='св.прот 2ф'!H106,'св.прот 2ф'!O106,'св.прот 2ф'!P106))</f>
        <v/>
      </c>
      <c r="AR22" s="927" t="str">
        <f>IF(AQ21="","",":")</f>
        <v/>
      </c>
      <c r="AS22" s="928" t="str">
        <f>IF('св.прот 2ф'!H106="","",IF('св.прот 2ф'!D106='св.прот 2ф'!H106,'св.прот 2ф'!P106,'св.прот 2ф'!O106))</f>
        <v/>
      </c>
      <c r="AT22" s="926" t="str">
        <f>IF('св.прот 2ф'!H40="","",IF('св.прот 2ф'!D40='св.прот 2ф'!H40,'св.прот 2ф'!O40,'св.прот 2ф'!P40))</f>
        <v/>
      </c>
      <c r="AU22" s="927" t="str">
        <f>IF(AT21="","",":")</f>
        <v/>
      </c>
      <c r="AV22" s="928" t="str">
        <f>IF('св.прот 2ф'!H40="","",IF('св.прот 2ф'!D40='св.прот 2ф'!H40,'св.прот 2ф'!P40,'св.прот 2ф'!O40))</f>
        <v/>
      </c>
      <c r="AW22" s="926" t="str">
        <f>IF('св.прот 2ф'!H97="","",IF('св.прот 2ф'!D97='св.прот 2ф'!H97,'св.прот 2ф'!O97,'св.прот 2ф'!P97))</f>
        <v/>
      </c>
      <c r="AX22" s="927" t="str">
        <f>IF(AW21="","",":")</f>
        <v/>
      </c>
      <c r="AY22" s="928" t="str">
        <f>IF('св.прот 2ф'!H97="","",IF('св.прот 2ф'!D97='св.прот 2ф'!H97,'св.прот 2ф'!P97,'св.прот 2ф'!O97))</f>
        <v/>
      </c>
      <c r="AZ22" s="1244"/>
      <c r="BA22" s="1245"/>
      <c r="BB22" s="1221"/>
      <c r="BC22" s="1222"/>
    </row>
    <row r="23" spans="1:55" ht="15.75" customHeight="1" x14ac:dyDescent="0.25">
      <c r="A23" s="1175">
        <v>10</v>
      </c>
      <c r="B23" s="1223"/>
      <c r="C23" s="133" t="str">
        <f>IF(B23="","",VLOOKUP(B23,'Списки участников'!A:H,3,FALSE))</f>
        <v/>
      </c>
      <c r="D23" s="1234" t="str">
        <f>IF(AE5="","",IF(AE6="W",0,IF(AE5=2,1,IF(AE5=1,2,IF(AE5=0,2)))))</f>
        <v/>
      </c>
      <c r="E23" s="1235"/>
      <c r="F23" s="1236"/>
      <c r="G23" s="1234" t="str">
        <f>IF(AE7="","",IF(AE8="W",0,IF(AE7=2,1,IF(AE7=1,2,IF(AE7=0,2)))))</f>
        <v/>
      </c>
      <c r="H23" s="1235"/>
      <c r="I23" s="1236"/>
      <c r="J23" s="1234" t="str">
        <f>IF(AE9="","",IF(AE10="W",0,IF(AE9=2,1,IF(AE9=1,2,IF(AE9=0,2)))))</f>
        <v/>
      </c>
      <c r="K23" s="1235"/>
      <c r="L23" s="1236"/>
      <c r="M23" s="1234" t="str">
        <f>IF(AE11="","",IF(AE12="W",0,IF(AE11=2,1,IF(AE11=1,2,IF(AE11=0,2)))))</f>
        <v/>
      </c>
      <c r="N23" s="1235"/>
      <c r="O23" s="1236"/>
      <c r="P23" s="1234" t="str">
        <f>IF(AE13="","",IF(AE14="W",0,IF(AE13=2,1,IF(AE13=1,2,IF(AE13=0,2)))))</f>
        <v/>
      </c>
      <c r="Q23" s="1235"/>
      <c r="R23" s="1236"/>
      <c r="S23" s="1234" t="str">
        <f>IF(AE15="","",IF(AE16="W",0,IF(AE15=2,1,IF(AE15=1,2,IF(AE15=0,2)))))</f>
        <v/>
      </c>
      <c r="T23" s="1235"/>
      <c r="U23" s="1236"/>
      <c r="V23" s="1234" t="str">
        <f>IF(AE17="","",IF(AE18="W",0,IF(AE17=2,1,IF(AE17=1,2,IF(AE17=0,2)))))</f>
        <v/>
      </c>
      <c r="W23" s="1235"/>
      <c r="X23" s="1236"/>
      <c r="Y23" s="1234" t="str">
        <f>IF(AE19="","",IF(AE20="W",0,IF(AE19=2,1,IF(AE19=1,2,IF(AE19=0,2)))))</f>
        <v/>
      </c>
      <c r="Z23" s="1235"/>
      <c r="AA23" s="1236"/>
      <c r="AB23" s="1234" t="str">
        <f>IF(AE21="","",IF(AE22="W",0,IF(AE21=2,1,IF(AE21=1,2,IF(AE21=0,2)))))</f>
        <v/>
      </c>
      <c r="AC23" s="1235"/>
      <c r="AD23" s="1236"/>
      <c r="AE23" s="1228"/>
      <c r="AF23" s="1229"/>
      <c r="AG23" s="1230"/>
      <c r="AH23" s="1239" t="str">
        <f>IF('св.прот 2ф'!H116="","",IF(AH24="L",0,IF(AH24&gt;AJ24,2,1)))</f>
        <v/>
      </c>
      <c r="AI23" s="1240"/>
      <c r="AJ23" s="1241"/>
      <c r="AK23" s="1239" t="str">
        <f>IF('св.прот 2ф'!H46="","",IF(AK24="L",0,IF(AK24&gt;AM24,2,1)))</f>
        <v/>
      </c>
      <c r="AL23" s="1240"/>
      <c r="AM23" s="1241"/>
      <c r="AN23" s="1239" t="str">
        <f>IF('св.прот 2ф'!H107="","",IF(AN24="L",0,IF(AN24&gt;AP24,2,1)))</f>
        <v/>
      </c>
      <c r="AO23" s="1240"/>
      <c r="AP23" s="1241"/>
      <c r="AQ23" s="1239" t="str">
        <f>IF('св.прот 2ф'!H39="","",IF(AQ24="L",0,IF(AQ24&gt;AS24,2,1)))</f>
        <v/>
      </c>
      <c r="AR23" s="1240"/>
      <c r="AS23" s="1241"/>
      <c r="AT23" s="1239" t="str">
        <f>IF('св.прот 2ф'!H98="","",IF(AT24="L",0,IF(AT24&gt;AV24,2,1)))</f>
        <v/>
      </c>
      <c r="AU23" s="1240"/>
      <c r="AV23" s="1241"/>
      <c r="AW23" s="1239" t="str">
        <f>IF('св.прот 2ф'!H32="","",IF(AW24="L",0,IF(AW24&gt;AY24,2,1)))</f>
        <v/>
      </c>
      <c r="AX23" s="1240"/>
      <c r="AY23" s="1241"/>
      <c r="AZ23" s="1242" t="str">
        <f t="shared" ref="AZ23" si="8">IF(B23="","",SUM(G23,J23,M23,P23,S23,V23,Y23,AB23,AE23,AH23,AK23,AN23,AQ23,AT23,AW23,D23))</f>
        <v/>
      </c>
      <c r="BA23" s="1243"/>
      <c r="BB23" s="1220"/>
      <c r="BC23" s="1222" t="str">
        <f>IF(B23="","",RANK(AZ23,Ф2Оч)+16)</f>
        <v/>
      </c>
    </row>
    <row r="24" spans="1:55" ht="15.75" customHeight="1" x14ac:dyDescent="0.25">
      <c r="A24" s="1176"/>
      <c r="B24" s="1224"/>
      <c r="C24" s="134" t="str">
        <f>IF(B23="","",VLOOKUP(B23,'Списки участников'!A:H,6,FALSE))</f>
        <v/>
      </c>
      <c r="D24" s="141" t="str">
        <f>IF(AE5="","",AG6)</f>
        <v/>
      </c>
      <c r="E24" s="136" t="str">
        <f>IF(AF6="","",":")</f>
        <v/>
      </c>
      <c r="F24" s="142" t="str">
        <f>IF(AG6="","",AE6)</f>
        <v/>
      </c>
      <c r="G24" s="141" t="str">
        <f>IF(AE7="","",AG8)</f>
        <v/>
      </c>
      <c r="H24" s="136" t="str">
        <f>IF(AF8="","",":")</f>
        <v/>
      </c>
      <c r="I24" s="142" t="str">
        <f>IF(AG8="","",AE8)</f>
        <v/>
      </c>
      <c r="J24" s="141" t="str">
        <f>IF(AE9="","",AG10)</f>
        <v/>
      </c>
      <c r="K24" s="136" t="str">
        <f>IF(AF10="","",":")</f>
        <v/>
      </c>
      <c r="L24" s="142" t="str">
        <f>IF(AG10="","",AE10)</f>
        <v/>
      </c>
      <c r="M24" s="141" t="str">
        <f>IF(AE11="","",AG12)</f>
        <v/>
      </c>
      <c r="N24" s="136" t="str">
        <f>IF(AF12="","",":")</f>
        <v/>
      </c>
      <c r="O24" s="142" t="str">
        <f>IF(AG12="","",AE12)</f>
        <v/>
      </c>
      <c r="P24" s="141" t="str">
        <f>IF(AE13="","",AG14)</f>
        <v/>
      </c>
      <c r="Q24" s="136" t="str">
        <f>IF(AF14="","",":")</f>
        <v/>
      </c>
      <c r="R24" s="142" t="str">
        <f>IF(AG14="","",AE14)</f>
        <v/>
      </c>
      <c r="S24" s="141" t="str">
        <f>IF(AE15="","",AG16)</f>
        <v/>
      </c>
      <c r="T24" s="136" t="str">
        <f>IF(AF16="","",":")</f>
        <v/>
      </c>
      <c r="U24" s="142" t="str">
        <f>IF(AG16="","",AE16)</f>
        <v/>
      </c>
      <c r="V24" s="141" t="str">
        <f>IF(AE17="","",AG18)</f>
        <v/>
      </c>
      <c r="W24" s="136" t="str">
        <f>IF(AF18="","",":")</f>
        <v/>
      </c>
      <c r="X24" s="142" t="str">
        <f>IF(AG18="","",AE18)</f>
        <v/>
      </c>
      <c r="Y24" s="141" t="str">
        <f>IF(AE19="","",AG20)</f>
        <v/>
      </c>
      <c r="Z24" s="136" t="str">
        <f>IF(AF20="","",":")</f>
        <v/>
      </c>
      <c r="AA24" s="142" t="str">
        <f>IF(AG20="","",AE20)</f>
        <v/>
      </c>
      <c r="AB24" s="141" t="str">
        <f>IF(AE21="","",AG22)</f>
        <v/>
      </c>
      <c r="AC24" s="136" t="str">
        <f>IF(AE21="","",":")</f>
        <v/>
      </c>
      <c r="AD24" s="142" t="str">
        <f>IF(AG22="","",AE22)</f>
        <v/>
      </c>
      <c r="AE24" s="1231"/>
      <c r="AF24" s="1232"/>
      <c r="AG24" s="1233"/>
      <c r="AH24" s="926" t="str">
        <f>IF('св.прот 2ф'!H116="","",IF('св.прот 2ф'!D116='св.прот 2ф'!H116,'св.прот 2ф'!O116,'св.прот 2ф'!P116))</f>
        <v/>
      </c>
      <c r="AI24" s="927" t="str">
        <f>IF(AH23="","",":")</f>
        <v/>
      </c>
      <c r="AJ24" s="928" t="str">
        <f>IF('св.прот 2ф'!H116="","",IF('св.прот 2ф'!D116='св.прот 2ф'!H116,'св.прот 2ф'!P116,'св.прот 2ф'!O116))</f>
        <v/>
      </c>
      <c r="AK24" s="926" t="str">
        <f>IF('св.прот 2ф'!H46="","",IF('св.прот 2ф'!D46='св.прот 2ф'!H46,'св.прот 2ф'!O46,'св.прот 2ф'!P46))</f>
        <v/>
      </c>
      <c r="AL24" s="927" t="str">
        <f>IF(AK23="","",":")</f>
        <v/>
      </c>
      <c r="AM24" s="928" t="str">
        <f>IF('св.прот 2ф'!H46="","",IF('св.прот 2ф'!D46='св.прот 2ф'!H46,'св.прот 2ф'!P46,'св.прот 2ф'!O46))</f>
        <v/>
      </c>
      <c r="AN24" s="926" t="str">
        <f>IF('св.прот 2ф'!H107="","",IF('св.прот 2ф'!D107='св.прот 2ф'!H107,'св.прот 2ф'!O107,'св.прот 2ф'!P107))</f>
        <v/>
      </c>
      <c r="AO24" s="927" t="str">
        <f>IF(AN23="","",":")</f>
        <v/>
      </c>
      <c r="AP24" s="928" t="str">
        <f>IF('св.прот 2ф'!H107="","",IF('св.прот 2ф'!D107='св.прот 2ф'!H107,'св.прот 2ф'!P107,'св.прот 2ф'!O107))</f>
        <v/>
      </c>
      <c r="AQ24" s="926" t="str">
        <f>IF('св.прот 2ф'!H39="","",IF('св.прот 2ф'!D39='св.прот 2ф'!H39,'св.прот 2ф'!O39,'св.прот 2ф'!P39))</f>
        <v/>
      </c>
      <c r="AR24" s="927" t="str">
        <f>IF(AQ23="","",":")</f>
        <v/>
      </c>
      <c r="AS24" s="928" t="str">
        <f>IF('св.прот 2ф'!H39="","",IF('св.прот 2ф'!D39='св.прот 2ф'!H39,'св.прот 2ф'!P39,'св.прот 2ф'!O39))</f>
        <v/>
      </c>
      <c r="AT24" s="926" t="str">
        <f>IF('св.прот 2ф'!H98="","",IF('св.прот 2ф'!D98='св.прот 2ф'!H98,'св.прот 2ф'!O98,'св.прот 2ф'!P98))</f>
        <v/>
      </c>
      <c r="AU24" s="927" t="str">
        <f>IF(AT23="","",":")</f>
        <v/>
      </c>
      <c r="AV24" s="928" t="str">
        <f>IF('св.прот 2ф'!H98="","",IF('св.прот 2ф'!D98='св.прот 2ф'!H98,'св.прот 2ф'!P98,'св.прот 2ф'!O98))</f>
        <v/>
      </c>
      <c r="AW24" s="926" t="str">
        <f>IF('св.прот 2ф'!H32="","",IF('св.прот 2ф'!D32='св.прот 2ф'!H32,'св.прот 2ф'!O32,'св.прот 2ф'!P32))</f>
        <v/>
      </c>
      <c r="AX24" s="927" t="str">
        <f>IF(AW23="","",":")</f>
        <v/>
      </c>
      <c r="AY24" s="928" t="str">
        <f>IF('св.прот 2ф'!H32="","",IF('св.прот 2ф'!D32='св.прот 2ф'!H32,'св.прот 2ф'!P32,'св.прот 2ф'!O32))</f>
        <v/>
      </c>
      <c r="AZ24" s="1244"/>
      <c r="BA24" s="1245"/>
      <c r="BB24" s="1221"/>
      <c r="BC24" s="1222"/>
    </row>
    <row r="25" spans="1:55" ht="15.75" customHeight="1" x14ac:dyDescent="0.25">
      <c r="A25" s="1175">
        <v>11</v>
      </c>
      <c r="B25" s="1237"/>
      <c r="C25" s="133" t="str">
        <f>IF(B25="","",VLOOKUP(B25,'Списки участников'!A:H,3,FALSE))</f>
        <v/>
      </c>
      <c r="D25" s="1234" t="str">
        <f>IF(AH5="","",IF(AH6="W",0,IF(AH5=2,1,IF(AH5=1,2,IF(AH5=0,2)))))</f>
        <v/>
      </c>
      <c r="E25" s="1235"/>
      <c r="F25" s="1236"/>
      <c r="G25" s="1234" t="str">
        <f>IF(AH7="","",IF(AH8="W",0,IF(AH7=2,1,IF(AH7=1,2,IF(AH7=0,2)))))</f>
        <v/>
      </c>
      <c r="H25" s="1235"/>
      <c r="I25" s="1236"/>
      <c r="J25" s="1234" t="str">
        <f>IF(AH9="","",IF(AH10="W",0,IF(AH9=2,1,IF(AH9=1,2,IF(AH9=0,2)))))</f>
        <v/>
      </c>
      <c r="K25" s="1235"/>
      <c r="L25" s="1236"/>
      <c r="M25" s="1234" t="str">
        <f>IF(AH11="","",IF(AH12="W",0,IF(AH11=2,1,IF(AH11=1,2,IF(AH11=0,2)))))</f>
        <v/>
      </c>
      <c r="N25" s="1235"/>
      <c r="O25" s="1236"/>
      <c r="P25" s="1234" t="str">
        <f>IF(AH13="","",IF(AH14="W",0,IF(AH13=2,1,IF(AH13=1,2,IF(AH13=0,2)))))</f>
        <v/>
      </c>
      <c r="Q25" s="1235"/>
      <c r="R25" s="1236"/>
      <c r="S25" s="1234" t="str">
        <f>IF(AH15="","",IF(AH16="W",0,IF(AH15=2,1,IF(AH15=1,2,IF(AH15=0,2)))))</f>
        <v/>
      </c>
      <c r="T25" s="1235"/>
      <c r="U25" s="1236"/>
      <c r="V25" s="1234" t="str">
        <f>IF(AH17="","",IF(AH18="W",0,IF(AH17=2,1,IF(AH17=1,2,IF(AH17=0,2)))))</f>
        <v/>
      </c>
      <c r="W25" s="1235"/>
      <c r="X25" s="1236"/>
      <c r="Y25" s="1234" t="str">
        <f>IF(AH19="","",IF(AH20="W",0,IF(AH19=2,1,IF(AH19=1,2,IF(AH19=0,2)))))</f>
        <v/>
      </c>
      <c r="Z25" s="1235"/>
      <c r="AA25" s="1236"/>
      <c r="AB25" s="1234" t="str">
        <f>IF(AH21="","",IF(AH22="W",0,IF(AH21=2,1,IF(AH21=1,2,IF(AH21=0,2)))))</f>
        <v/>
      </c>
      <c r="AC25" s="1235"/>
      <c r="AD25" s="1236"/>
      <c r="AE25" s="1234" t="str">
        <f>IF(AH23="","",IF(AH24="W",0,IF(AH23=2,1,IF(AH23=1,2,IF(AH23=0,2)))))</f>
        <v/>
      </c>
      <c r="AF25" s="1235"/>
      <c r="AG25" s="1236"/>
      <c r="AH25" s="1228"/>
      <c r="AI25" s="1229"/>
      <c r="AJ25" s="1230"/>
      <c r="AK25" s="1239" t="str">
        <f>IF('св.прот 2ф'!H108="","",IF(AK26="L",0,IF(AK26&gt;AM26,2,1)))</f>
        <v/>
      </c>
      <c r="AL25" s="1240"/>
      <c r="AM25" s="1241"/>
      <c r="AN25" s="1239" t="str">
        <f>IF('св.прот 2ф'!H37="","",IF(AN26="L",0,IF(AN26&gt;AP26,2,1)))</f>
        <v/>
      </c>
      <c r="AO25" s="1240"/>
      <c r="AP25" s="1241"/>
      <c r="AQ25" s="1239" t="str">
        <f>IF('св.прот 2ф'!H99="","",IF(AQ26="L",0,IF(AQ26&gt;AS26,2,1)))</f>
        <v/>
      </c>
      <c r="AR25" s="1240"/>
      <c r="AS25" s="1241"/>
      <c r="AT25" s="1239" t="str">
        <f>IF('св.прот 2ф'!H31="","",IF(AT26="L",0,IF(AT26&gt;AV26,2,1)))</f>
        <v/>
      </c>
      <c r="AU25" s="1240"/>
      <c r="AV25" s="1241"/>
      <c r="AW25" s="1239" t="str">
        <f>IF('св.прот 2ф'!H90="","",IF(AW26="L",0,IF(AW26&gt;AY26,2,1)))</f>
        <v/>
      </c>
      <c r="AX25" s="1240"/>
      <c r="AY25" s="1241"/>
      <c r="AZ25" s="1242" t="str">
        <f t="shared" ref="AZ25" si="9">IF(B25="","",SUM(G25,J25,M25,P25,S25,V25,Y25,AB25,AE25,AH25,AK25,AN25,AQ25,AT25,AW25,D25))</f>
        <v/>
      </c>
      <c r="BA25" s="1243"/>
      <c r="BB25" s="1220"/>
      <c r="BC25" s="1222" t="str">
        <f>IF(B25="","",RANK(AZ25,Ф2Оч)+16)</f>
        <v/>
      </c>
    </row>
    <row r="26" spans="1:55" ht="15.75" customHeight="1" x14ac:dyDescent="0.25">
      <c r="A26" s="1176"/>
      <c r="B26" s="1238"/>
      <c r="C26" s="134" t="str">
        <f>IF(B25="","",VLOOKUP(B25,'Списки участников'!A:H,6,FALSE))</f>
        <v/>
      </c>
      <c r="D26" s="141" t="str">
        <f>IF(AH5="","",AJ6)</f>
        <v/>
      </c>
      <c r="E26" s="136" t="str">
        <f>IF(AI6="","",":")</f>
        <v/>
      </c>
      <c r="F26" s="142" t="str">
        <f>IF(AJ6="","",AH6)</f>
        <v/>
      </c>
      <c r="G26" s="141" t="str">
        <f>IF(AH7="","",AJ8)</f>
        <v/>
      </c>
      <c r="H26" s="136" t="str">
        <f>IF(AI8="","",":")</f>
        <v/>
      </c>
      <c r="I26" s="142" t="str">
        <f>IF(AJ8="","",AH8)</f>
        <v/>
      </c>
      <c r="J26" s="141" t="str">
        <f>IF(AH9="","",AJ10)</f>
        <v/>
      </c>
      <c r="K26" s="136" t="str">
        <f>IF(AI10="","",":")</f>
        <v/>
      </c>
      <c r="L26" s="142" t="str">
        <f>IF(AJ10="","",AH10)</f>
        <v/>
      </c>
      <c r="M26" s="141" t="str">
        <f>IF(AH11="","",AJ12)</f>
        <v/>
      </c>
      <c r="N26" s="136" t="str">
        <f>IF(AI12="","",":")</f>
        <v/>
      </c>
      <c r="O26" s="142" t="str">
        <f>IF(AJ12="","",AH12)</f>
        <v/>
      </c>
      <c r="P26" s="141" t="str">
        <f>IF(AH13="","",AJ14)</f>
        <v/>
      </c>
      <c r="Q26" s="136" t="str">
        <f>IF(AI14="","",":")</f>
        <v/>
      </c>
      <c r="R26" s="142" t="str">
        <f>IF(AJ14="","",AH14)</f>
        <v/>
      </c>
      <c r="S26" s="141" t="str">
        <f>IF(AH15="","",AJ16)</f>
        <v/>
      </c>
      <c r="T26" s="136" t="str">
        <f>IF(AI16="","",":")</f>
        <v/>
      </c>
      <c r="U26" s="142" t="str">
        <f>IF(AJ16="","",AH16)</f>
        <v/>
      </c>
      <c r="V26" s="141" t="str">
        <f>IF(AH17="","",AJ18)</f>
        <v/>
      </c>
      <c r="W26" s="136" t="str">
        <f>IF(AI18="","",":")</f>
        <v/>
      </c>
      <c r="X26" s="142" t="str">
        <f>IF(AJ18="","",AH18)</f>
        <v/>
      </c>
      <c r="Y26" s="141" t="str">
        <f>IF(AH19="","",AJ20)</f>
        <v/>
      </c>
      <c r="Z26" s="136" t="str">
        <f>IF(AI20="","",":")</f>
        <v/>
      </c>
      <c r="AA26" s="142" t="str">
        <f>IF(AJ20="","",AH20)</f>
        <v/>
      </c>
      <c r="AB26" s="141" t="str">
        <f>IF(AH21="","",AJ22)</f>
        <v/>
      </c>
      <c r="AC26" s="136" t="str">
        <f>IF(AI22="","",":")</f>
        <v/>
      </c>
      <c r="AD26" s="142" t="str">
        <f>IF(AJ22="","",AH22)</f>
        <v/>
      </c>
      <c r="AE26" s="141" t="str">
        <f>IF(AH23="","",AJ24)</f>
        <v/>
      </c>
      <c r="AF26" s="136" t="str">
        <f>IF(AI24="","",":")</f>
        <v/>
      </c>
      <c r="AG26" s="142" t="str">
        <f>IF(AJ24="","",AH24)</f>
        <v/>
      </c>
      <c r="AH26" s="1231"/>
      <c r="AI26" s="1232"/>
      <c r="AJ26" s="1233"/>
      <c r="AK26" s="926" t="str">
        <f>IF('св.прот 2ф'!H108="","",IF('св.прот 2ф'!D108='св.прот 2ф'!H108,'св.прот 2ф'!O108,'св.прот 2ф'!P108))</f>
        <v/>
      </c>
      <c r="AL26" s="927" t="str">
        <f>IF(AK25="","",":")</f>
        <v/>
      </c>
      <c r="AM26" s="928" t="str">
        <f>IF('св.прот 2ф'!H108="","",IF('св.прот 2ф'!D108='св.прот 2ф'!H108,'св.прот 2ф'!P108,'св.прот 2ф'!O108))</f>
        <v/>
      </c>
      <c r="AN26" s="926" t="str">
        <f>IF('св.прот 2ф'!H38="","",IF('св.прот 2ф'!D38='св.прот 2ф'!H38,'св.прот 2ф'!O38,'св.прот 2ф'!P38))</f>
        <v/>
      </c>
      <c r="AO26" s="927" t="str">
        <f>IF(AN25="","",":")</f>
        <v/>
      </c>
      <c r="AP26" s="928" t="str">
        <f>IF('св.прот 2ф'!H38="","",IF('св.прот 2ф'!D38='св.прот 2ф'!H38,'св.прот 2ф'!P38,'св.прот 2ф'!O38))</f>
        <v/>
      </c>
      <c r="AQ26" s="926" t="str">
        <f>IF('св.прот 2ф'!H99="","",IF('св.прот 2ф'!D99='св.прот 2ф'!H99,'св.прот 2ф'!O99,'св.прот 2ф'!P99))</f>
        <v/>
      </c>
      <c r="AR26" s="927" t="str">
        <f>IF(AQ25="","",":")</f>
        <v/>
      </c>
      <c r="AS26" s="928" t="str">
        <f>IF('св.прот 2ф'!H99="","",IF('св.прот 2ф'!D99='св.прот 2ф'!H99,'св.прот 2ф'!P99,'св.прот 2ф'!O99))</f>
        <v/>
      </c>
      <c r="AT26" s="926" t="str">
        <f>IF('св.прот 2ф'!H31="","",IF('св.прот 2ф'!D31='св.прот 2ф'!H31,'св.прот 2ф'!O31,'св.прот 2ф'!P31))</f>
        <v/>
      </c>
      <c r="AU26" s="927" t="str">
        <f>IF(AT25="","",":")</f>
        <v/>
      </c>
      <c r="AV26" s="928" t="str">
        <f>IF('св.прот 2ф'!H31="","",IF('св.прот 2ф'!D31='св.прот 2ф'!H31,'св.прот 2ф'!P31,'св.прот 2ф'!O31))</f>
        <v/>
      </c>
      <c r="AW26" s="926" t="str">
        <f>IF('св.прот 2ф'!H90="","",IF('св.прот 2ф'!D90='св.прот 2ф'!H90,'св.прот 2ф'!O90,'св.прот 2ф'!P90))</f>
        <v/>
      </c>
      <c r="AX26" s="927" t="str">
        <f>IF(AW25="","",":")</f>
        <v/>
      </c>
      <c r="AY26" s="928" t="str">
        <f>IF('св.прот 2ф'!H90="","",IF('св.прот 2ф'!D90='св.прот 2ф'!H90,'св.прот 2ф'!P90,'св.прот 2ф'!O90))</f>
        <v/>
      </c>
      <c r="AZ26" s="1244"/>
      <c r="BA26" s="1245"/>
      <c r="BB26" s="1221"/>
      <c r="BC26" s="1222"/>
    </row>
    <row r="27" spans="1:55" ht="15.75" customHeight="1" x14ac:dyDescent="0.25">
      <c r="A27" s="1175">
        <v>12</v>
      </c>
      <c r="B27" s="1223"/>
      <c r="C27" s="133" t="str">
        <f>IF(B27="","",VLOOKUP(B27,'Списки участников'!A:H,3,FALSE))</f>
        <v/>
      </c>
      <c r="D27" s="1234" t="str">
        <f>IF(AK5="","",IF(AK6="W",0,IF(AK5=2,1,IF(AK5=1,2,IF(AK5=0,2)))))</f>
        <v/>
      </c>
      <c r="E27" s="1235"/>
      <c r="F27" s="1236"/>
      <c r="G27" s="1234" t="str">
        <f>IF(AK7="","",IF(AK8="W",0,IF(AK7=2,1,IF(AK7=1,2,IF(AK7=0,2)))))</f>
        <v/>
      </c>
      <c r="H27" s="1235"/>
      <c r="I27" s="1236"/>
      <c r="J27" s="1234" t="str">
        <f>IF(AK9="","",IF(AK10="W",0,IF(AK9=2,1,IF(AK9=1,2,IF(AK9=0,2)))))</f>
        <v/>
      </c>
      <c r="K27" s="1235"/>
      <c r="L27" s="1236"/>
      <c r="M27" s="1234" t="str">
        <f>IF(AK11="","",IF(AK12="W",0,IF(AK11=2,1,IF(AK11=1,2,IF(AK11=0,2)))))</f>
        <v/>
      </c>
      <c r="N27" s="1235"/>
      <c r="O27" s="1236"/>
      <c r="P27" s="1234" t="str">
        <f>IF(AK13="","",IF(AK14="W",0,IF(AK13=2,1,IF(AK13=1,2,IF(AK13=0,2)))))</f>
        <v/>
      </c>
      <c r="Q27" s="1235"/>
      <c r="R27" s="1236"/>
      <c r="S27" s="1234" t="str">
        <f>IF(AK15="","",IF(AK16="W",0,IF(AK15=2,1,IF(AK15=1,2,IF(AK15=0,2)))))</f>
        <v/>
      </c>
      <c r="T27" s="1235"/>
      <c r="U27" s="1236"/>
      <c r="V27" s="1234" t="str">
        <f>IF(AK17="","",IF(AK18="W",0,IF(AK17=2,1,IF(AK17=1,2,IF(AK17=0,2)))))</f>
        <v/>
      </c>
      <c r="W27" s="1235"/>
      <c r="X27" s="1236"/>
      <c r="Y27" s="1234" t="str">
        <f>IF(AK19="","",IF(AK20="W",0,IF(AK19=2,1,IF(AK19=1,2,IF(AK19=0,2)))))</f>
        <v/>
      </c>
      <c r="Z27" s="1235"/>
      <c r="AA27" s="1236"/>
      <c r="AB27" s="1234" t="str">
        <f>IF(AK21="","",IF(AK22="W",0,IF(AK21=2,1,IF(AK21=1,2,IF(AK21=0,2)))))</f>
        <v/>
      </c>
      <c r="AC27" s="1235"/>
      <c r="AD27" s="1236"/>
      <c r="AE27" s="1234" t="str">
        <f>IF(AK23="","",IF(AK24="W",0,IF(AK23=2,1,IF(AK23=1,2,IF(AK23=0,2)))))</f>
        <v/>
      </c>
      <c r="AF27" s="1235"/>
      <c r="AG27" s="1236"/>
      <c r="AH27" s="1234" t="str">
        <f>IF(AK25="","",IF(AK26="W",0,IF(AK25=2,1,IF(AK25=1,2,IF(AK25=0,2)))))</f>
        <v/>
      </c>
      <c r="AI27" s="1235"/>
      <c r="AJ27" s="1236"/>
      <c r="AK27" s="1228"/>
      <c r="AL27" s="1229"/>
      <c r="AM27" s="1230"/>
      <c r="AN27" s="1239" t="str">
        <f>IF('св.прот 2ф'!H100="","",IF(AN28="L",0,IF(AN28&gt;AP28,2,1)))</f>
        <v/>
      </c>
      <c r="AO27" s="1240"/>
      <c r="AP27" s="1241"/>
      <c r="AQ27" s="1239" t="str">
        <f>IF('св.прот 2ф'!H30="","",IF(AQ28="L",0,IF(AQ28&gt;AS28,2,1)))</f>
        <v/>
      </c>
      <c r="AR27" s="1240"/>
      <c r="AS27" s="1241"/>
      <c r="AT27" s="1239" t="str">
        <f>IF('св.прот 2ф'!H91="","",IF(AT28="L",0,IF(AT28&gt;AV28,2,1)))</f>
        <v/>
      </c>
      <c r="AU27" s="1240"/>
      <c r="AV27" s="1241"/>
      <c r="AW27" s="1239" t="str">
        <f>IF('св.прот 2ф'!H23="","",IF(AW28="L",0,IF(AW28&gt;AY28,2,1)))</f>
        <v/>
      </c>
      <c r="AX27" s="1240"/>
      <c r="AY27" s="1241"/>
      <c r="AZ27" s="1242" t="str">
        <f t="shared" ref="AZ27" si="10">IF(B27="","",SUM(G27,J27,M27,P27,S27,V27,Y27,AB27,AE27,AH27,AK27,AN27,AQ27,AT27,AW27,D27))</f>
        <v/>
      </c>
      <c r="BA27" s="1243"/>
      <c r="BB27" s="1220"/>
      <c r="BC27" s="1222" t="str">
        <f>IF(B27="","",RANK(AZ27,Ф2Оч)+16)</f>
        <v/>
      </c>
    </row>
    <row r="28" spans="1:55" ht="15.75" customHeight="1" x14ac:dyDescent="0.25">
      <c r="A28" s="1176"/>
      <c r="B28" s="1224"/>
      <c r="C28" s="134" t="str">
        <f>IF(B27="","",VLOOKUP(B27,'Списки участников'!A:H,6,FALSE))</f>
        <v/>
      </c>
      <c r="D28" s="141" t="str">
        <f>IF(AK5="","",AM6)</f>
        <v/>
      </c>
      <c r="E28" s="136" t="str">
        <f>IF(AL6="","",":")</f>
        <v/>
      </c>
      <c r="F28" s="142" t="str">
        <f>IF(AM6="","",AK6)</f>
        <v/>
      </c>
      <c r="G28" s="141" t="str">
        <f>IF(AK7="","",AM8)</f>
        <v/>
      </c>
      <c r="H28" s="136" t="str">
        <f>IF(AL8="","",":")</f>
        <v/>
      </c>
      <c r="I28" s="142" t="str">
        <f>IF(AM8="","",AK8)</f>
        <v/>
      </c>
      <c r="J28" s="141" t="str">
        <f>IF(AK9="","",AM10)</f>
        <v/>
      </c>
      <c r="K28" s="136" t="str">
        <f>IF(AL10="","",":")</f>
        <v/>
      </c>
      <c r="L28" s="142" t="str">
        <f>IF(AM10="","",AK10)</f>
        <v/>
      </c>
      <c r="M28" s="141" t="str">
        <f>IF(AK11="","",AM12)</f>
        <v/>
      </c>
      <c r="N28" s="136" t="str">
        <f>IF(AL12="","",":")</f>
        <v/>
      </c>
      <c r="O28" s="142" t="str">
        <f>IF(AM12="","",AK12)</f>
        <v/>
      </c>
      <c r="P28" s="141" t="str">
        <f>IF(AK13="","",AM14)</f>
        <v/>
      </c>
      <c r="Q28" s="136" t="str">
        <f>IF(AL14="","",":")</f>
        <v/>
      </c>
      <c r="R28" s="142" t="str">
        <f>IF(AM14="","",AK14)</f>
        <v/>
      </c>
      <c r="S28" s="141" t="str">
        <f>IF(AK15="","",AM16)</f>
        <v/>
      </c>
      <c r="T28" s="136" t="str">
        <f>IF(AL16="","",":")</f>
        <v/>
      </c>
      <c r="U28" s="142" t="str">
        <f>IF(AM16="","",AK16)</f>
        <v/>
      </c>
      <c r="V28" s="141" t="str">
        <f>IF(AK17="","",AM18)</f>
        <v/>
      </c>
      <c r="W28" s="136" t="str">
        <f>IF(AL18="","",":")</f>
        <v/>
      </c>
      <c r="X28" s="142" t="str">
        <f>IF(AM18="","",AK18)</f>
        <v/>
      </c>
      <c r="Y28" s="141" t="str">
        <f>IF(AK19="","",AM20)</f>
        <v/>
      </c>
      <c r="Z28" s="136" t="str">
        <f>IF(AL20="","",":")</f>
        <v/>
      </c>
      <c r="AA28" s="142" t="str">
        <f>IF(AM20="","",AK20)</f>
        <v/>
      </c>
      <c r="AB28" s="141" t="str">
        <f>IF(AK21="","",AM22)</f>
        <v/>
      </c>
      <c r="AC28" s="136" t="str">
        <f>IF(AL22="","",":")</f>
        <v/>
      </c>
      <c r="AD28" s="142" t="str">
        <f>IF(AM22="","",AK22)</f>
        <v/>
      </c>
      <c r="AE28" s="141" t="str">
        <f>IF(AK23="","",AM24)</f>
        <v/>
      </c>
      <c r="AF28" s="136" t="str">
        <f>IF(AL24="","",":")</f>
        <v/>
      </c>
      <c r="AG28" s="142" t="str">
        <f>IF(AM24="","",AK24)</f>
        <v/>
      </c>
      <c r="AH28" s="141" t="str">
        <f>IF(AK25="","",AM26)</f>
        <v/>
      </c>
      <c r="AI28" s="136" t="str">
        <f>IF(AL26="","",":")</f>
        <v/>
      </c>
      <c r="AJ28" s="142" t="str">
        <f>IF(AM26="","",AK26)</f>
        <v/>
      </c>
      <c r="AK28" s="1231"/>
      <c r="AL28" s="1232"/>
      <c r="AM28" s="1233"/>
      <c r="AN28" s="926" t="str">
        <f>IF('св.прот 2ф'!H100="","",IF('св.прот 2ф'!D100='св.прот 2ф'!H100,'св.прот 2ф'!O100,'св.прот 2ф'!P100))</f>
        <v/>
      </c>
      <c r="AO28" s="927" t="str">
        <f>IF(AN27="","",":")</f>
        <v/>
      </c>
      <c r="AP28" s="928" t="str">
        <f>IF('св.прот 2ф'!H100="","",IF('св.прот 2ф'!D100='св.прот 2ф'!H100,'св.прот 2ф'!P100,'св.прот 2ф'!O100))</f>
        <v/>
      </c>
      <c r="AQ28" s="926" t="str">
        <f>IF('св.прот 2ф'!H30="","",IF('св.прот 2ф'!D30='св.прот 2ф'!H30,'св.прот 2ф'!O30,'св.прот 2ф'!P30))</f>
        <v/>
      </c>
      <c r="AR28" s="927" t="str">
        <f>IF(AQ27="","",":")</f>
        <v/>
      </c>
      <c r="AS28" s="928" t="str">
        <f>IF('св.прот 2ф'!H30="","",IF('св.прот 2ф'!D30='св.прот 2ф'!H30,'св.прот 2ф'!P30,'св.прот 2ф'!O30))</f>
        <v/>
      </c>
      <c r="AT28" s="926" t="str">
        <f>IF('св.прот 2ф'!H91="","",IF('св.прот 2ф'!D91='св.прот 2ф'!H91,'св.прот 2ф'!O91,'св.прот 2ф'!P91))</f>
        <v/>
      </c>
      <c r="AU28" s="927" t="str">
        <f>IF(AT27="","",":")</f>
        <v/>
      </c>
      <c r="AV28" s="928" t="str">
        <f>IF('св.прот 2ф'!H91="","",IF('св.прот 2ф'!D91='св.прот 2ф'!H91,'св.прот 2ф'!P91,'св.прот 2ф'!O91))</f>
        <v/>
      </c>
      <c r="AW28" s="926" t="str">
        <f>IF('св.прот 2ф'!H23="","",IF('св.прот 2ф'!D23='св.прот 2ф'!H23,'св.прот 2ф'!O23,'св.прот 2ф'!P23))</f>
        <v/>
      </c>
      <c r="AX28" s="927" t="str">
        <f>IF(AW27="","",":")</f>
        <v/>
      </c>
      <c r="AY28" s="928" t="str">
        <f>IF('св.прот 2ф'!H23="","",IF('св.прот 2ф'!D23='св.прот 2ф'!H23,'св.прот 2ф'!P23,'св.прот 2ф'!O23))</f>
        <v/>
      </c>
      <c r="AZ28" s="1244"/>
      <c r="BA28" s="1245"/>
      <c r="BB28" s="1221"/>
      <c r="BC28" s="1222"/>
    </row>
    <row r="29" spans="1:55" ht="15.75" customHeight="1" x14ac:dyDescent="0.25">
      <c r="A29" s="1175">
        <v>13</v>
      </c>
      <c r="B29" s="1237"/>
      <c r="C29" s="133" t="str">
        <f>IF(B29="","",VLOOKUP(B29,'Списки участников'!A:H,3,FALSE))</f>
        <v/>
      </c>
      <c r="D29" s="1234" t="str">
        <f>IF(AN5="","",IF(AN6="W",0,IF(AN5=2,1,IF(AN5=1,2,IF(AN5=0,2)))))</f>
        <v/>
      </c>
      <c r="E29" s="1235"/>
      <c r="F29" s="1236"/>
      <c r="G29" s="1234" t="str">
        <f>IF(AN7="","",IF(AN8="W",0,IF(AN7=2,1,IF(AN7=1,2,IF(AN7=0,2)))))</f>
        <v/>
      </c>
      <c r="H29" s="1235"/>
      <c r="I29" s="1236"/>
      <c r="J29" s="1234" t="str">
        <f>IF(AN9="","",IF(AN10="W",0,IF(AN9=2,1,IF(AN9=1,2,IF(AN9=0,2)))))</f>
        <v/>
      </c>
      <c r="K29" s="1235"/>
      <c r="L29" s="1236"/>
      <c r="M29" s="1234" t="str">
        <f>IF(AN11="","",IF(AN12="W",0,IF(AN11=2,1,IF(AN11=1,2,IF(AN11=0,2)))))</f>
        <v/>
      </c>
      <c r="N29" s="1235"/>
      <c r="O29" s="1236"/>
      <c r="P29" s="1234" t="str">
        <f>IF(AN13="","",IF(AN14="W",0,IF(AN13=2,1,IF(AN13=1,2,IF(AN13=0,2)))))</f>
        <v/>
      </c>
      <c r="Q29" s="1235"/>
      <c r="R29" s="1236"/>
      <c r="S29" s="1234" t="str">
        <f>IF(AN15="","",IF(AN16="W",0,IF(AN15=2,1,IF(AN15=1,2,IF(AN15=0,2)))))</f>
        <v/>
      </c>
      <c r="T29" s="1235"/>
      <c r="U29" s="1236"/>
      <c r="V29" s="1234" t="str">
        <f>IF(AN17="","",IF(AN18="W",0,IF(AN17=2,1,IF(AN17=1,2,IF(AN17=0,2)))))</f>
        <v/>
      </c>
      <c r="W29" s="1235"/>
      <c r="X29" s="1236"/>
      <c r="Y29" s="1234" t="str">
        <f>IF(AN19="","",IF(AN20="W",0,IF(AN19=2,1,IF(AN19=1,2,IF(AN19=0,2)))))</f>
        <v/>
      </c>
      <c r="Z29" s="1235"/>
      <c r="AA29" s="1236"/>
      <c r="AB29" s="1234" t="str">
        <f>IF(AN21="","",IF(AN22="W",0,IF(AN21=2,1,IF(AN21=1,2,IF(AN21=0,2)))))</f>
        <v/>
      </c>
      <c r="AC29" s="1235"/>
      <c r="AD29" s="1236"/>
      <c r="AE29" s="1234" t="str">
        <f>IF(AN23="","",IF(AN24="W",0,IF(AN23=2,1,IF(AN23=1,2,IF(AN23=0,2)))))</f>
        <v/>
      </c>
      <c r="AF29" s="1235"/>
      <c r="AG29" s="1236"/>
      <c r="AH29" s="1234" t="str">
        <f>IF(AN25="","",IF(AN26="W",0,IF(AN25=2,1,IF(AN25=1,2,IF(AN25=0,2)))))</f>
        <v/>
      </c>
      <c r="AI29" s="1235"/>
      <c r="AJ29" s="1236"/>
      <c r="AK29" s="1234" t="str">
        <f>IF(AN27="","",IF(AN28="W",0,IF(AN27=2,1,IF(AN27=1,2,IF(AN27=0,2)))))</f>
        <v/>
      </c>
      <c r="AL29" s="1235"/>
      <c r="AM29" s="1236"/>
      <c r="AN29" s="1228"/>
      <c r="AO29" s="1229"/>
      <c r="AP29" s="1230"/>
      <c r="AQ29" s="1239" t="str">
        <f>IF('св.прот 2ф'!H92="","",IF(AQ30="L",0,IF(AQ30&gt;AS30,2,1)))</f>
        <v/>
      </c>
      <c r="AR29" s="1240"/>
      <c r="AS29" s="1241"/>
      <c r="AT29" s="1239" t="str">
        <f>IF('св.прот 2ф'!H22="","",IF(AT30="L",0,IF(AT30&gt;AV30,2,1)))</f>
        <v/>
      </c>
      <c r="AU29" s="1240"/>
      <c r="AV29" s="1241"/>
      <c r="AW29" s="1239" t="str">
        <f>IF('св.прот 2ф'!H83="","",IF(AW30="L",0,IF(AW30&gt;AY30,2,1)))</f>
        <v/>
      </c>
      <c r="AX29" s="1240"/>
      <c r="AY29" s="1241"/>
      <c r="AZ29" s="1242" t="str">
        <f t="shared" ref="AZ29" si="11">IF(B29="","",SUM(G29,J29,M29,P29,S29,V29,Y29,AB29,AE29,AH29,AK29,AN29,AQ29,AT29,AW29,D29))</f>
        <v/>
      </c>
      <c r="BA29" s="1243"/>
      <c r="BB29" s="1220"/>
      <c r="BC29" s="1222" t="str">
        <f>IF(B29="","",RANK(AZ29,Ф2Оч)+16)</f>
        <v/>
      </c>
    </row>
    <row r="30" spans="1:55" ht="15.75" customHeight="1" x14ac:dyDescent="0.25">
      <c r="A30" s="1176"/>
      <c r="B30" s="1238"/>
      <c r="C30" s="134" t="str">
        <f>IF(B29="","",VLOOKUP(B29,'Списки участников'!A:H,6,FALSE))</f>
        <v/>
      </c>
      <c r="D30" s="141" t="str">
        <f>IF(AN5="","",AP6)</f>
        <v/>
      </c>
      <c r="E30" s="136" t="str">
        <f>IF(AO6="","",":")</f>
        <v/>
      </c>
      <c r="F30" s="142" t="str">
        <f>IF(AP6="","",AN6)</f>
        <v/>
      </c>
      <c r="G30" s="141" t="str">
        <f>IF(AN7="","",AP8)</f>
        <v/>
      </c>
      <c r="H30" s="136" t="str">
        <f>IF(AO8="","",":")</f>
        <v/>
      </c>
      <c r="I30" s="142" t="str">
        <f>IF(AP8="","",AN8)</f>
        <v/>
      </c>
      <c r="J30" s="141" t="str">
        <f>IF(AN9="","",AP10)</f>
        <v/>
      </c>
      <c r="K30" s="136" t="str">
        <f>IF(AO10="","",":")</f>
        <v/>
      </c>
      <c r="L30" s="142" t="str">
        <f>IF(AP10="","",AN10)</f>
        <v/>
      </c>
      <c r="M30" s="141" t="str">
        <f>IF(AN11="","",AP12)</f>
        <v/>
      </c>
      <c r="N30" s="136" t="str">
        <f>IF(AO12="","",":")</f>
        <v/>
      </c>
      <c r="O30" s="142" t="str">
        <f>IF(AP12="","",AN12)</f>
        <v/>
      </c>
      <c r="P30" s="141" t="str">
        <f>IF(AN13="","",AP14)</f>
        <v/>
      </c>
      <c r="Q30" s="136" t="str">
        <f>IF(AO14="","",":")</f>
        <v/>
      </c>
      <c r="R30" s="142" t="str">
        <f>IF(AP14="","",AN14)</f>
        <v/>
      </c>
      <c r="S30" s="141" t="str">
        <f>IF(AN15="","",AP16)</f>
        <v/>
      </c>
      <c r="T30" s="136" t="str">
        <f>IF(AO16="","",":")</f>
        <v/>
      </c>
      <c r="U30" s="142" t="str">
        <f>IF(AP16="","",AN16)</f>
        <v/>
      </c>
      <c r="V30" s="141" t="str">
        <f>IF(AN17="","",AP18)</f>
        <v/>
      </c>
      <c r="W30" s="136" t="str">
        <f>IF(AO18="","",":")</f>
        <v/>
      </c>
      <c r="X30" s="142" t="str">
        <f>IF(AP18="","",AN18)</f>
        <v/>
      </c>
      <c r="Y30" s="141" t="str">
        <f>IF(AN19="","",AP20)</f>
        <v/>
      </c>
      <c r="Z30" s="136" t="str">
        <f>IF(AO20="","",":")</f>
        <v/>
      </c>
      <c r="AA30" s="142" t="str">
        <f>IF(AP20="","",AN20)</f>
        <v/>
      </c>
      <c r="AB30" s="141" t="str">
        <f>IF(AN21="","",AP22)</f>
        <v/>
      </c>
      <c r="AC30" s="136" t="str">
        <f>IF(AO22="","",":")</f>
        <v/>
      </c>
      <c r="AD30" s="142" t="str">
        <f>IF(AP22="","",AN22)</f>
        <v/>
      </c>
      <c r="AE30" s="141" t="str">
        <f>IF(AN23="","",AP24)</f>
        <v/>
      </c>
      <c r="AF30" s="136" t="str">
        <f>IF(AO24="","",":")</f>
        <v/>
      </c>
      <c r="AG30" s="142" t="str">
        <f>IF(AP24="","",AN24)</f>
        <v/>
      </c>
      <c r="AH30" s="141" t="str">
        <f>IF(AN25="","",AP26)</f>
        <v/>
      </c>
      <c r="AI30" s="136" t="str">
        <f>IF(AO26="","",":")</f>
        <v/>
      </c>
      <c r="AJ30" s="142" t="str">
        <f>IF(AP26="","",AN26)</f>
        <v/>
      </c>
      <c r="AK30" s="141" t="str">
        <f>IF(AN27="","",AP28)</f>
        <v/>
      </c>
      <c r="AL30" s="136" t="str">
        <f>IF(AO28="","",":")</f>
        <v/>
      </c>
      <c r="AM30" s="142" t="str">
        <f>IF(AP28="","",AN28)</f>
        <v/>
      </c>
      <c r="AN30" s="1231"/>
      <c r="AO30" s="1232"/>
      <c r="AP30" s="1233"/>
      <c r="AQ30" s="926" t="str">
        <f>IF('св.прот 2ф'!H92="","",IF('св.прот 2ф'!D92='св.прот 2ф'!H92,'св.прот 2ф'!O92,'св.прот 2ф'!P92))</f>
        <v/>
      </c>
      <c r="AR30" s="927" t="str">
        <f>IF(AQ29="","",":")</f>
        <v/>
      </c>
      <c r="AS30" s="928" t="str">
        <f>IF('св.прот 2ф'!H92="","",IF('св.прот 2ф'!D92='св.прот 2ф'!H92,'св.прот 2ф'!P92,'св.прот 2ф'!O92))</f>
        <v/>
      </c>
      <c r="AT30" s="926" t="str">
        <f>IF('св.прот 2ф'!H22="","",IF('св.прот 2ф'!D22='св.прот 2ф'!H22,'св.прот 2ф'!O22,'св.прот 2ф'!P22))</f>
        <v/>
      </c>
      <c r="AU30" s="927" t="str">
        <f>IF(AT29="","",":")</f>
        <v/>
      </c>
      <c r="AV30" s="928" t="str">
        <f>IF('св.прот 2ф'!H22="","",IF('св.прот 2ф'!D22='св.прот 2ф'!H22,'св.прот 2ф'!P22,'св.прот 2ф'!O22))</f>
        <v/>
      </c>
      <c r="AW30" s="926" t="str">
        <f>IF('св.прот 2ф'!H83="","",IF('св.прот 2ф'!D83='св.прот 2ф'!H83,'св.прот 2ф'!O83,'св.прот 2ф'!P83))</f>
        <v/>
      </c>
      <c r="AX30" s="927" t="str">
        <f>IF(AW29="","",":")</f>
        <v/>
      </c>
      <c r="AY30" s="928" t="str">
        <f>IF('св.прот 2ф'!H83="","",IF('св.прот 2ф'!D83='св.прот 2ф'!H83,'св.прот 2ф'!P83,'св.прот 2ф'!O83))</f>
        <v/>
      </c>
      <c r="AZ30" s="1244"/>
      <c r="BA30" s="1245"/>
      <c r="BB30" s="1221"/>
      <c r="BC30" s="1222"/>
    </row>
    <row r="31" spans="1:55" ht="15.75" customHeight="1" x14ac:dyDescent="0.25">
      <c r="A31" s="1175">
        <v>14</v>
      </c>
      <c r="B31" s="1223"/>
      <c r="C31" s="133" t="str">
        <f>IF(B31="","",VLOOKUP(B31,'Списки участников'!A:H,3,FALSE))</f>
        <v/>
      </c>
      <c r="D31" s="1234" t="str">
        <f>IF(AQ5="","",IF(AQ6="W",0,IF(AQ5=2,1,IF(AQ5=1,2,IF(AQ5=0,2)))))</f>
        <v/>
      </c>
      <c r="E31" s="1235"/>
      <c r="F31" s="1236"/>
      <c r="G31" s="1234" t="str">
        <f>IF(AQ7="","",IF(AQ8="W",0,IF(AQ7=2,1,IF(AQ7=1,2,IF(AQ7=0,2)))))</f>
        <v/>
      </c>
      <c r="H31" s="1235"/>
      <c r="I31" s="1236"/>
      <c r="J31" s="1234" t="str">
        <f>IF(AQ9="","",IF(AQ10="W",0,IF(AQ9=2,1,IF(AQ9=1,2,IF(AQ9=0,2)))))</f>
        <v/>
      </c>
      <c r="K31" s="1235"/>
      <c r="L31" s="1236"/>
      <c r="M31" s="1234" t="str">
        <f>IF(AQ11="","",IF(AQ12="W",0,IF(AQ11=2,1,IF(AQ11=1,2,IF(AQ11=0,2)))))</f>
        <v/>
      </c>
      <c r="N31" s="1235"/>
      <c r="O31" s="1236"/>
      <c r="P31" s="1234" t="str">
        <f>IF(AQ13="","",IF(AQ14="W",0,IF(AQ13=2,1,IF(AQ13=1,2,IF(AQ13=0,2)))))</f>
        <v/>
      </c>
      <c r="Q31" s="1235"/>
      <c r="R31" s="1236"/>
      <c r="S31" s="1234" t="str">
        <f>IF(AQ15="","",IF(AQ16="W",0,IF(AQ15=2,1,IF(AQ15=1,2,IF(AQ15=0,2)))))</f>
        <v/>
      </c>
      <c r="T31" s="1235"/>
      <c r="U31" s="1236"/>
      <c r="V31" s="1234" t="str">
        <f>IF(AQ17="","",IF(AQ18="W",0,IF(AQ17=2,1,IF(AQ17=1,2,IF(AQ17=0,2)))))</f>
        <v/>
      </c>
      <c r="W31" s="1235"/>
      <c r="X31" s="1236"/>
      <c r="Y31" s="1234" t="str">
        <f>IF(AQ19="","",IF(AQ20="W",0,IF(AQ19=2,1,IF(AQ19=1,2,IF(AQ19=0,2)))))</f>
        <v/>
      </c>
      <c r="Z31" s="1235"/>
      <c r="AA31" s="1236"/>
      <c r="AB31" s="1234" t="str">
        <f>IF(AQ21="","",IF(AQ22="W",0,IF(AQ21=2,1,IF(AQ21=1,2,IF(AQ21=0,2)))))</f>
        <v/>
      </c>
      <c r="AC31" s="1235"/>
      <c r="AD31" s="1236"/>
      <c r="AE31" s="1234" t="str">
        <f>IF(AQ23="","",IF(AQ24="W",0,IF(AQ23=2,1,IF(AQ23=1,2,IF(AQ23=0,2)))))</f>
        <v/>
      </c>
      <c r="AF31" s="1235"/>
      <c r="AG31" s="1236"/>
      <c r="AH31" s="1234" t="str">
        <f>IF(AQ25="","",IF(AQ26="W",0,IF(AQ25=2,1,IF(AQ25=1,2,IF(AQ25=0,2)))))</f>
        <v/>
      </c>
      <c r="AI31" s="1235"/>
      <c r="AJ31" s="1236"/>
      <c r="AK31" s="1234" t="str">
        <f>IF(AQ27="","",IF(AQ28="W",0,IF(AQ27=2,1,IF(AQ27=1,2,IF(AQ27=0,2)))))</f>
        <v/>
      </c>
      <c r="AL31" s="1235"/>
      <c r="AM31" s="1236"/>
      <c r="AN31" s="1234" t="str">
        <f>IF(AQ29="","",IF(AQ30="W",0,IF(AQ29=2,1,IF(AQ29=1,2,IF(AQ29=0,2)))))</f>
        <v/>
      </c>
      <c r="AO31" s="1235"/>
      <c r="AP31" s="1236"/>
      <c r="AQ31" s="1228"/>
      <c r="AR31" s="1229"/>
      <c r="AS31" s="1230"/>
      <c r="AT31" s="1239" t="str">
        <f>IF('св.прот 2ф'!H84="","",IF(AT32="L",0,IF(AT32&gt;AV32,2,1)))</f>
        <v/>
      </c>
      <c r="AU31" s="1240"/>
      <c r="AV31" s="1241"/>
      <c r="AW31" s="1239" t="str">
        <f>IF('св.прот 2ф'!H14="","",IF(AW32="L",0,IF(AW32&gt;AY32,2,1)))</f>
        <v/>
      </c>
      <c r="AX31" s="1240"/>
      <c r="AY31" s="1241"/>
      <c r="AZ31" s="1242" t="str">
        <f t="shared" ref="AZ31" si="12">IF(B31="","",SUM(G31,J31,M31,P31,S31,V31,Y31,AB31,AE31,AH31,AK31,AN31,AQ31,AT31,AW31,D31))</f>
        <v/>
      </c>
      <c r="BA31" s="1243"/>
      <c r="BB31" s="1220"/>
      <c r="BC31" s="1222" t="str">
        <f>IF(B31="","",RANK(AZ31,Ф2Оч)+16)</f>
        <v/>
      </c>
    </row>
    <row r="32" spans="1:55" ht="15.75" customHeight="1" x14ac:dyDescent="0.25">
      <c r="A32" s="1176"/>
      <c r="B32" s="1224"/>
      <c r="C32" s="134" t="str">
        <f>IF(B31="","",VLOOKUP(B31,'Списки участников'!A:H,6,FALSE))</f>
        <v/>
      </c>
      <c r="D32" s="141" t="str">
        <f>IF(AQ5="","",AS6)</f>
        <v/>
      </c>
      <c r="E32" s="136" t="str">
        <f>IF(AR6="","",":")</f>
        <v/>
      </c>
      <c r="F32" s="142" t="str">
        <f>IF(AS6="","",AQ6)</f>
        <v/>
      </c>
      <c r="G32" s="141" t="str">
        <f>IF(AQ7="","",AS8)</f>
        <v/>
      </c>
      <c r="H32" s="136" t="str">
        <f>IF(AR8="","",":")</f>
        <v/>
      </c>
      <c r="I32" s="142" t="str">
        <f>IF(AS8="","",AQ8)</f>
        <v/>
      </c>
      <c r="J32" s="141" t="str">
        <f>IF(AQ9="","",AS10)</f>
        <v/>
      </c>
      <c r="K32" s="136" t="str">
        <f>IF(AR10="","",":")</f>
        <v/>
      </c>
      <c r="L32" s="142" t="str">
        <f>IF(AS10="","",AQ10)</f>
        <v/>
      </c>
      <c r="M32" s="141" t="str">
        <f>IF(AQ11="","",AS12)</f>
        <v/>
      </c>
      <c r="N32" s="136" t="str">
        <f>IF(AR12="","",":")</f>
        <v/>
      </c>
      <c r="O32" s="142" t="str">
        <f>IF(AS12="","",AQ12)</f>
        <v/>
      </c>
      <c r="P32" s="141" t="str">
        <f>IF(AQ13="","",AS14)</f>
        <v/>
      </c>
      <c r="Q32" s="136" t="str">
        <f>IF(AR14="","",":")</f>
        <v/>
      </c>
      <c r="R32" s="142" t="str">
        <f>IF(AS14="","",AQ14)</f>
        <v/>
      </c>
      <c r="S32" s="141" t="str">
        <f>IF(AQ15="","",AS16)</f>
        <v/>
      </c>
      <c r="T32" s="136" t="str">
        <f>IF(AR16="","",":")</f>
        <v/>
      </c>
      <c r="U32" s="142" t="str">
        <f>IF(AS16="","",AQ16)</f>
        <v/>
      </c>
      <c r="V32" s="141" t="str">
        <f>IF(AQ17="","",AS18)</f>
        <v/>
      </c>
      <c r="W32" s="136" t="str">
        <f>IF(AR18="","",":")</f>
        <v/>
      </c>
      <c r="X32" s="142" t="str">
        <f>IF(AS18="","",AQ18)</f>
        <v/>
      </c>
      <c r="Y32" s="141" t="str">
        <f>IF(AQ19="","",AS20)</f>
        <v/>
      </c>
      <c r="Z32" s="136" t="str">
        <f>IF(AR20="","",":")</f>
        <v/>
      </c>
      <c r="AA32" s="142" t="str">
        <f>IF(AS20="","",AQ20)</f>
        <v/>
      </c>
      <c r="AB32" s="141" t="str">
        <f>IF(AQ21="","",AS22)</f>
        <v/>
      </c>
      <c r="AC32" s="136" t="str">
        <f>IF(AR22="","",":")</f>
        <v/>
      </c>
      <c r="AD32" s="142" t="str">
        <f>IF(AS22="","",AQ22)</f>
        <v/>
      </c>
      <c r="AE32" s="141" t="str">
        <f>IF(AQ23="","",AS24)</f>
        <v/>
      </c>
      <c r="AF32" s="136" t="str">
        <f>IF(AR24="","",":")</f>
        <v/>
      </c>
      <c r="AG32" s="142" t="str">
        <f>IF(AS24="","",AQ24)</f>
        <v/>
      </c>
      <c r="AH32" s="141" t="str">
        <f>IF(AQ25="","",AS26)</f>
        <v/>
      </c>
      <c r="AI32" s="136" t="str">
        <f>IF(AR26="","",":")</f>
        <v/>
      </c>
      <c r="AJ32" s="142" t="str">
        <f>IF(AS26="","",AQ26)</f>
        <v/>
      </c>
      <c r="AK32" s="141" t="str">
        <f>IF(AQ27="","",AS28)</f>
        <v/>
      </c>
      <c r="AL32" s="136" t="str">
        <f>IF(AR28="","",":")</f>
        <v/>
      </c>
      <c r="AM32" s="142" t="str">
        <f>IF(AS28="","",AQ28)</f>
        <v/>
      </c>
      <c r="AN32" s="141" t="str">
        <f>IF(AQ29="","",AS30)</f>
        <v/>
      </c>
      <c r="AO32" s="136" t="str">
        <f>IF(AR30="","",":")</f>
        <v/>
      </c>
      <c r="AP32" s="142" t="str">
        <f>IF(AS30="","",AQ30)</f>
        <v/>
      </c>
      <c r="AQ32" s="1231"/>
      <c r="AR32" s="1232"/>
      <c r="AS32" s="1233"/>
      <c r="AT32" s="926" t="str">
        <f>IF('св.прот 2ф'!H84="","",IF('св.прот 2ф'!D84='св.прот 2ф'!H84,'св.прот 2ф'!O84,'св.прот 2ф'!P84))</f>
        <v/>
      </c>
      <c r="AU32" s="927" t="str">
        <f>IF(AT31="","",":")</f>
        <v/>
      </c>
      <c r="AV32" s="928" t="str">
        <f>IF('св.прот 2ф'!H84="","",IF('св.прот 2ф'!D84='св.прот 2ф'!H84,'св.прот 2ф'!P84,'св.прот 2ф'!O84))</f>
        <v/>
      </c>
      <c r="AW32" s="926" t="str">
        <f>IF('св.прот 2ф'!H14="","",IF('св.прот 2ф'!D14='св.прот 2ф'!H14,'св.прот 2ф'!O13,'св.прот 2ф'!P14))</f>
        <v/>
      </c>
      <c r="AX32" s="927" t="str">
        <f>IF(AW31="","",":")</f>
        <v/>
      </c>
      <c r="AY32" s="928" t="str">
        <f>IF('св.прот 2ф'!H14="","",IF('св.прот 2ф'!D14='св.прот 2ф'!H14,'св.прот 2ф'!P14,'св.прот 2ф'!O14))</f>
        <v/>
      </c>
      <c r="AZ32" s="1244"/>
      <c r="BA32" s="1245"/>
      <c r="BB32" s="1221"/>
      <c r="BC32" s="1222"/>
    </row>
    <row r="33" spans="1:55" ht="15.75" customHeight="1" x14ac:dyDescent="0.25">
      <c r="A33" s="1250">
        <v>15</v>
      </c>
      <c r="B33" s="1237"/>
      <c r="C33" s="133" t="str">
        <f>IF(B33="","",VLOOKUP(B33,'Списки участников'!A:H,3,FALSE))</f>
        <v/>
      </c>
      <c r="D33" s="1234" t="str">
        <f>IF(AT5="","",IF(AT6="W",0,IF(AT5=2,1,IF(AT5=1,2,IF(AT5=0,2)))))</f>
        <v/>
      </c>
      <c r="E33" s="1235"/>
      <c r="F33" s="1236"/>
      <c r="G33" s="1234" t="str">
        <f>IF(AT7="","",IF(AT8="W",0,IF(AT7=2,1,IF(AT7=1,2,IF(AT7=0,2)))))</f>
        <v/>
      </c>
      <c r="H33" s="1235"/>
      <c r="I33" s="1236"/>
      <c r="J33" s="1234" t="str">
        <f>IF(AT9="","",IF(AT10="W",0,IF(AT9=2,1,IF(AT9=1,2,IF(AT9=0,2)))))</f>
        <v/>
      </c>
      <c r="K33" s="1235"/>
      <c r="L33" s="1236"/>
      <c r="M33" s="1234" t="str">
        <f>IF(AT11="","",IF(AT12="W",0,IF(AT11=2,1,IF(AT11=1,2,IF(AT11=0,2)))))</f>
        <v/>
      </c>
      <c r="N33" s="1235"/>
      <c r="O33" s="1236"/>
      <c r="P33" s="1234" t="str">
        <f>IF(AT13="","",IF(AT14="W",0,IF(AT13=2,1,IF(AT13=1,2,IF(AT13=0,2)))))</f>
        <v/>
      </c>
      <c r="Q33" s="1235"/>
      <c r="R33" s="1236"/>
      <c r="S33" s="1234" t="str">
        <f>IF(AT15="","",IF(AT16="W",0,IF(AT15=2,1,IF(AT15=1,2,IF(AT15=0,2)))))</f>
        <v/>
      </c>
      <c r="T33" s="1235"/>
      <c r="U33" s="1236"/>
      <c r="V33" s="1234" t="str">
        <f>IF(AT17="","",IF(AT18="W",0,IF(AT17=2,1,IF(AT17=1,2,IF(AT17=0,2)))))</f>
        <v/>
      </c>
      <c r="W33" s="1235"/>
      <c r="X33" s="1236"/>
      <c r="Y33" s="1234" t="str">
        <f>IF(AT19="","",IF(AT20="W",0,IF(AT19=2,1,IF(AT19=1,2,IF(AT19=0,2)))))</f>
        <v/>
      </c>
      <c r="Z33" s="1235"/>
      <c r="AA33" s="1236"/>
      <c r="AB33" s="1234" t="str">
        <f>IF(AT21="","",IF(AT22="W",0,IF(AT21=2,1,IF(AT21=1,2,IF(AT21=0,2)))))</f>
        <v/>
      </c>
      <c r="AC33" s="1235"/>
      <c r="AD33" s="1236"/>
      <c r="AE33" s="1234" t="str">
        <f>IF(AT23="","",IF(AT24="W",0,IF(AT23=2,1,IF(AT23=1,2,IF(AT23=0,2)))))</f>
        <v/>
      </c>
      <c r="AF33" s="1235"/>
      <c r="AG33" s="1236"/>
      <c r="AH33" s="1234" t="str">
        <f>IF(AT25="","",IF(AT26="W",0,IF(AT25=2,1,IF(AT25=1,2,IF(AT25=0,2)))))</f>
        <v/>
      </c>
      <c r="AI33" s="1235"/>
      <c r="AJ33" s="1236"/>
      <c r="AK33" s="1234" t="str">
        <f>IF(AT27="","",IF(AT28="W",0,IF(AT27=2,1,IF(AT27=1,2,IF(AT27=0,2)))))</f>
        <v/>
      </c>
      <c r="AL33" s="1235"/>
      <c r="AM33" s="1236"/>
      <c r="AN33" s="1234" t="str">
        <f>IF(AT29="","",IF(AT30="W",0,IF(AT29=2,1,IF(AT29=1,2,IF(AT29=0,2)))))</f>
        <v/>
      </c>
      <c r="AO33" s="1235"/>
      <c r="AP33" s="1236"/>
      <c r="AQ33" s="1234" t="str">
        <f>IF(AT31="","",IF(AT32="W",0,IF(AT31=2,1,IF(AT31=1,2,IF(AT31=0,2)))))</f>
        <v/>
      </c>
      <c r="AR33" s="1235"/>
      <c r="AS33" s="1236"/>
      <c r="AT33" s="1249"/>
      <c r="AU33" s="1246"/>
      <c r="AV33" s="1247"/>
      <c r="AW33" s="1234" t="str">
        <f>IF('св.прот 2ф'!H76="","",IF(AW34="L",0,IF(AW34&gt;AY34,2,1)))</f>
        <v/>
      </c>
      <c r="AX33" s="1235"/>
      <c r="AY33" s="1236"/>
      <c r="AZ33" s="1242" t="str">
        <f t="shared" ref="AZ33" si="13">IF(B33="","",SUM(G33,J33,M33,P33,S33,V33,Y33,AB33,AE33,AH33,AK33,AN33,AQ33,AT33,AW33,D33))</f>
        <v/>
      </c>
      <c r="BA33" s="1243"/>
      <c r="BB33" s="1220"/>
      <c r="BC33" s="1222" t="str">
        <f>IF(B33="","",RANK(AZ33,Ф2Оч)+16)</f>
        <v/>
      </c>
    </row>
    <row r="34" spans="1:55" ht="15.75" customHeight="1" x14ac:dyDescent="0.25">
      <c r="A34" s="1251"/>
      <c r="B34" s="1238"/>
      <c r="C34" s="134" t="str">
        <f>IF(B33="","",VLOOKUP(B33,'Списки участников'!A:H,6,FALSE))</f>
        <v/>
      </c>
      <c r="D34" s="141" t="str">
        <f>IF(AT5="","",AV6)</f>
        <v/>
      </c>
      <c r="E34" s="136" t="str">
        <f>IF(AU6="","",":")</f>
        <v/>
      </c>
      <c r="F34" s="142" t="str">
        <f>IF(AV6="","",AT6)</f>
        <v/>
      </c>
      <c r="G34" s="141" t="str">
        <f>IF(AT7="","",AV8)</f>
        <v/>
      </c>
      <c r="H34" s="136" t="str">
        <f>IF(AU8="","",":")</f>
        <v/>
      </c>
      <c r="I34" s="142" t="str">
        <f>IF(AV8="","",AT8)</f>
        <v/>
      </c>
      <c r="J34" s="141" t="str">
        <f>IF(AT10="","",IF(AV10="l","W",AV10))</f>
        <v/>
      </c>
      <c r="K34" s="136" t="str">
        <f>IF(AU10="","",":")</f>
        <v/>
      </c>
      <c r="L34" s="142" t="str">
        <f>IF(AV10="","",AT10)</f>
        <v/>
      </c>
      <c r="M34" s="141" t="str">
        <f>IF(AT11="","",AV12)</f>
        <v/>
      </c>
      <c r="N34" s="136" t="str">
        <f>IF(AU12="","",":")</f>
        <v/>
      </c>
      <c r="O34" s="142" t="str">
        <f>IF(AV12="","",AT12)</f>
        <v/>
      </c>
      <c r="P34" s="141" t="str">
        <f>IF(AT13="","",AV14)</f>
        <v/>
      </c>
      <c r="Q34" s="136" t="str">
        <f>IF(AU14="","",":")</f>
        <v/>
      </c>
      <c r="R34" s="142" t="str">
        <f>IF(AV14="","",AT14)</f>
        <v/>
      </c>
      <c r="S34" s="141" t="str">
        <f>IF(AT15="","",AV16)</f>
        <v/>
      </c>
      <c r="T34" s="136" t="str">
        <f>IF(AU16="","",":")</f>
        <v/>
      </c>
      <c r="U34" s="142" t="str">
        <f>IF(AV16="","",AT16)</f>
        <v/>
      </c>
      <c r="V34" s="141" t="str">
        <f>IF(AT17="","",AV18)</f>
        <v/>
      </c>
      <c r="W34" s="136" t="str">
        <f>IF(AU18="","",":")</f>
        <v/>
      </c>
      <c r="X34" s="142" t="str">
        <f>IF(AV18="","",AT18)</f>
        <v/>
      </c>
      <c r="Y34" s="141" t="str">
        <f>IF(AT19="","",AV20)</f>
        <v/>
      </c>
      <c r="Z34" s="136" t="str">
        <f>IF(AU20="","",":")</f>
        <v/>
      </c>
      <c r="AA34" s="142" t="str">
        <f>IF(AV20="","",AT20)</f>
        <v/>
      </c>
      <c r="AB34" s="141" t="str">
        <f>IF(AT21="","",AV22)</f>
        <v/>
      </c>
      <c r="AC34" s="136" t="str">
        <f>IF(AU22="","",":")</f>
        <v/>
      </c>
      <c r="AD34" s="142" t="str">
        <f>IF(AV22="","",AT22)</f>
        <v/>
      </c>
      <c r="AE34" s="141" t="str">
        <f>IF(AT23="","",AV24)</f>
        <v/>
      </c>
      <c r="AF34" s="136" t="str">
        <f>IF(AU24="","",":")</f>
        <v/>
      </c>
      <c r="AG34" s="142" t="str">
        <f>IF(AV24="","",AT24)</f>
        <v/>
      </c>
      <c r="AH34" s="141" t="str">
        <f>IF(AT25="","",AV26)</f>
        <v/>
      </c>
      <c r="AI34" s="136" t="str">
        <f>IF(AU26="","",":")</f>
        <v/>
      </c>
      <c r="AJ34" s="142" t="str">
        <f>IF(AV26="","",AT26)</f>
        <v/>
      </c>
      <c r="AK34" s="141" t="str">
        <f>IF(AT27="","",AV28)</f>
        <v/>
      </c>
      <c r="AL34" s="136" t="str">
        <f>IF(AU28="","",":")</f>
        <v/>
      </c>
      <c r="AM34" s="142" t="str">
        <f>IF(AV28="","",AT28)</f>
        <v/>
      </c>
      <c r="AN34" s="141" t="str">
        <f>IF(AT29="","",AV30)</f>
        <v/>
      </c>
      <c r="AO34" s="136" t="str">
        <f>IF(AU30="","",":")</f>
        <v/>
      </c>
      <c r="AP34" s="142" t="str">
        <f>IF(AV30="","",AT30)</f>
        <v/>
      </c>
      <c r="AQ34" s="141" t="str">
        <f>IF(AT31="","",AV32)</f>
        <v/>
      </c>
      <c r="AR34" s="136" t="str">
        <f>IF(AU32="","",":")</f>
        <v/>
      </c>
      <c r="AS34" s="142" t="str">
        <f>IF(AV32="","",AT32)</f>
        <v/>
      </c>
      <c r="AT34" s="1231"/>
      <c r="AU34" s="1232"/>
      <c r="AV34" s="1233"/>
      <c r="AW34" s="135" t="str">
        <f>IF('св.прот 2ф'!H76="","",IF('св.прот 2ф'!D76='св.прот 2ф'!H76,'св.прот 2ф'!O76,'св.прот 2ф'!P76))</f>
        <v/>
      </c>
      <c r="AX34" s="136" t="str">
        <f>IF(AW33="","",":")</f>
        <v/>
      </c>
      <c r="AY34" s="137" t="str">
        <f>IF('св.прот 2ф'!H76="","",IF('св.прот 2ф'!D76='св.прот 2ф'!H76,'св.прот 2ф'!P76,'св.прот 2ф'!O76))</f>
        <v/>
      </c>
      <c r="AZ34" s="1244"/>
      <c r="BA34" s="1245"/>
      <c r="BB34" s="1221"/>
      <c r="BC34" s="1222"/>
    </row>
    <row r="35" spans="1:55" ht="15.75" customHeight="1" x14ac:dyDescent="0.25">
      <c r="A35" s="1250">
        <v>16</v>
      </c>
      <c r="B35" s="1223"/>
      <c r="C35" s="133" t="str">
        <f>IF(B35="","",VLOOKUP(B35,'Списки участников'!A:H,3,FALSE))</f>
        <v/>
      </c>
      <c r="D35" s="1234" t="str">
        <f>IF(AW5="","",IF(AW6="W",0,IF(AW5=2,1,IF(AW5=1,2,IF(AW5=0,2)))))</f>
        <v/>
      </c>
      <c r="E35" s="1235"/>
      <c r="F35" s="1236"/>
      <c r="G35" s="1234" t="str">
        <f>IF(AW7="","",IF(AW8="W",0,IF(AW7=2,1,IF(AW7=1,2,IF(AW7=0,2)))))</f>
        <v/>
      </c>
      <c r="H35" s="1235"/>
      <c r="I35" s="1236"/>
      <c r="J35" s="1234" t="str">
        <f>IF(AW9="","",IF(AW10="W",0,IF(AW9=2,1,IF(AW9=1,2,IF(AW9=0,2)))))</f>
        <v/>
      </c>
      <c r="K35" s="1235"/>
      <c r="L35" s="1236"/>
      <c r="M35" s="1234" t="str">
        <f>IF(AW11="","",IF(AW12="W",0,IF(AW11=2,1,IF(AW11=1,2,IF(AW11=0,2)))))</f>
        <v/>
      </c>
      <c r="N35" s="1235"/>
      <c r="O35" s="1236"/>
      <c r="P35" s="1234" t="str">
        <f>IF(AW13="","",IF(AW14="W",0,IF(AW13=2,1,IF(AW13=1,2,IF(AW13=0,2)))))</f>
        <v/>
      </c>
      <c r="Q35" s="1235"/>
      <c r="R35" s="1236"/>
      <c r="S35" s="1234" t="str">
        <f>IF(AW15="","",IF(AW16="W",0,IF(AW15=2,1,IF(AW15=1,2,IF(AW15=0,2)))))</f>
        <v/>
      </c>
      <c r="T35" s="1235"/>
      <c r="U35" s="1236"/>
      <c r="V35" s="1234" t="str">
        <f>IF(AW17="","",IF(AW18="W",0,IF(AW17=2,1,IF(AW17=1,2,IF(AW17=0,2)))))</f>
        <v/>
      </c>
      <c r="W35" s="1235"/>
      <c r="X35" s="1236"/>
      <c r="Y35" s="1234" t="str">
        <f>IF(AW19="","",IF(AW20="W",0,IF(AW19=2,1,IF(AW19=1,2,IF(AW19=0,2)))))</f>
        <v/>
      </c>
      <c r="Z35" s="1235"/>
      <c r="AA35" s="1236"/>
      <c r="AB35" s="1234" t="str">
        <f>IF(AW21="","",IF(AW22="W",0,IF(AW21=2,1,IF(AW21=1,2,IF(AW21=0,2)))))</f>
        <v/>
      </c>
      <c r="AC35" s="1235"/>
      <c r="AD35" s="1236"/>
      <c r="AE35" s="1234" t="str">
        <f>IF(AW23="","",IF(AW24="W",0,IF(AW23=2,1,IF(AW23=1,2,IF(AW23=0,2)))))</f>
        <v/>
      </c>
      <c r="AF35" s="1235"/>
      <c r="AG35" s="1236"/>
      <c r="AH35" s="1234" t="str">
        <f>IF(AW25="","",IF(AW26="W",0,IF(AW25=2,1,IF(AW25=1,2,IF(AW25=0,2)))))</f>
        <v/>
      </c>
      <c r="AI35" s="1235"/>
      <c r="AJ35" s="1236"/>
      <c r="AK35" s="1234" t="str">
        <f>IF(AW27="","",IF(AW28="W",0,IF(AW27=2,1,IF(AW27=1,2,IF(AW27=0,2)))))</f>
        <v/>
      </c>
      <c r="AL35" s="1235"/>
      <c r="AM35" s="1236"/>
      <c r="AN35" s="1234" t="str">
        <f>IF(AW29="","",IF(AW30="W",0,IF(AW29=2,1,IF(AW29=1,2,IF(AW29=0,2)))))</f>
        <v/>
      </c>
      <c r="AO35" s="1235"/>
      <c r="AP35" s="1236"/>
      <c r="AQ35" s="1234" t="str">
        <f>IF(AW31="","",IF(AW32="W",0,IF(AW31=2,1,IF(AW31=1,2,IF(AW31=0,2)))))</f>
        <v/>
      </c>
      <c r="AR35" s="1235"/>
      <c r="AS35" s="1236"/>
      <c r="AT35" s="1234" t="str">
        <f>IF(AW33="","",IF(AW34="W",0,IF(AW33=2,1,IF(AW33=1,2,IF(AW33=0,2)))))</f>
        <v/>
      </c>
      <c r="AU35" s="1235"/>
      <c r="AV35" s="1236"/>
      <c r="AW35" s="1228"/>
      <c r="AX35" s="1229"/>
      <c r="AY35" s="1230"/>
      <c r="AZ35" s="1242" t="str">
        <f t="shared" ref="AZ35" si="14">IF(B35="","",SUM(G35,J35,M35,P35,S35,V35,Y35,AB35,AE35,AH35,AK35,AN35,AQ35,AT35,AW35,D35))</f>
        <v/>
      </c>
      <c r="BA35" s="1243"/>
      <c r="BB35" s="1220"/>
      <c r="BC35" s="1222" t="str">
        <f>IF(B35="","",RANK(AZ35,Ф2Оч)+16)</f>
        <v/>
      </c>
    </row>
    <row r="36" spans="1:55" ht="15.75" customHeight="1" x14ac:dyDescent="0.25">
      <c r="A36" s="1251"/>
      <c r="B36" s="1224"/>
      <c r="C36" s="134" t="str">
        <f>IF(B35="","",VLOOKUP(B35,'Списки участников'!A:H,6,FALSE))</f>
        <v/>
      </c>
      <c r="D36" s="141" t="str">
        <f>IF(AW5="","",AY6)</f>
        <v/>
      </c>
      <c r="E36" s="136" t="str">
        <f>IF(AX6="","",":")</f>
        <v/>
      </c>
      <c r="F36" s="142" t="str">
        <f>IF(AY6="","",AW6)</f>
        <v/>
      </c>
      <c r="G36" s="141" t="str">
        <f>IF(AW7="","",AY8)</f>
        <v/>
      </c>
      <c r="H36" s="136" t="str">
        <f>IF(AX8="","",":")</f>
        <v/>
      </c>
      <c r="I36" s="142" t="str">
        <f>IF(AY8="","",AW8)</f>
        <v/>
      </c>
      <c r="J36" s="141" t="str">
        <f>IF(AW10="","",IF(AY10="l","W",AY10))</f>
        <v/>
      </c>
      <c r="K36" s="136" t="str">
        <f>IF(AX10="","",":")</f>
        <v/>
      </c>
      <c r="L36" s="142" t="str">
        <f>IF(AY10="","",AW10)</f>
        <v/>
      </c>
      <c r="M36" s="141" t="str">
        <f>IF(AW11="","",AY12)</f>
        <v/>
      </c>
      <c r="N36" s="136" t="str">
        <f>IF(AX12="","",":")</f>
        <v/>
      </c>
      <c r="O36" s="142" t="str">
        <f>IF(AY12="","",AW12)</f>
        <v/>
      </c>
      <c r="P36" s="141" t="str">
        <f>IF(AW13="","",AY14)</f>
        <v/>
      </c>
      <c r="Q36" s="136" t="str">
        <f>IF(AX14="","",":")</f>
        <v/>
      </c>
      <c r="R36" s="142" t="str">
        <f>IF(AY14="","",AW14)</f>
        <v/>
      </c>
      <c r="S36" s="141" t="str">
        <f>IF(AW15="","",AY16)</f>
        <v/>
      </c>
      <c r="T36" s="136" t="str">
        <f>IF(AX16="","",":")</f>
        <v/>
      </c>
      <c r="U36" s="142" t="str">
        <f>IF(AY16="","",AW16)</f>
        <v/>
      </c>
      <c r="V36" s="141" t="str">
        <f>IF(AW17="","",AY18)</f>
        <v/>
      </c>
      <c r="W36" s="136" t="str">
        <f>IF(AX18="","",":")</f>
        <v/>
      </c>
      <c r="X36" s="142" t="str">
        <f>IF(AY18="","",AW18)</f>
        <v/>
      </c>
      <c r="Y36" s="141" t="str">
        <f>IF(AW19="","",AY20)</f>
        <v/>
      </c>
      <c r="Z36" s="136" t="str">
        <f>IF(AX20="","",":")</f>
        <v/>
      </c>
      <c r="AA36" s="142" t="str">
        <f>IF(AY20="","",AW20)</f>
        <v/>
      </c>
      <c r="AB36" s="141" t="str">
        <f>IF(AW21="","",AY22)</f>
        <v/>
      </c>
      <c r="AC36" s="136" t="str">
        <f>IF(AX22="","",":")</f>
        <v/>
      </c>
      <c r="AD36" s="142" t="str">
        <f>IF(AY22="","",AW22)</f>
        <v/>
      </c>
      <c r="AE36" s="141" t="str">
        <f>IF(AW23="","",AY24)</f>
        <v/>
      </c>
      <c r="AF36" s="136" t="str">
        <f>IF(AX24="","",":")</f>
        <v/>
      </c>
      <c r="AG36" s="142" t="str">
        <f>IF(AY24="","",AW24)</f>
        <v/>
      </c>
      <c r="AH36" s="141" t="str">
        <f>IF(AW25="","",AY26)</f>
        <v/>
      </c>
      <c r="AI36" s="136" t="str">
        <f>IF(AX26="","",":")</f>
        <v/>
      </c>
      <c r="AJ36" s="142" t="str">
        <f>IF(AY26="","",AW26)</f>
        <v/>
      </c>
      <c r="AK36" s="141" t="str">
        <f>IF(AW27="","",AY28)</f>
        <v/>
      </c>
      <c r="AL36" s="136" t="str">
        <f>IF(AX28="","",":")</f>
        <v/>
      </c>
      <c r="AM36" s="142" t="str">
        <f>IF(AY28="","",AW28)</f>
        <v/>
      </c>
      <c r="AN36" s="141" t="str">
        <f>IF(AW29="","",AY30)</f>
        <v/>
      </c>
      <c r="AO36" s="136" t="str">
        <f>IF(AX30="","",":")</f>
        <v/>
      </c>
      <c r="AP36" s="142" t="str">
        <f>IF(AY30="","",AW30)</f>
        <v/>
      </c>
      <c r="AQ36" s="141" t="str">
        <f>IF(AW31="","",AY32)</f>
        <v/>
      </c>
      <c r="AR36" s="136" t="str">
        <f>IF(AX32="","",":")</f>
        <v/>
      </c>
      <c r="AS36" s="142" t="str">
        <f>IF(AY32="","",AW32)</f>
        <v/>
      </c>
      <c r="AT36" s="141" t="str">
        <f>IF(AW33="","",AY34)</f>
        <v/>
      </c>
      <c r="AU36" s="136" t="str">
        <f>IF(AX34="","",":")</f>
        <v/>
      </c>
      <c r="AV36" s="142" t="str">
        <f>IF(AY34="","",AW34)</f>
        <v/>
      </c>
      <c r="AW36" s="1231"/>
      <c r="AX36" s="1232"/>
      <c r="AY36" s="1233"/>
      <c r="AZ36" s="1244"/>
      <c r="BA36" s="1245"/>
      <c r="BB36" s="1221"/>
      <c r="BC36" s="1222"/>
    </row>
    <row r="38" spans="1:55" ht="18.75" x14ac:dyDescent="0.3">
      <c r="C38" s="143" t="s">
        <v>760</v>
      </c>
      <c r="D38" s="143"/>
      <c r="E38" s="1252" t="str">
        <f>'Списки участников'!H47</f>
        <v>Винокуров А.К</v>
      </c>
      <c r="F38" s="1252"/>
      <c r="G38" s="1252"/>
      <c r="H38" s="1252"/>
      <c r="I38" s="1252"/>
      <c r="J38" s="1252"/>
      <c r="K38" s="1252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253" t="s">
        <v>761</v>
      </c>
      <c r="X38" s="1253"/>
      <c r="Y38" s="1253"/>
      <c r="Z38" s="1253"/>
      <c r="AA38" s="1253"/>
      <c r="AB38" s="1253"/>
      <c r="AC38" s="1253"/>
      <c r="AD38" s="1253"/>
      <c r="AE38" s="1253"/>
      <c r="AF38" s="1253"/>
      <c r="AG38" s="1253"/>
      <c r="AH38" s="1253"/>
      <c r="AI38" s="143"/>
      <c r="AJ38" s="143"/>
      <c r="AK38" s="143"/>
      <c r="AL38" s="1253" t="str">
        <f>'Списки участников'!H48</f>
        <v>Брусин С.Б., Кашулина А.И.</v>
      </c>
      <c r="AM38" s="1253"/>
      <c r="AN38" s="1253"/>
      <c r="AO38" s="1253"/>
      <c r="AP38" s="1253"/>
      <c r="AQ38" s="1253"/>
      <c r="AR38" s="1253"/>
      <c r="AS38" s="1253"/>
      <c r="AT38" s="1253"/>
      <c r="AU38" s="1253"/>
      <c r="AV38" s="1253"/>
      <c r="AW38" s="1253"/>
      <c r="AX38" s="1253"/>
      <c r="AY38" s="1253"/>
      <c r="AZ38" s="1253"/>
      <c r="BA38" s="1253"/>
      <c r="BB38" s="1253"/>
      <c r="BC38" s="143"/>
    </row>
  </sheetData>
  <mergeCells count="362">
    <mergeCell ref="BC35:BC36"/>
    <mergeCell ref="E38:K38"/>
    <mergeCell ref="W38:AH38"/>
    <mergeCell ref="AL38:BB38"/>
    <mergeCell ref="AN35:AP35"/>
    <mergeCell ref="AQ35:AS35"/>
    <mergeCell ref="AT35:AV35"/>
    <mergeCell ref="AW35:AY36"/>
    <mergeCell ref="AZ35:BA36"/>
    <mergeCell ref="BB35:BB36"/>
    <mergeCell ref="V35:X35"/>
    <mergeCell ref="Y35:AA35"/>
    <mergeCell ref="AB35:AD35"/>
    <mergeCell ref="AE35:AG35"/>
    <mergeCell ref="AH35:AJ35"/>
    <mergeCell ref="AK35:AM35"/>
    <mergeCell ref="AN33:AP33"/>
    <mergeCell ref="AQ33:AS33"/>
    <mergeCell ref="AT33:AV34"/>
    <mergeCell ref="AW33:AY33"/>
    <mergeCell ref="AZ33:BA34"/>
    <mergeCell ref="S33:U33"/>
    <mergeCell ref="V33:X33"/>
    <mergeCell ref="Y33:AA33"/>
    <mergeCell ref="AB33:AD33"/>
    <mergeCell ref="AE33:AG33"/>
    <mergeCell ref="AH33:AJ33"/>
    <mergeCell ref="A35:A36"/>
    <mergeCell ref="B35:B36"/>
    <mergeCell ref="D35:F35"/>
    <mergeCell ref="G35:I35"/>
    <mergeCell ref="J35:L35"/>
    <mergeCell ref="M35:O35"/>
    <mergeCell ref="P35:R35"/>
    <mergeCell ref="S35:U35"/>
    <mergeCell ref="AK33:AM33"/>
    <mergeCell ref="BC31:BC32"/>
    <mergeCell ref="A33:A34"/>
    <mergeCell ref="B33:B34"/>
    <mergeCell ref="D33:F33"/>
    <mergeCell ref="G33:I33"/>
    <mergeCell ref="J33:L33"/>
    <mergeCell ref="M33:O33"/>
    <mergeCell ref="P33:R33"/>
    <mergeCell ref="AH31:AJ31"/>
    <mergeCell ref="AK31:AM31"/>
    <mergeCell ref="AN31:AP31"/>
    <mergeCell ref="AQ31:AS32"/>
    <mergeCell ref="AT31:AV31"/>
    <mergeCell ref="AW31:AY31"/>
    <mergeCell ref="P31:R31"/>
    <mergeCell ref="S31:U31"/>
    <mergeCell ref="V31:X31"/>
    <mergeCell ref="Y31:AA31"/>
    <mergeCell ref="AB31:AD31"/>
    <mergeCell ref="AE31:AG31"/>
    <mergeCell ref="A31:A32"/>
    <mergeCell ref="B31:B32"/>
    <mergeCell ref="BB33:BB34"/>
    <mergeCell ref="BC33:BC34"/>
    <mergeCell ref="D31:F31"/>
    <mergeCell ref="G31:I31"/>
    <mergeCell ref="J31:L31"/>
    <mergeCell ref="M31:O31"/>
    <mergeCell ref="AQ29:AS29"/>
    <mergeCell ref="AT29:AV29"/>
    <mergeCell ref="AW29:AY29"/>
    <mergeCell ref="AZ29:BA30"/>
    <mergeCell ref="BB29:BB30"/>
    <mergeCell ref="AZ31:BA32"/>
    <mergeCell ref="BB31:BB32"/>
    <mergeCell ref="BC29:BC30"/>
    <mergeCell ref="Y29:AA29"/>
    <mergeCell ref="AB29:AD29"/>
    <mergeCell ref="AE29:AG29"/>
    <mergeCell ref="AH29:AJ29"/>
    <mergeCell ref="AK29:AM29"/>
    <mergeCell ref="AN29:AP30"/>
    <mergeCell ref="BC27:BC28"/>
    <mergeCell ref="A29:A30"/>
    <mergeCell ref="B29:B30"/>
    <mergeCell ref="D29:F29"/>
    <mergeCell ref="G29:I29"/>
    <mergeCell ref="J29:L29"/>
    <mergeCell ref="M29:O29"/>
    <mergeCell ref="P29:R29"/>
    <mergeCell ref="S29:U29"/>
    <mergeCell ref="V29:X29"/>
    <mergeCell ref="AN27:AP27"/>
    <mergeCell ref="AQ27:AS27"/>
    <mergeCell ref="AT27:AV27"/>
    <mergeCell ref="AW27:AY27"/>
    <mergeCell ref="AZ27:BA28"/>
    <mergeCell ref="BB27:BB28"/>
    <mergeCell ref="V27:X27"/>
    <mergeCell ref="BB25:BB26"/>
    <mergeCell ref="BC25:BC26"/>
    <mergeCell ref="A27:A28"/>
    <mergeCell ref="B27:B28"/>
    <mergeCell ref="D27:F27"/>
    <mergeCell ref="G27:I27"/>
    <mergeCell ref="J27:L27"/>
    <mergeCell ref="M27:O27"/>
    <mergeCell ref="P27:R27"/>
    <mergeCell ref="S27:U27"/>
    <mergeCell ref="AK25:AM25"/>
    <mergeCell ref="AN25:AP25"/>
    <mergeCell ref="AQ25:AS25"/>
    <mergeCell ref="AT25:AV25"/>
    <mergeCell ref="AW25:AY25"/>
    <mergeCell ref="AZ25:BA26"/>
    <mergeCell ref="S25:U25"/>
    <mergeCell ref="V25:X25"/>
    <mergeCell ref="Y25:AA25"/>
    <mergeCell ref="S23:U23"/>
    <mergeCell ref="V23:X23"/>
    <mergeCell ref="Y23:AA23"/>
    <mergeCell ref="AB23:AD23"/>
    <mergeCell ref="Y27:AA27"/>
    <mergeCell ref="AB27:AD27"/>
    <mergeCell ref="AE27:AG27"/>
    <mergeCell ref="AH27:AJ27"/>
    <mergeCell ref="AK27:AM28"/>
    <mergeCell ref="A23:A24"/>
    <mergeCell ref="B23:B24"/>
    <mergeCell ref="D23:F23"/>
    <mergeCell ref="G23:I23"/>
    <mergeCell ref="J23:L23"/>
    <mergeCell ref="M23:O23"/>
    <mergeCell ref="AQ21:AS21"/>
    <mergeCell ref="AT21:AV21"/>
    <mergeCell ref="AB25:AD25"/>
    <mergeCell ref="AE25:AG25"/>
    <mergeCell ref="AH25:AJ26"/>
    <mergeCell ref="A25:A26"/>
    <mergeCell ref="B25:B26"/>
    <mergeCell ref="D25:F25"/>
    <mergeCell ref="G25:I25"/>
    <mergeCell ref="J25:L25"/>
    <mergeCell ref="M25:O25"/>
    <mergeCell ref="P25:R25"/>
    <mergeCell ref="AH23:AJ23"/>
    <mergeCell ref="AK23:AM23"/>
    <mergeCell ref="AN23:AP23"/>
    <mergeCell ref="AQ23:AS23"/>
    <mergeCell ref="AT23:AV23"/>
    <mergeCell ref="P23:R23"/>
    <mergeCell ref="BB21:BB22"/>
    <mergeCell ref="BC21:BC22"/>
    <mergeCell ref="Y21:AA21"/>
    <mergeCell ref="AB21:AD22"/>
    <mergeCell ref="AE21:AG21"/>
    <mergeCell ref="AH21:AJ21"/>
    <mergeCell ref="AK21:AM21"/>
    <mergeCell ref="AN21:AP21"/>
    <mergeCell ref="AE23:AG24"/>
    <mergeCell ref="AZ23:BA24"/>
    <mergeCell ref="BB23:BB24"/>
    <mergeCell ref="BC23:BC24"/>
    <mergeCell ref="AW23:AY23"/>
    <mergeCell ref="BC19:BC20"/>
    <mergeCell ref="A21:A22"/>
    <mergeCell ref="B21:B22"/>
    <mergeCell ref="D21:F21"/>
    <mergeCell ref="G21:I21"/>
    <mergeCell ref="J21:L21"/>
    <mergeCell ref="M21:O21"/>
    <mergeCell ref="P21:R21"/>
    <mergeCell ref="S21:U21"/>
    <mergeCell ref="V21:X21"/>
    <mergeCell ref="AN19:AP19"/>
    <mergeCell ref="AQ19:AS19"/>
    <mergeCell ref="AT19:AV19"/>
    <mergeCell ref="AW19:AY19"/>
    <mergeCell ref="AZ19:BA20"/>
    <mergeCell ref="BB19:BB20"/>
    <mergeCell ref="V19:X19"/>
    <mergeCell ref="Y19:AA20"/>
    <mergeCell ref="AB19:AD19"/>
    <mergeCell ref="AE19:AG19"/>
    <mergeCell ref="AH19:AJ19"/>
    <mergeCell ref="AK19:AM19"/>
    <mergeCell ref="AW21:AY21"/>
    <mergeCell ref="AZ21:BA22"/>
    <mergeCell ref="AN17:AP17"/>
    <mergeCell ref="AQ17:AS17"/>
    <mergeCell ref="AT17:AV17"/>
    <mergeCell ref="AW17:AY17"/>
    <mergeCell ref="AZ17:BA18"/>
    <mergeCell ref="S17:U17"/>
    <mergeCell ref="V17:X18"/>
    <mergeCell ref="Y17:AA17"/>
    <mergeCell ref="AB17:AD17"/>
    <mergeCell ref="AE17:AG17"/>
    <mergeCell ref="AH17:AJ17"/>
    <mergeCell ref="A19:A20"/>
    <mergeCell ref="B19:B20"/>
    <mergeCell ref="D19:F19"/>
    <mergeCell ref="G19:I19"/>
    <mergeCell ref="J19:L19"/>
    <mergeCell ref="M19:O19"/>
    <mergeCell ref="P19:R19"/>
    <mergeCell ref="S19:U19"/>
    <mergeCell ref="AK17:AM17"/>
    <mergeCell ref="BC15:BC16"/>
    <mergeCell ref="A17:A18"/>
    <mergeCell ref="B17:B18"/>
    <mergeCell ref="D17:F17"/>
    <mergeCell ref="G17:I17"/>
    <mergeCell ref="J17:L17"/>
    <mergeCell ref="M17:O17"/>
    <mergeCell ref="P17:R17"/>
    <mergeCell ref="AH15:AJ15"/>
    <mergeCell ref="AK15:AM15"/>
    <mergeCell ref="AN15:AP15"/>
    <mergeCell ref="AQ15:AS15"/>
    <mergeCell ref="AT15:AV15"/>
    <mergeCell ref="AW15:AY15"/>
    <mergeCell ref="P15:R15"/>
    <mergeCell ref="S15:U16"/>
    <mergeCell ref="V15:X15"/>
    <mergeCell ref="Y15:AA15"/>
    <mergeCell ref="AB15:AD15"/>
    <mergeCell ref="AE15:AG15"/>
    <mergeCell ref="A15:A16"/>
    <mergeCell ref="B15:B16"/>
    <mergeCell ref="BB17:BB18"/>
    <mergeCell ref="BC17:BC18"/>
    <mergeCell ref="D15:F15"/>
    <mergeCell ref="G15:I15"/>
    <mergeCell ref="J15:L15"/>
    <mergeCell ref="M15:O15"/>
    <mergeCell ref="AQ13:AS13"/>
    <mergeCell ref="AT13:AV13"/>
    <mergeCell ref="AW13:AY13"/>
    <mergeCell ref="AZ13:BA14"/>
    <mergeCell ref="BB13:BB14"/>
    <mergeCell ref="AZ15:BA16"/>
    <mergeCell ref="BB15:BB16"/>
    <mergeCell ref="BC13:BC14"/>
    <mergeCell ref="Y13:AA13"/>
    <mergeCell ref="AB13:AD13"/>
    <mergeCell ref="AE13:AG13"/>
    <mergeCell ref="AH13:AJ13"/>
    <mergeCell ref="AK13:AM13"/>
    <mergeCell ref="AN13:AP13"/>
    <mergeCell ref="BC11:BC12"/>
    <mergeCell ref="A13:A14"/>
    <mergeCell ref="B13:B14"/>
    <mergeCell ref="D13:F13"/>
    <mergeCell ref="G13:I13"/>
    <mergeCell ref="J13:L13"/>
    <mergeCell ref="M13:O13"/>
    <mergeCell ref="P13:R14"/>
    <mergeCell ref="S13:U13"/>
    <mergeCell ref="V13:X13"/>
    <mergeCell ref="AN11:AP11"/>
    <mergeCell ref="AQ11:AS11"/>
    <mergeCell ref="AT11:AV11"/>
    <mergeCell ref="AW11:AY11"/>
    <mergeCell ref="AZ11:BA12"/>
    <mergeCell ref="BB11:BB12"/>
    <mergeCell ref="V11:X11"/>
    <mergeCell ref="Y11:AA11"/>
    <mergeCell ref="AB11:AD11"/>
    <mergeCell ref="AE11:AG11"/>
    <mergeCell ref="AH11:AJ11"/>
    <mergeCell ref="AK11:AM11"/>
    <mergeCell ref="BC9:BC10"/>
    <mergeCell ref="BE10:BL10"/>
    <mergeCell ref="A11:A12"/>
    <mergeCell ref="B11:B12"/>
    <mergeCell ref="D11:F11"/>
    <mergeCell ref="G11:I11"/>
    <mergeCell ref="J11:L11"/>
    <mergeCell ref="M11:O12"/>
    <mergeCell ref="P11:R11"/>
    <mergeCell ref="S11:U11"/>
    <mergeCell ref="AN9:AP9"/>
    <mergeCell ref="AQ9:AS9"/>
    <mergeCell ref="AT9:AV9"/>
    <mergeCell ref="AW9:AY9"/>
    <mergeCell ref="AZ9:BA10"/>
    <mergeCell ref="BB9:BB10"/>
    <mergeCell ref="V9:X9"/>
    <mergeCell ref="Y9:AA9"/>
    <mergeCell ref="AB9:AD9"/>
    <mergeCell ref="AE9:AG9"/>
    <mergeCell ref="AH9:AJ9"/>
    <mergeCell ref="AK9:AM9"/>
    <mergeCell ref="BB7:BB8"/>
    <mergeCell ref="BC7:BC8"/>
    <mergeCell ref="A9:A10"/>
    <mergeCell ref="B9:B10"/>
    <mergeCell ref="D9:F9"/>
    <mergeCell ref="G9:I9"/>
    <mergeCell ref="J9:L10"/>
    <mergeCell ref="M9:O9"/>
    <mergeCell ref="P9:R9"/>
    <mergeCell ref="S9:U9"/>
    <mergeCell ref="AK7:AM7"/>
    <mergeCell ref="AN7:AP7"/>
    <mergeCell ref="AQ7:AS7"/>
    <mergeCell ref="AT7:AV7"/>
    <mergeCell ref="AW7:AY7"/>
    <mergeCell ref="AZ7:BA8"/>
    <mergeCell ref="S7:U7"/>
    <mergeCell ref="V7:X7"/>
    <mergeCell ref="Y7:AA7"/>
    <mergeCell ref="AB7:AD7"/>
    <mergeCell ref="AE7:AG7"/>
    <mergeCell ref="AH7:AJ7"/>
    <mergeCell ref="AZ5:BA6"/>
    <mergeCell ref="BB5:BB6"/>
    <mergeCell ref="BC5:BC6"/>
    <mergeCell ref="A7:A8"/>
    <mergeCell ref="B7:B8"/>
    <mergeCell ref="D7:F7"/>
    <mergeCell ref="G7:I8"/>
    <mergeCell ref="J7:L7"/>
    <mergeCell ref="M7:O7"/>
    <mergeCell ref="P7:R7"/>
    <mergeCell ref="AH5:AJ5"/>
    <mergeCell ref="AK5:AM5"/>
    <mergeCell ref="AN5:AP5"/>
    <mergeCell ref="AQ5:AS5"/>
    <mergeCell ref="AT5:AV5"/>
    <mergeCell ref="AW5:AY5"/>
    <mergeCell ref="P5:R5"/>
    <mergeCell ref="S5:U5"/>
    <mergeCell ref="V5:X5"/>
    <mergeCell ref="Y5:AA5"/>
    <mergeCell ref="AB5:AD5"/>
    <mergeCell ref="AE5:AG5"/>
    <mergeCell ref="A5:A6"/>
    <mergeCell ref="B5:B6"/>
    <mergeCell ref="D5:F6"/>
    <mergeCell ref="G5:I5"/>
    <mergeCell ref="J5:L5"/>
    <mergeCell ref="M5:O5"/>
    <mergeCell ref="AK4:AM4"/>
    <mergeCell ref="AN4:AP4"/>
    <mergeCell ref="AQ4:AS4"/>
    <mergeCell ref="AT4:AV4"/>
    <mergeCell ref="AW4:AY4"/>
    <mergeCell ref="AZ4:BA4"/>
    <mergeCell ref="S4:U4"/>
    <mergeCell ref="V4:X4"/>
    <mergeCell ref="Y4:AA4"/>
    <mergeCell ref="AB4:AD4"/>
    <mergeCell ref="AE4:AG4"/>
    <mergeCell ref="AH4:AJ4"/>
    <mergeCell ref="A1:BA1"/>
    <mergeCell ref="C2:F2"/>
    <mergeCell ref="I2:AH2"/>
    <mergeCell ref="AK2:BB2"/>
    <mergeCell ref="D3:O3"/>
    <mergeCell ref="D4:F4"/>
    <mergeCell ref="G4:I4"/>
    <mergeCell ref="J4:L4"/>
    <mergeCell ref="M4:O4"/>
    <mergeCell ref="P4:R4"/>
  </mergeCells>
  <conditionalFormatting sqref="BC5:BC36">
    <cfRule type="duplicateValues" dxfId="15" priority="1"/>
    <cfRule type="duplicateValues" dxfId="14" priority="2"/>
    <cfRule type="duplicateValues" dxfId="13" priority="3"/>
  </conditionalFormatting>
  <pageMargins left="0.51181102362204722" right="0.51181102362204722" top="0.74803149606299213" bottom="0.74803149606299213" header="0.31496062992125984" footer="0.31496062992125984"/>
  <pageSetup paperSize="9" scale="79" orientation="landscape" r:id="rId1"/>
  <colBreaks count="2" manualBreakCount="2">
    <brk id="55" max="1048575" man="1"/>
    <brk id="75" max="37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T38"/>
  <sheetViews>
    <sheetView view="pageBreakPreview" zoomScale="90" zoomScaleNormal="80" zoomScaleSheetLayoutView="90" workbookViewId="0">
      <selection activeCell="AZ7" sqref="AZ7:BA8"/>
    </sheetView>
  </sheetViews>
  <sheetFormatPr defaultRowHeight="15" outlineLevelCol="1" x14ac:dyDescent="0.25"/>
  <cols>
    <col min="1" max="1" width="4.83203125" style="128" customWidth="1"/>
    <col min="2" max="2" width="4.83203125" style="128" hidden="1" customWidth="1" outlineLevel="1"/>
    <col min="3" max="3" width="29.6640625" style="128" customWidth="1" collapsed="1"/>
    <col min="4" max="51" width="2.6640625" style="128" customWidth="1"/>
    <col min="52" max="52" width="5.33203125" style="128" customWidth="1"/>
    <col min="53" max="53" width="4.6640625" style="128" customWidth="1"/>
    <col min="54" max="54" width="9.1640625" style="128" customWidth="1"/>
    <col min="55" max="55" width="8.33203125" style="128" customWidth="1"/>
    <col min="56" max="56" width="8.1640625" style="128" customWidth="1"/>
    <col min="57" max="16384" width="9.33203125" style="128"/>
  </cols>
  <sheetData>
    <row r="1" spans="1:98" ht="18.75" x14ac:dyDescent="0.25">
      <c r="A1" s="1218" t="str">
        <f>'Списки участников'!A1</f>
        <v xml:space="preserve">X Спартакиада
среди предприятий Нижегородской области ФСК "Профсоюзов",
под девизом "Будь спортивным - будь успешным!"
</v>
      </c>
      <c r="B1" s="1256"/>
      <c r="C1" s="1256"/>
      <c r="D1" s="1256"/>
      <c r="E1" s="1256"/>
      <c r="F1" s="1256"/>
      <c r="G1" s="1256"/>
      <c r="H1" s="1256"/>
      <c r="I1" s="1256"/>
      <c r="J1" s="1256"/>
      <c r="K1" s="1256"/>
      <c r="L1" s="1256"/>
      <c r="M1" s="1256"/>
      <c r="N1" s="1256"/>
      <c r="O1" s="1256"/>
      <c r="P1" s="1256"/>
      <c r="Q1" s="1256"/>
      <c r="R1" s="1256"/>
      <c r="S1" s="1256"/>
      <c r="T1" s="1256"/>
      <c r="U1" s="1256"/>
      <c r="V1" s="1256"/>
      <c r="W1" s="1256"/>
      <c r="X1" s="1256"/>
      <c r="Y1" s="1256"/>
      <c r="Z1" s="1256"/>
      <c r="AA1" s="1256"/>
      <c r="AB1" s="1256"/>
      <c r="AC1" s="1256"/>
      <c r="AD1" s="1256"/>
      <c r="AE1" s="1256"/>
      <c r="AF1" s="1256"/>
      <c r="AG1" s="1256"/>
      <c r="AH1" s="1256"/>
      <c r="AI1" s="1256"/>
      <c r="AJ1" s="1256"/>
      <c r="AK1" s="1256"/>
      <c r="AL1" s="1256"/>
      <c r="AM1" s="1256"/>
      <c r="AN1" s="1256"/>
      <c r="AO1" s="1256"/>
      <c r="AP1" s="1256"/>
      <c r="AQ1" s="1256"/>
      <c r="AR1" s="1256"/>
      <c r="AS1" s="1256"/>
      <c r="AT1" s="1256"/>
      <c r="AU1" s="1256"/>
      <c r="AV1" s="1256"/>
      <c r="AW1" s="1256"/>
      <c r="AX1" s="1256"/>
      <c r="AY1" s="1256"/>
      <c r="AZ1" s="1256"/>
      <c r="BA1" s="1256"/>
    </row>
    <row r="2" spans="1:98" ht="18.75" x14ac:dyDescent="0.25">
      <c r="C2" s="1216" t="str">
        <f>'Списки участников'!C3</f>
        <v>22 октября 2016 г.</v>
      </c>
      <c r="D2" s="1216"/>
      <c r="E2" s="1216"/>
      <c r="F2" s="1216"/>
      <c r="G2" s="917"/>
      <c r="H2" s="917"/>
      <c r="I2" s="1218" t="str">
        <f>'Списки участников'!A2</f>
        <v>Соревнования по настольному теннису</v>
      </c>
      <c r="J2" s="1219"/>
      <c r="K2" s="1219"/>
      <c r="L2" s="1219"/>
      <c r="M2" s="1219"/>
      <c r="N2" s="1219"/>
      <c r="O2" s="1219"/>
      <c r="P2" s="1219"/>
      <c r="Q2" s="1219"/>
      <c r="R2" s="1219"/>
      <c r="S2" s="1219"/>
      <c r="T2" s="1219"/>
      <c r="U2" s="1219"/>
      <c r="V2" s="1219"/>
      <c r="W2" s="1219"/>
      <c r="X2" s="1219"/>
      <c r="Y2" s="1219"/>
      <c r="Z2" s="1219"/>
      <c r="AA2" s="1219"/>
      <c r="AB2" s="1219"/>
      <c r="AC2" s="1219"/>
      <c r="AD2" s="1219"/>
      <c r="AE2" s="1219"/>
      <c r="AF2" s="1219"/>
      <c r="AG2" s="1219"/>
      <c r="AH2" s="1219"/>
      <c r="AI2" s="917"/>
      <c r="AJ2" s="917"/>
      <c r="AK2" s="1217">
        <f>'Списки участников'!H3</f>
        <v>0</v>
      </c>
      <c r="AL2" s="1217"/>
      <c r="AM2" s="1217"/>
      <c r="AN2" s="1217"/>
      <c r="AO2" s="1217"/>
      <c r="AP2" s="1217"/>
      <c r="AQ2" s="1217"/>
      <c r="AR2" s="1217"/>
      <c r="AS2" s="1217"/>
      <c r="AT2" s="1217"/>
      <c r="AU2" s="1217"/>
      <c r="AV2" s="1217"/>
      <c r="AW2" s="1217"/>
      <c r="AX2" s="1217"/>
      <c r="AY2" s="1217"/>
      <c r="AZ2" s="1217"/>
      <c r="BA2" s="1217"/>
      <c r="BB2" s="1217"/>
    </row>
    <row r="3" spans="1:98" ht="18.75" x14ac:dyDescent="0.3">
      <c r="C3" s="919" t="s">
        <v>1045</v>
      </c>
      <c r="D3" s="1214">
        <f>'Списки участников'!D6</f>
        <v>0</v>
      </c>
      <c r="E3" s="1215"/>
      <c r="F3" s="1215"/>
      <c r="G3" s="1215"/>
      <c r="H3" s="1215"/>
      <c r="I3" s="1215"/>
      <c r="J3" s="1215"/>
      <c r="K3" s="1215"/>
      <c r="L3" s="1215"/>
      <c r="M3" s="1215"/>
      <c r="N3" s="1215"/>
      <c r="O3" s="1215"/>
    </row>
    <row r="4" spans="1:98" x14ac:dyDescent="0.25">
      <c r="A4" s="129" t="s">
        <v>3</v>
      </c>
      <c r="B4" s="916"/>
      <c r="C4" s="131" t="s">
        <v>757</v>
      </c>
      <c r="D4" s="1211">
        <v>1</v>
      </c>
      <c r="E4" s="1212"/>
      <c r="F4" s="1213"/>
      <c r="G4" s="1211">
        <v>2</v>
      </c>
      <c r="H4" s="1212"/>
      <c r="I4" s="1213"/>
      <c r="J4" s="1211">
        <v>3</v>
      </c>
      <c r="K4" s="1212"/>
      <c r="L4" s="1213"/>
      <c r="M4" s="1211">
        <v>4</v>
      </c>
      <c r="N4" s="1212"/>
      <c r="O4" s="1213"/>
      <c r="P4" s="1211">
        <v>5</v>
      </c>
      <c r="Q4" s="1212"/>
      <c r="R4" s="1213"/>
      <c r="S4" s="1211">
        <v>6</v>
      </c>
      <c r="T4" s="1212"/>
      <c r="U4" s="1213"/>
      <c r="V4" s="1211">
        <v>7</v>
      </c>
      <c r="W4" s="1212"/>
      <c r="X4" s="1213"/>
      <c r="Y4" s="1211">
        <v>8</v>
      </c>
      <c r="Z4" s="1212"/>
      <c r="AA4" s="1213"/>
      <c r="AB4" s="1211">
        <v>9</v>
      </c>
      <c r="AC4" s="1212"/>
      <c r="AD4" s="1213"/>
      <c r="AE4" s="1211">
        <v>10</v>
      </c>
      <c r="AF4" s="1212"/>
      <c r="AG4" s="1213"/>
      <c r="AH4" s="1211">
        <v>11</v>
      </c>
      <c r="AI4" s="1212"/>
      <c r="AJ4" s="1213"/>
      <c r="AK4" s="1211">
        <v>12</v>
      </c>
      <c r="AL4" s="1212"/>
      <c r="AM4" s="1213"/>
      <c r="AN4" s="1211">
        <v>13</v>
      </c>
      <c r="AO4" s="1212"/>
      <c r="AP4" s="1213"/>
      <c r="AQ4" s="1211">
        <v>14</v>
      </c>
      <c r="AR4" s="1212"/>
      <c r="AS4" s="1213"/>
      <c r="AT4" s="1211">
        <v>15</v>
      </c>
      <c r="AU4" s="1212"/>
      <c r="AV4" s="1213"/>
      <c r="AW4" s="1211">
        <v>16</v>
      </c>
      <c r="AX4" s="1212"/>
      <c r="AY4" s="1213"/>
      <c r="AZ4" s="1211" t="s">
        <v>758</v>
      </c>
      <c r="BA4" s="1213"/>
      <c r="BB4" s="918" t="s">
        <v>759</v>
      </c>
      <c r="BC4" s="132" t="s">
        <v>100</v>
      </c>
      <c r="BE4" s="903"/>
    </row>
    <row r="5" spans="1:98" ht="15.75" customHeight="1" x14ac:dyDescent="0.25">
      <c r="A5" s="1175">
        <v>1</v>
      </c>
      <c r="B5" s="1237"/>
      <c r="C5" s="133" t="str">
        <f>IF(B5="","",VLOOKUP(B5,'Списки участников'!A:H,3,FALSE))</f>
        <v/>
      </c>
      <c r="D5" s="1246"/>
      <c r="E5" s="1246"/>
      <c r="F5" s="1247"/>
      <c r="G5" s="1234" t="str">
        <f>IF('св.прот 3ф'!H117="","",IF(G6="L",0,IF(G6&gt;I6,2,1)))</f>
        <v/>
      </c>
      <c r="H5" s="1235"/>
      <c r="I5" s="1236"/>
      <c r="J5" s="1234" t="str">
        <f>IF('св.прот 3ф'!H109="","",IF(J6="L",0,IF(J6&gt;L6,2,1)))</f>
        <v/>
      </c>
      <c r="K5" s="1235"/>
      <c r="L5" s="1236"/>
      <c r="M5" s="1234" t="str">
        <f>IF('св.прот 3ф'!H101="","",IF(M6="L",0,IF(M6&gt;O6,2,1)))</f>
        <v/>
      </c>
      <c r="N5" s="1235"/>
      <c r="O5" s="1236"/>
      <c r="P5" s="1234" t="str">
        <f>IF('св.прот 3ф'!H93="","",IF(P6="L",0,IF(P6&gt;R6,2,1)))</f>
        <v/>
      </c>
      <c r="Q5" s="1235"/>
      <c r="R5" s="1236"/>
      <c r="S5" s="1234" t="str">
        <f>IF('св.прот 3ф'!H85="","",IF(S6="L",0,IF(S6&gt;U6,2,1)))</f>
        <v/>
      </c>
      <c r="T5" s="1235"/>
      <c r="U5" s="1236"/>
      <c r="V5" s="1234" t="str">
        <f>IF('св.прот 3ф'!H77="","",IF(V6="L",0,IF(V6&gt;X6,2,1)))</f>
        <v/>
      </c>
      <c r="W5" s="1235"/>
      <c r="X5" s="1236"/>
      <c r="Y5" s="1234" t="str">
        <f>IF('св.прот 3ф'!H69="","",IF(Y6="L",0,IF(Y6&gt;AA6,2,1)))</f>
        <v/>
      </c>
      <c r="Z5" s="1235"/>
      <c r="AA5" s="1236"/>
      <c r="AB5" s="1234" t="str">
        <f>IF('св.прот 3ф'!H61="","",IF(AB6="L",0,IF(AB6&gt;AD6,2,1)))</f>
        <v/>
      </c>
      <c r="AC5" s="1235"/>
      <c r="AD5" s="1236"/>
      <c r="AE5" s="1234" t="str">
        <f>IF('св.прот 3ф'!H53="","",IF(AE6="L",0,IF(AE6&gt;AG6,2,1)))</f>
        <v/>
      </c>
      <c r="AF5" s="1235"/>
      <c r="AG5" s="1236"/>
      <c r="AH5" s="1234" t="str">
        <f>IF('св.прот 3ф'!H45="","",IF(AH6="L",0,IF(AH6&gt;AJ6,2,1)))</f>
        <v/>
      </c>
      <c r="AI5" s="1235"/>
      <c r="AJ5" s="1236"/>
      <c r="AK5" s="1234" t="str">
        <f>IF('св.прот 3ф'!H37="","",IF(AK6="L",0,IF(AK6&gt;AM6,2,1)))</f>
        <v/>
      </c>
      <c r="AL5" s="1235"/>
      <c r="AM5" s="1236"/>
      <c r="AN5" s="1234" t="str">
        <f>IF('св.прот 3ф'!H29="","",IF(AN6="L",0,IF(AN6&gt;AP6,2,1)))</f>
        <v/>
      </c>
      <c r="AO5" s="1235"/>
      <c r="AP5" s="1236"/>
      <c r="AQ5" s="1234" t="str">
        <f>IF('св.прот 3ф'!H21="","",IF(AQ6="L",0,IF(AQ6&gt;AS6,2,1)))</f>
        <v/>
      </c>
      <c r="AR5" s="1235"/>
      <c r="AS5" s="1236"/>
      <c r="AT5" s="1234" t="str">
        <f>IF('св.прот 3ф'!H13="","",IF(AT6="L",0,IF(AT6&gt;AV6,2,1)))</f>
        <v/>
      </c>
      <c r="AU5" s="1235"/>
      <c r="AV5" s="1236"/>
      <c r="AW5" s="1234" t="str">
        <f>IF('св.прот 3ф'!H5="","",IF(AW6="L",0,IF(AW6&gt;AY6,2,1)))</f>
        <v/>
      </c>
      <c r="AX5" s="1235"/>
      <c r="AY5" s="1236"/>
      <c r="AZ5" s="1242" t="str">
        <f>IF(B5="","",SUM(G5,J5,M5,P5,S5,V5,Y5,AB5,AE5,AH5,AK5,AN5,AQ5,AT5,AW5,D5))</f>
        <v/>
      </c>
      <c r="BA5" s="1243"/>
      <c r="BB5" s="1220"/>
      <c r="BC5" s="1222" t="str">
        <f>IF(B5="","",RANK(AZ5,Ф3Оч)+32)</f>
        <v/>
      </c>
      <c r="BD5" s="128" t="str">
        <f>IF('св.прот 3ф'!BE117="","",IF(BD6="L",0,IF(BD6&gt;BF6,2,1)))</f>
        <v/>
      </c>
      <c r="BG5" s="128" t="str">
        <f>IF('св.прот 3ф'!BE109="","",IF(BG6="L",0,IF(BG6&gt;BI6,2,1)))</f>
        <v/>
      </c>
      <c r="BJ5" s="128" t="str">
        <f>IF('св.прот 3ф'!BE101="","",IF(BJ6="L",0,IF(BJ6&gt;BL6,2,1)))</f>
        <v/>
      </c>
      <c r="BM5" s="128" t="str">
        <f>IF('св.прот 3ф'!BE93="","",IF(BM6="L",0,IF(BM6&gt;BO6,2,1)))</f>
        <v/>
      </c>
      <c r="BP5" s="128" t="str">
        <f>IF('св.прот 3ф'!BE85="","",IF(BP6="L",0,IF(BP6&gt;BR6,2,1)))</f>
        <v/>
      </c>
      <c r="BS5" s="128" t="str">
        <f>IF('св.прот 3ф'!BE77="","",IF(BS6="L",0,IF(BS6&gt;BU6,2,1)))</f>
        <v/>
      </c>
      <c r="BV5" s="128" t="str">
        <f>IF('св.прот 3ф'!BE69="","",IF(BV6="L",0,IF(BV6&gt;BX6,2,1)))</f>
        <v/>
      </c>
      <c r="BY5" s="128" t="str">
        <f>IF('св.прот 3ф'!BE61="","",IF(BY6="L",0,IF(BY6&gt;CA6,2,1)))</f>
        <v/>
      </c>
      <c r="CB5" s="128" t="str">
        <f>IF('св.прот 3ф'!BE53="","",IF(CB6="L",0,IF(CB6&gt;CD6,2,1)))</f>
        <v/>
      </c>
      <c r="CE5" s="128" t="str">
        <f>IF('св.прот 3ф'!BE45="","",IF(CE6="L",0,IF(CE6&gt;CG6,2,1)))</f>
        <v/>
      </c>
      <c r="CH5" s="128" t="str">
        <f>IF('св.прот 3ф'!BE37="","",IF(CH6="L",0,IF(CH6&gt;CJ6,2,1)))</f>
        <v/>
      </c>
      <c r="CK5" s="128" t="str">
        <f>IF('св.прот 3ф'!BE29="","",IF(CK6="L",0,IF(CK6&gt;CM6,2,1)))</f>
        <v/>
      </c>
      <c r="CN5" s="128" t="str">
        <f>IF('св.прот 3ф'!BE21="","",IF(CN6="L",0,IF(CN6&gt;CP6,2,1)))</f>
        <v/>
      </c>
      <c r="CQ5" s="128" t="str">
        <f>IF('св.прот 3ф'!BE13="","",IF(CQ6="L",0,IF(CQ6&gt;CS6,2,1)))</f>
        <v/>
      </c>
      <c r="CT5" s="128" t="str">
        <f>IF('св.прот 3ф'!BE5="","",IF(CT6="L",0,IF(CT6&gt;CV6,2,1)))</f>
        <v/>
      </c>
    </row>
    <row r="6" spans="1:98" ht="15.75" customHeight="1" x14ac:dyDescent="0.25">
      <c r="A6" s="1176"/>
      <c r="B6" s="1238"/>
      <c r="C6" s="134" t="str">
        <f>IF(B5="","",VLOOKUP(B5,'Списки участников'!A:H,6,FALSE))</f>
        <v/>
      </c>
      <c r="D6" s="1232"/>
      <c r="E6" s="1232"/>
      <c r="F6" s="1233"/>
      <c r="G6" s="135" t="str">
        <f>IF('св.прот 3ф'!H117="","",IF('св.прот 3ф'!D117='св.прот 3ф'!H117,'св.прот 3ф'!O117,'св.прот 3ф'!P117))</f>
        <v/>
      </c>
      <c r="H6" s="136" t="str">
        <f>IF(G5="","",":")</f>
        <v/>
      </c>
      <c r="I6" s="137" t="str">
        <f>IF('св.прот 3ф'!H117="","",IF('св.прот 3ф'!D117='св.прот 3ф'!H117,'св.прот 3ф'!P117,'св.прот 3ф'!O117))</f>
        <v/>
      </c>
      <c r="J6" s="135" t="str">
        <f>IF('св.прот 3ф'!H109="","",IF('св.прот 3ф'!D109='св.прот 3ф'!H109,'св.прот 3ф'!O109,'св.прот 3ф'!P109))</f>
        <v/>
      </c>
      <c r="K6" s="136" t="str">
        <f>IF(J5="","",":")</f>
        <v/>
      </c>
      <c r="L6" s="137" t="str">
        <f>IF('св.прот 3ф'!H109="","",IF('св.прот 3ф'!D109='св.прот 3ф'!H109,'св.прот 3ф'!P109,'св.прот 3ф'!O109))</f>
        <v/>
      </c>
      <c r="M6" s="135" t="str">
        <f>IF('св.прот 3ф'!H101="","",IF('св.прот 3ф'!D101='св.прот 3ф'!H101,'св.прот 3ф'!O101,'св.прот 3ф'!P101))</f>
        <v/>
      </c>
      <c r="N6" s="136" t="str">
        <f>IF(M5="","",":")</f>
        <v/>
      </c>
      <c r="O6" s="137" t="str">
        <f>IF('св.прот 3ф'!H101="","",IF('св.прот 3ф'!D101='св.прот 3ф'!H101,'св.прот 3ф'!P101,'св.прот 3ф'!O101))</f>
        <v/>
      </c>
      <c r="P6" s="135" t="str">
        <f>IF('св.прот 3ф'!H93="","",IF('св.прот 3ф'!D93='св.прот 3ф'!H93,'св.прот 3ф'!O93,'св.прот 3ф'!P93))</f>
        <v/>
      </c>
      <c r="Q6" s="136" t="str">
        <f>IF(P5="","",":")</f>
        <v/>
      </c>
      <c r="R6" s="137" t="str">
        <f>IF('св.прот 3ф'!H93="","",IF('св.прот 3ф'!D93='св.прот 3ф'!H93,'св.прот 3ф'!P93,'св.прот 3ф'!O93))</f>
        <v/>
      </c>
      <c r="S6" s="135" t="str">
        <f>IF('св.прот 3ф'!H85="","",IF('св.прот 3ф'!D85='св.прот 3ф'!H85,'св.прот 3ф'!O85,'св.прот 3ф'!P85))</f>
        <v/>
      </c>
      <c r="T6" s="136" t="str">
        <f>IF(S5="","",":")</f>
        <v/>
      </c>
      <c r="U6" s="137" t="str">
        <f>IF('св.прот 3ф'!H85="","",IF('св.прот 3ф'!D85='св.прот 3ф'!H85,'св.прот 3ф'!P85,'св.прот 3ф'!O85))</f>
        <v/>
      </c>
      <c r="V6" s="135" t="str">
        <f>IF('св.прот 3ф'!H77="","",IF('св.прот 3ф'!D77='св.прот 3ф'!H77,'св.прот 3ф'!O77,'св.прот 3ф'!P77))</f>
        <v/>
      </c>
      <c r="W6" s="136" t="str">
        <f>IF(V5="","",":")</f>
        <v/>
      </c>
      <c r="X6" s="137" t="str">
        <f>IF('св.прот 3ф'!H77="","",IF('св.прот 3ф'!D77='св.прот 3ф'!H77,'св.прот 3ф'!P77,'св.прот 3ф'!O77))</f>
        <v/>
      </c>
      <c r="Y6" s="135" t="str">
        <f>IF('св.прот 3ф'!H69="","",IF('св.прот 3ф'!D69='св.прот 3ф'!H69,'св.прот 3ф'!O69,'св.прот 3ф'!P69))</f>
        <v/>
      </c>
      <c r="Z6" s="136" t="str">
        <f>IF(Y5="","",":")</f>
        <v/>
      </c>
      <c r="AA6" s="137" t="str">
        <f>IF('св.прот 3ф'!H69="","",IF('св.прот 3ф'!D69='св.прот 3ф'!H69,'св.прот 3ф'!P69,'св.прот 3ф'!O69))</f>
        <v/>
      </c>
      <c r="AB6" s="135" t="str">
        <f>IF('св.прот 3ф'!H61="","",IF('св.прот 3ф'!D61='св.прот 3ф'!H61,'св.прот 3ф'!O61,'св.прот 3ф'!P61))</f>
        <v/>
      </c>
      <c r="AC6" s="136" t="str">
        <f>IF(AB5="","",":")</f>
        <v/>
      </c>
      <c r="AD6" s="137" t="str">
        <f>IF('св.прот 3ф'!H61="","",IF('св.прот 3ф'!D61='св.прот 3ф'!H61,'св.прот 3ф'!P61,'св.прот 3ф'!O61))</f>
        <v/>
      </c>
      <c r="AE6" s="135" t="str">
        <f>IF('св.прот 3ф'!H53="","",IF('св.прот 3ф'!D53='св.прот 3ф'!H53,'св.прот 3ф'!O53,'св.прот 3ф'!P53))</f>
        <v/>
      </c>
      <c r="AF6" s="136" t="str">
        <f>IF(AE5="","",":")</f>
        <v/>
      </c>
      <c r="AG6" s="137" t="str">
        <f>IF('св.прот 3ф'!H53="","",IF('св.прот 3ф'!D53='св.прот 3ф'!H53,'св.прот 3ф'!P53,'св.прот 3ф'!O53))</f>
        <v/>
      </c>
      <c r="AH6" s="135" t="str">
        <f>IF('св.прот 3ф'!H45="","",IF('св.прот 3ф'!D45='св.прот 3ф'!H45,'св.прот 3ф'!O45,'св.прот 3ф'!P45))</f>
        <v/>
      </c>
      <c r="AI6" s="136" t="str">
        <f>IF(AH5="","",":")</f>
        <v/>
      </c>
      <c r="AJ6" s="137" t="str">
        <f>IF('св.прот 3ф'!H45="","",IF('св.прот 3ф'!D45='св.прот 3ф'!H45,'св.прот 3ф'!P45,'св.прот 3ф'!O45))</f>
        <v/>
      </c>
      <c r="AK6" s="135" t="str">
        <f>IF('св.прот 3ф'!H37="","",IF('св.прот 3ф'!D37='св.прот 3ф'!H37,'св.прот 3ф'!O37,'св.прот 3ф'!P37))</f>
        <v/>
      </c>
      <c r="AL6" s="136" t="str">
        <f>IF(AK5="","",":")</f>
        <v/>
      </c>
      <c r="AM6" s="137" t="str">
        <f>IF('св.прот 3ф'!H37="","",IF('св.прот 3ф'!D37='св.прот 3ф'!H37,'св.прот 3ф'!P37,'св.прот 3ф'!O37))</f>
        <v/>
      </c>
      <c r="AN6" s="135" t="str">
        <f>IF('св.прот 3ф'!H29="","",IF('св.прот 3ф'!D29='св.прот 3ф'!H29,'св.прот 3ф'!O29,'св.прот 3ф'!P29))</f>
        <v/>
      </c>
      <c r="AO6" s="136" t="str">
        <f>IF(AN5="","",":")</f>
        <v/>
      </c>
      <c r="AP6" s="137" t="str">
        <f>IF('св.прот 3ф'!H29="","",IF('св.прот 3ф'!D29='св.прот 3ф'!H29,'св.прот 3ф'!P29,'св.прот 3ф'!O29))</f>
        <v/>
      </c>
      <c r="AQ6" s="135" t="str">
        <f>IF('св.прот 3ф'!H21="","",IF('св.прот 3ф'!D21='св.прот 3ф'!H21,'св.прот 3ф'!O21,'св.прот 3ф'!P21))</f>
        <v/>
      </c>
      <c r="AR6" s="136" t="str">
        <f>IF(AQ5="","",":")</f>
        <v/>
      </c>
      <c r="AS6" s="137" t="str">
        <f>IF('св.прот 3ф'!H21="","",IF('св.прот 3ф'!D21='св.прот 3ф'!H21,'св.прот 3ф'!P21,'св.прот 3ф'!O21))</f>
        <v/>
      </c>
      <c r="AT6" s="135" t="str">
        <f>IF('св.прот 3ф'!H13="","",IF('св.прот 3ф'!D13='св.прот 3ф'!H13,'св.прот 3ф'!O13,'св.прот 3ф'!P13))</f>
        <v/>
      </c>
      <c r="AU6" s="136" t="str">
        <f>IF(AT5="","",":")</f>
        <v/>
      </c>
      <c r="AV6" s="137" t="str">
        <f>IF('св.прот 3ф'!H13="","",IF('св.прот 3ф'!D13='св.прот 3ф'!H13,'св.прот 3ф'!P13,'св.прот 3ф'!O13))</f>
        <v/>
      </c>
      <c r="AW6" s="135" t="str">
        <f>IF('св.прот 3ф'!H5="","",IF('св.прот 3ф'!D5='св.прот 3ф'!H5,'св.прот 3ф'!O5,'св.прот 3ф'!P5))</f>
        <v/>
      </c>
      <c r="AX6" s="136" t="str">
        <f>IF(AW5="","",":")</f>
        <v/>
      </c>
      <c r="AY6" s="137" t="str">
        <f>IF('св.прот 3ф'!H5="","",IF('св.прот 3ф'!D5='св.прот 3ф'!H5,'св.прот 3ф'!P5,'св.прот 3ф'!O5))</f>
        <v/>
      </c>
      <c r="AZ6" s="1244"/>
      <c r="BA6" s="1245"/>
      <c r="BB6" s="1221"/>
      <c r="BC6" s="1222"/>
      <c r="BG6" s="128" t="str">
        <f>IF('св.прот 3ф'!BE110="","",IF(BG7="L",0,IF(BG7&gt;BI7,2,1)))</f>
        <v/>
      </c>
      <c r="BJ6" s="128" t="str">
        <f>IF('св.прот 3ф'!BE102="","",IF(BJ7="L",0,IF(BJ7&gt;BL7,2,1)))</f>
        <v/>
      </c>
      <c r="BM6" s="128" t="str">
        <f>IF('св.прот 3ф'!BE94="","",IF(BM7="L",0,IF(BM7&gt;BO7,2,1)))</f>
        <v/>
      </c>
      <c r="BP6" s="128" t="str">
        <f>IF('св.прот 3ф'!BE86="","",IF(BP7="L",0,IF(BP7&gt;BR7,2,1)))</f>
        <v/>
      </c>
      <c r="BS6" s="128" t="str">
        <f>IF('св.прот 3ф'!BE78="","",IF(BS7="L",0,IF(BS7&gt;BU7,2,1)))</f>
        <v/>
      </c>
    </row>
    <row r="7" spans="1:98" ht="15.75" customHeight="1" x14ac:dyDescent="0.25">
      <c r="A7" s="1175">
        <v>2</v>
      </c>
      <c r="B7" s="1223"/>
      <c r="C7" s="133" t="str">
        <f>IF(B7="","",VLOOKUP(B7,'Списки участников'!A:H,3,FALSE))</f>
        <v/>
      </c>
      <c r="D7" s="1225" t="str">
        <f>IF(G5="","",IF(G6="W",0,IF(G5=2,1,IF(G5=1,2,IF(G5=0,2)))))</f>
        <v/>
      </c>
      <c r="E7" s="1226"/>
      <c r="F7" s="1227"/>
      <c r="G7" s="1228"/>
      <c r="H7" s="1229"/>
      <c r="I7" s="1230"/>
      <c r="J7" s="1234" t="str">
        <f>IF('св.прот 3ф'!H60="","",IF(J8="L",0,IF(J8&gt;L8,2,1)))</f>
        <v/>
      </c>
      <c r="K7" s="1235"/>
      <c r="L7" s="1236"/>
      <c r="M7" s="1234" t="str">
        <f>IF('св.прот 3ф'!H110="","",IF(M8="L",0,IF(M8&gt;O8,2,1)))</f>
        <v/>
      </c>
      <c r="N7" s="1235"/>
      <c r="O7" s="1236"/>
      <c r="P7" s="1234" t="str">
        <f>IF('св.прот 3ф'!H51="","",IF(P8="L",0,IF(P8&gt;R8,2,1)))</f>
        <v/>
      </c>
      <c r="Q7" s="1235"/>
      <c r="R7" s="1236"/>
      <c r="S7" s="1234" t="str">
        <f>IF('св.прот 3ф'!H103="","",IF(S8="L",0,IF(S8&gt;U8,2,1)))</f>
        <v/>
      </c>
      <c r="T7" s="1235"/>
      <c r="U7" s="1236"/>
      <c r="V7" s="1234" t="str">
        <f>IF('св.прот 3ф'!H42="","",IF(V8="L",0,IF(V8&gt;X8,2,1)))</f>
        <v/>
      </c>
      <c r="W7" s="1235"/>
      <c r="X7" s="1236"/>
      <c r="Y7" s="1234" t="str">
        <f>IF('св.прот 3ф'!H96="","",IF(Y8="L",0,IF(Y8&gt;AA8,2,1)))</f>
        <v/>
      </c>
      <c r="Z7" s="1235"/>
      <c r="AA7" s="1236"/>
      <c r="AB7" s="1234" t="str">
        <f>IF('св.прот 3ф'!H33="","",IF(AB8="L",0,IF(AB8&gt;AD8,2,1)))</f>
        <v/>
      </c>
      <c r="AC7" s="1235"/>
      <c r="AD7" s="1236"/>
      <c r="AE7" s="1234" t="str">
        <f>IF('св.прот 3ф'!H89="","",IF(AE8="L",0,IF(AE8&gt;AG8,2,1)))</f>
        <v/>
      </c>
      <c r="AF7" s="1235"/>
      <c r="AG7" s="1236"/>
      <c r="AH7" s="1234" t="str">
        <f>IF('св.прот 3ф'!H24="","",IF(AH8="L",0,IF(AH8&gt;AJ8,2,1)))</f>
        <v/>
      </c>
      <c r="AI7" s="1235"/>
      <c r="AJ7" s="1236"/>
      <c r="AK7" s="1234" t="str">
        <f>IF('св.прот 3ф'!H82="","",IF(AK8="L",0,IF(AK8&gt;AM8,2,1)))</f>
        <v/>
      </c>
      <c r="AL7" s="1235"/>
      <c r="AM7" s="1236"/>
      <c r="AN7" s="1234" t="str">
        <f>IF('св.прот 3ф'!H15="","",IF(AN8="L",0,IF(AN8&gt;AP8,2,1)))</f>
        <v/>
      </c>
      <c r="AO7" s="1235"/>
      <c r="AP7" s="1236"/>
      <c r="AQ7" s="1234" t="str">
        <f>IF('св.прот 3ф'!H75="","",IF(AQ8="L",0,IF(AQ8&gt;AS8,2,1)))</f>
        <v/>
      </c>
      <c r="AR7" s="1235"/>
      <c r="AS7" s="1236"/>
      <c r="AT7" s="1234" t="str">
        <f>IF('св.прот 3ф'!H6="","",IF(AT8="L",0,IF(AT8&gt;AV8,2,1)))</f>
        <v/>
      </c>
      <c r="AU7" s="1235"/>
      <c r="AV7" s="1236"/>
      <c r="AW7" s="1234" t="str">
        <f>IF('св.прот 3ф'!H68="","",IF(AW8="L",0,IF(AW8&gt;AY8,2,1)))</f>
        <v/>
      </c>
      <c r="AX7" s="1235"/>
      <c r="AY7" s="1236"/>
      <c r="AZ7" s="1242" t="str">
        <f t="shared" ref="AZ7" si="0">IF(B7="","",SUM(G7,J7,M7,P7,S7,V7,Y7,AB7,AE7,AH7,AK7,AN7,AQ7,AT7,AW7,D7))</f>
        <v/>
      </c>
      <c r="BA7" s="1243"/>
      <c r="BB7" s="1220"/>
      <c r="BC7" s="1222" t="str">
        <f>IF(B7="","",RANK(AZ7,Ф3Оч)+32)</f>
        <v/>
      </c>
    </row>
    <row r="8" spans="1:98" ht="15.75" customHeight="1" x14ac:dyDescent="0.25">
      <c r="A8" s="1176"/>
      <c r="B8" s="1224"/>
      <c r="C8" s="134" t="str">
        <f>IF(B7="","",VLOOKUP(B7,'Списки участников'!A:H,6,FALSE))</f>
        <v/>
      </c>
      <c r="D8" s="138" t="str">
        <f>IF(G5="","",I6)</f>
        <v/>
      </c>
      <c r="E8" s="139" t="str">
        <f>IF(G5="","",":")</f>
        <v/>
      </c>
      <c r="F8" s="140" t="str">
        <f>IF(I6="","",G6)</f>
        <v/>
      </c>
      <c r="G8" s="1231"/>
      <c r="H8" s="1232"/>
      <c r="I8" s="1233"/>
      <c r="J8" s="926" t="str">
        <f>IF('св.прот 3ф'!H60="","",IF('св.прот 3ф'!D60='св.прот 3ф'!H60,'св.прот 3ф'!O60,'св.прот 3ф'!P60))</f>
        <v/>
      </c>
      <c r="K8" s="927" t="str">
        <f>IF(J7="","",":")</f>
        <v/>
      </c>
      <c r="L8" s="928" t="str">
        <f>IF('св.прот 3ф'!H60="","",IF('св.прот 3ф'!D60='св.прот 3ф'!H60,'св.прот 3ф'!P60,'св.прот 3ф'!O60))</f>
        <v/>
      </c>
      <c r="M8" s="926" t="str">
        <f>IF('св.прот 3ф'!H110="","",IF('св.прот 3ф'!D110='св.прот 3ф'!H110,'св.прот 3ф'!O110,'св.прот 3ф'!P110))</f>
        <v/>
      </c>
      <c r="N8" s="927" t="str">
        <f>IF(M7="","",":")</f>
        <v/>
      </c>
      <c r="O8" s="928" t="str">
        <f>IF('св.прот 3ф'!H110="","",IF('св.прот 3ф'!D110='св.прот 3ф'!H110,'св.прот 3ф'!P110,'св.прот 3ф'!O110))</f>
        <v/>
      </c>
      <c r="P8" s="926" t="str">
        <f>IF('св.прот 3ф'!H51="","",IF('св.прот 3ф'!D51='св.прот 3ф'!H51,'св.прот 3ф'!O51,'св.прот 3ф'!P51))</f>
        <v/>
      </c>
      <c r="Q8" s="927" t="str">
        <f>IF(P7="","",":")</f>
        <v/>
      </c>
      <c r="R8" s="928" t="str">
        <f>IF('св.прот 3ф'!H51="","",IF('св.прот 3ф'!D51='св.прот 3ф'!H51,'св.прот 3ф'!P51,'св.прот 3ф'!O51))</f>
        <v/>
      </c>
      <c r="S8" s="926" t="str">
        <f>IF('св.прот 3ф'!H103="","",IF('св.прот 3ф'!D103='св.прот 3ф'!H103,'св.прот 3ф'!O103,'св.прот 3ф'!P103))</f>
        <v/>
      </c>
      <c r="T8" s="927" t="str">
        <f>IF(S7="","",":")</f>
        <v/>
      </c>
      <c r="U8" s="928" t="str">
        <f>IF('св.прот 3ф'!H103="","",IF('св.прот 3ф'!D103='св.прот 3ф'!H103,'св.прот 3ф'!P103,'св.прот 3ф'!O103))</f>
        <v/>
      </c>
      <c r="V8" s="926" t="str">
        <f>IF('св.прот 3ф'!H42="","",IF('св.прот 3ф'!D42='св.прот 3ф'!H42,'св.прот 3ф'!O42,'св.прот 3ф'!P42))</f>
        <v/>
      </c>
      <c r="W8" s="927" t="str">
        <f>IF(V7="","",":")</f>
        <v/>
      </c>
      <c r="X8" s="928" t="str">
        <f>IF('св.прот 3ф'!H42="","",IF('св.прот 3ф'!D42='св.прот 3ф'!H42,'св.прот 3ф'!P42,'св.прот 3ф'!O42))</f>
        <v/>
      </c>
      <c r="Y8" s="926" t="str">
        <f>IF('св.прот 3ф'!H96="","",IF('св.прот 3ф'!D96='св.прот 3ф'!H96,'св.прот 3ф'!O96,'св.прот 3ф'!P96))</f>
        <v/>
      </c>
      <c r="Z8" s="927" t="str">
        <f>IF(Y7="","",":")</f>
        <v/>
      </c>
      <c r="AA8" s="928" t="str">
        <f>IF('св.прот 3ф'!H96="","",IF('св.прот 3ф'!D96='св.прот 3ф'!H96,'св.прот 3ф'!P96,'св.прот 3ф'!O96))</f>
        <v/>
      </c>
      <c r="AB8" s="926" t="str">
        <f>IF('св.прот 3ф'!H33="","",IF('св.прот 3ф'!D33='св.прот 3ф'!H33,'св.прот 3ф'!O33,'св.прот 3ф'!P33))</f>
        <v/>
      </c>
      <c r="AC8" s="927" t="str">
        <f>IF(AB7="","",":")</f>
        <v/>
      </c>
      <c r="AD8" s="928" t="str">
        <f>IF('св.прот 3ф'!H33="","",IF('св.прот 3ф'!D33='св.прот 3ф'!H33,'св.прот 3ф'!P33,'св.прот 3ф'!O33))</f>
        <v/>
      </c>
      <c r="AE8" s="926" t="str">
        <f>IF('св.прот 3ф'!H89="","",IF('св.прот 3ф'!D89='св.прот 3ф'!H89,'св.прот 3ф'!O89,'св.прот 3ф'!P89))</f>
        <v/>
      </c>
      <c r="AF8" s="927" t="str">
        <f>IF(AE7="","",":")</f>
        <v/>
      </c>
      <c r="AG8" s="928" t="str">
        <f>IF('св.прот 3ф'!H89="","",IF('св.прот 3ф'!D89='св.прот 3ф'!H89,'св.прот 3ф'!P89,'св.прот 3ф'!O89))</f>
        <v/>
      </c>
      <c r="AH8" s="926" t="str">
        <f>IF('св.прот 3ф'!H24="","",IF('св.прот 3ф'!D24='св.прот 3ф'!H24,'св.прот 3ф'!O24,'св.прот 3ф'!P24))</f>
        <v/>
      </c>
      <c r="AI8" s="927" t="str">
        <f>IF(AH7="","",":")</f>
        <v/>
      </c>
      <c r="AJ8" s="928" t="str">
        <f>IF('св.прот 3ф'!H24="","",IF('св.прот 3ф'!D24='св.прот 3ф'!H24,'св.прот 3ф'!P24,'св.прот 3ф'!O24))</f>
        <v/>
      </c>
      <c r="AK8" s="926" t="str">
        <f>IF('св.прот 3ф'!H82="","",IF('св.прот 3ф'!D82='св.прот 3ф'!H82,'св.прот 3ф'!O82,'св.прот 3ф'!P82))</f>
        <v/>
      </c>
      <c r="AL8" s="927" t="str">
        <f>IF(AK7="","",":")</f>
        <v/>
      </c>
      <c r="AM8" s="928" t="str">
        <f>IF('св.прот 3ф'!H82="","",IF('св.прот 3ф'!D82='св.прот 3ф'!H82,'св.прот 3ф'!P82,'св.прот 3ф'!O82))</f>
        <v/>
      </c>
      <c r="AN8" s="926" t="str">
        <f>IF('св.прот 3ф'!H15="","",IF('св.прот 3ф'!D15='св.прот 3ф'!H15,'св.прот 3ф'!O15,'св.прот 3ф'!P15))</f>
        <v/>
      </c>
      <c r="AO8" s="927" t="str">
        <f>IF(AN7="","",":")</f>
        <v/>
      </c>
      <c r="AP8" s="928" t="str">
        <f>IF('св.прот 3ф'!H15="","",IF('св.прот 3ф'!D15='св.прот 3ф'!H15,'св.прот 3ф'!P15,'св.прот 3ф'!O15))</f>
        <v/>
      </c>
      <c r="AQ8" s="926" t="str">
        <f>IF('св.прот 3ф'!H75="","",IF('св.прот 3ф'!D75='св.прот 3ф'!H75,'св.прот 3ф'!O75,'св.прот 3ф'!P75))</f>
        <v/>
      </c>
      <c r="AR8" s="927" t="str">
        <f>IF(AQ7="","",":")</f>
        <v/>
      </c>
      <c r="AS8" s="928" t="str">
        <f>IF('св.прот 3ф'!H75="","",IF('св.прот 3ф'!D75='св.прот 3ф'!H75,'св.прот 3ф'!P75,'св.прот 3ф'!O75))</f>
        <v/>
      </c>
      <c r="AT8" s="926" t="str">
        <f>IF('св.прот 3ф'!H6="","",IF('св.прот 3ф'!D6='св.прот 3ф'!H6,'св.прот 3ф'!O6,'св.прот 3ф'!P6))</f>
        <v/>
      </c>
      <c r="AU8" s="927" t="str">
        <f>IF(AT7="","",":")</f>
        <v/>
      </c>
      <c r="AV8" s="928" t="str">
        <f>IF('св.прот 3ф'!H6="","",IF('св.прот 3ф'!D6='св.прот 3ф'!H6,'св.прот 3ф'!P6,'св.прот 3ф'!O6))</f>
        <v/>
      </c>
      <c r="AW8" s="926" t="str">
        <f>IF('св.прот 3ф'!H68="","",IF('св.прот 3ф'!D68='св.прот 3ф'!H68,'св.прот 3ф'!O68,'св.прот 3ф'!P68))</f>
        <v/>
      </c>
      <c r="AX8" s="927" t="str">
        <f>IF(AW7="","",":")</f>
        <v/>
      </c>
      <c r="AY8" s="928" t="str">
        <f>IF('св.прот 3ф'!H68="","",IF('св.прот 3ф'!D68='св.прот 3ф'!H68,'св.прот 3ф'!P68,'св.прот 3ф'!O68))</f>
        <v/>
      </c>
      <c r="AZ8" s="1244"/>
      <c r="BA8" s="1245"/>
      <c r="BB8" s="1221"/>
      <c r="BC8" s="1222"/>
    </row>
    <row r="9" spans="1:98" ht="15.75" customHeight="1" x14ac:dyDescent="0.25">
      <c r="A9" s="1175">
        <v>3</v>
      </c>
      <c r="B9" s="1237"/>
      <c r="C9" s="133" t="str">
        <f>IF(B9="","",VLOOKUP(B9,'Списки участников'!A:H,3,FALSE))</f>
        <v/>
      </c>
      <c r="D9" s="1225" t="str">
        <f>IF(J5="","",IF(J6="W",0,IF(J5=2,1,IF(J5=1,2,IF(J5=0,2)))))</f>
        <v/>
      </c>
      <c r="E9" s="1226"/>
      <c r="F9" s="1227"/>
      <c r="G9" s="1234" t="str">
        <f>IF(J7="","",IF(J8="W",0,IF(J7=2,1,IF(J7=1,2,IF(J7=0,2)))))</f>
        <v/>
      </c>
      <c r="H9" s="1235"/>
      <c r="I9" s="1236"/>
      <c r="J9" s="1228"/>
      <c r="K9" s="1229"/>
      <c r="L9" s="1230"/>
      <c r="M9" s="1239" t="str">
        <f>IF('св.прот 3ф'!H52="","",IF(M10="L",0,IF(M10&gt;O10,2,1)))</f>
        <v/>
      </c>
      <c r="N9" s="1240"/>
      <c r="O9" s="1241"/>
      <c r="P9" s="1239" t="str">
        <f>IF('св.прот 3ф'!H102="","",IF(P10="L",0,IF(P10&gt;R10,2,1)))</f>
        <v/>
      </c>
      <c r="Q9" s="1240"/>
      <c r="R9" s="1241"/>
      <c r="S9" s="1239" t="str">
        <f>IF('св.прот 3ф'!H43="","",IF(S10="L",0,IF(S10&gt;U10,2,1)))</f>
        <v/>
      </c>
      <c r="T9" s="1240"/>
      <c r="U9" s="1241"/>
      <c r="V9" s="1239" t="str">
        <f>IF('св.прот 3ф'!H95="","",IF(V10="L",0,IF(V10&gt;X10,2,1)))</f>
        <v/>
      </c>
      <c r="W9" s="1240"/>
      <c r="X9" s="1241"/>
      <c r="Y9" s="1239" t="str">
        <f>IF('св.прот 3ф'!H34="","",IF(Y10="L",0,IF(Y10&gt;AA10,2,1)))</f>
        <v/>
      </c>
      <c r="Z9" s="1240"/>
      <c r="AA9" s="1241"/>
      <c r="AB9" s="1239" t="str">
        <f>IF('св.прот 3ф'!H88="","",IF(AB10="L",0,IF(AB10&gt;AD10,2,1)))</f>
        <v/>
      </c>
      <c r="AC9" s="1240"/>
      <c r="AD9" s="1241"/>
      <c r="AE9" s="1239" t="str">
        <f>IF('св.прот 3ф'!H25="","",IF(AE10="L",0,IF(AE10&gt;AG10,2,1)))</f>
        <v/>
      </c>
      <c r="AF9" s="1240"/>
      <c r="AG9" s="1241"/>
      <c r="AH9" s="1239" t="str">
        <f>IF('св.прот 3ф'!H81="","",IF(AH10="L",0,IF(AH10&gt;AJ10,2,1)))</f>
        <v/>
      </c>
      <c r="AI9" s="1240"/>
      <c r="AJ9" s="1241"/>
      <c r="AK9" s="1239" t="str">
        <f>IF('св.прот 3ф'!H16="","",IF(AK10="L",0,IF(AK10&gt;AM10,2,1)))</f>
        <v/>
      </c>
      <c r="AL9" s="1240"/>
      <c r="AM9" s="1241"/>
      <c r="AN9" s="1239" t="str">
        <f>IF('св.прот 3ф'!H74="","",IF(AN10="L",0,IF(AN10&gt;AP10,2,1)))</f>
        <v/>
      </c>
      <c r="AO9" s="1240"/>
      <c r="AP9" s="1241"/>
      <c r="AQ9" s="1239" t="str">
        <f>IF('св.прот 3ф'!H7="","",IF(AQ10="L",0,IF(AQ10&gt;AS10,2,1)))</f>
        <v/>
      </c>
      <c r="AR9" s="1240"/>
      <c r="AS9" s="1241"/>
      <c r="AT9" s="1239" t="str">
        <f>IF('св.прот 3ф'!H67="","",IF(AT10="L",0,IF(AT10&gt;AV10,2,1)))</f>
        <v/>
      </c>
      <c r="AU9" s="1240"/>
      <c r="AV9" s="1241"/>
      <c r="AW9" s="1239" t="str">
        <f>IF('св.прот 3ф'!H118="","",IF(AW10="L",0,IF(AW10&gt;AY10,2,1)))</f>
        <v/>
      </c>
      <c r="AX9" s="1240"/>
      <c r="AY9" s="1241"/>
      <c r="AZ9" s="1242" t="str">
        <f t="shared" ref="AZ9" si="1">IF(B9="","",SUM(G9,J9,M9,P9,S9,V9,Y9,AB9,AE9,AH9,AK9,AN9,AQ9,AT9,AW9,D9))</f>
        <v/>
      </c>
      <c r="BA9" s="1243"/>
      <c r="BB9" s="1220"/>
      <c r="BC9" s="1222" t="str">
        <f>IF(B9="","",RANK(AZ9,Ф3Оч)+32)</f>
        <v/>
      </c>
    </row>
    <row r="10" spans="1:98" ht="15.75" customHeight="1" x14ac:dyDescent="0.25">
      <c r="A10" s="1176"/>
      <c r="B10" s="1238"/>
      <c r="C10" s="134" t="str">
        <f>IF(B9="","",VLOOKUP(B9,'Списки участников'!A:H,6,FALSE))</f>
        <v/>
      </c>
      <c r="D10" s="141" t="str">
        <f>IF(J5="","",L6)</f>
        <v/>
      </c>
      <c r="E10" s="136" t="str">
        <f>IF(K6="","",":")</f>
        <v/>
      </c>
      <c r="F10" s="140" t="str">
        <f>IF(L6="","",J6)</f>
        <v/>
      </c>
      <c r="G10" s="141" t="str">
        <f>IF(J7="","",L8)</f>
        <v/>
      </c>
      <c r="H10" s="136" t="str">
        <f>IF(K8="","",":")</f>
        <v/>
      </c>
      <c r="I10" s="142" t="str">
        <f>IF(L8="","",J8)</f>
        <v/>
      </c>
      <c r="J10" s="1231"/>
      <c r="K10" s="1232"/>
      <c r="L10" s="1233"/>
      <c r="M10" s="926" t="str">
        <f>IF('св.прот 3ф'!H52="","",IF('св.прот 3ф'!D52='св.прот 3ф'!H52,'св.прот 3ф'!O52,'св.прот 3ф'!P52))</f>
        <v/>
      </c>
      <c r="N10" s="927" t="str">
        <f>IF(M9="","",":")</f>
        <v/>
      </c>
      <c r="O10" s="928" t="str">
        <f>IF('св.прот 3ф'!H52="","",IF('св.прот 3ф'!D52='св.прот 3ф'!H52,'св.прот 3ф'!P52,'св.прот 3ф'!O52))</f>
        <v/>
      </c>
      <c r="P10" s="926" t="str">
        <f>IF('св.прот 3ф'!H102="","",IF('св.прот 3ф'!D102='св.прот 3ф'!H102,'св.прот 3ф'!O102,'св.прот 3ф'!P102))</f>
        <v/>
      </c>
      <c r="Q10" s="927" t="str">
        <f>IF(P9="","",":")</f>
        <v/>
      </c>
      <c r="R10" s="928" t="str">
        <f>IF('св.прот 3ф'!H102="","",IF('св.прот 3ф'!D102='св.прот 3ф'!H102,'св.прот 3ф'!P102,'св.прот 3ф'!O102))</f>
        <v/>
      </c>
      <c r="S10" s="926" t="str">
        <f>IF('св.прот 3ф'!H43="","",IF('св.прот 3ф'!D43='св.прот 3ф'!H43,'св.прот 3ф'!O43,'св.прот 3ф'!P43))</f>
        <v/>
      </c>
      <c r="T10" s="927" t="str">
        <f>IF(S9="","",":")</f>
        <v/>
      </c>
      <c r="U10" s="928" t="str">
        <f>IF('св.прот 3ф'!H43="","",IF('св.прот 3ф'!D43='св.прот 3ф'!H43,'св.прот 3ф'!P43,'св.прот 3ф'!O43))</f>
        <v/>
      </c>
      <c r="V10" s="926" t="str">
        <f>IF('св.прот 3ф'!H95="","",IF('св.прот 3ф'!D95='св.прот 3ф'!H95,'св.прот 3ф'!O95,'св.прот 3ф'!P95))</f>
        <v/>
      </c>
      <c r="W10" s="927" t="str">
        <f>IF(V9="","",":")</f>
        <v/>
      </c>
      <c r="X10" s="928" t="str">
        <f>IF('св.прот 3ф'!H95="","",IF('св.прот 3ф'!D95='св.прот 3ф'!H95,'св.прот 3ф'!P95,'св.прот 3ф'!O95))</f>
        <v/>
      </c>
      <c r="Y10" s="926" t="str">
        <f>IF('св.прот 3ф'!H34="","",IF('св.прот 3ф'!D34='св.прот 3ф'!H34,'св.прот 3ф'!O34,'св.прот 3ф'!P34))</f>
        <v/>
      </c>
      <c r="Z10" s="927" t="str">
        <f>IF(Y9="","",":")</f>
        <v/>
      </c>
      <c r="AA10" s="928" t="str">
        <f>IF('св.прот 3ф'!H34="","",IF('св.прот 3ф'!D34='св.прот 3ф'!H34,'св.прот 3ф'!P34,'св.прот 3ф'!O34))</f>
        <v/>
      </c>
      <c r="AB10" s="926" t="str">
        <f>IF('св.прот 3ф'!H88="","",IF('св.прот 3ф'!D88='св.прот 3ф'!H88,'св.прот 3ф'!O88,'св.прот 3ф'!P88))</f>
        <v/>
      </c>
      <c r="AC10" s="927" t="str">
        <f>IF(AB9="","",":")</f>
        <v/>
      </c>
      <c r="AD10" s="928" t="str">
        <f>IF('св.прот 3ф'!H88="","",IF('св.прот 3ф'!D88='св.прот 3ф'!H88,'св.прот 3ф'!P88,'св.прот 3ф'!O88))</f>
        <v/>
      </c>
      <c r="AE10" s="926" t="str">
        <f>IF('св.прот 3ф'!H25="","",IF('св.прот 3ф'!D25='св.прот 3ф'!H25,'св.прот 3ф'!O25,'св.прот 3ф'!P25))</f>
        <v/>
      </c>
      <c r="AF10" s="927" t="str">
        <f>IF(AE9="","",":")</f>
        <v/>
      </c>
      <c r="AG10" s="928" t="str">
        <f>IF('св.прот 3ф'!H25="","",IF('св.прот 3ф'!D25='св.прот 3ф'!H25,'св.прот 3ф'!P25,'св.прот 3ф'!O25))</f>
        <v/>
      </c>
      <c r="AH10" s="926" t="str">
        <f>IF('св.прот 3ф'!H81="","",IF('св.прот 3ф'!D81='св.прот 3ф'!H81,'св.прот 3ф'!O81,'св.прот 3ф'!P81))</f>
        <v/>
      </c>
      <c r="AI10" s="927" t="str">
        <f>IF(AH9="","",":")</f>
        <v/>
      </c>
      <c r="AJ10" s="928" t="str">
        <f>IF('св.прот 3ф'!H81="","",IF('св.прот 3ф'!D81='св.прот 3ф'!H81,'св.прот 3ф'!P81,'св.прот 3ф'!O81))</f>
        <v/>
      </c>
      <c r="AK10" s="926" t="str">
        <f>IF('св.прот 3ф'!H16="","",IF('св.прот 3ф'!D16='св.прот 3ф'!H16,'св.прот 3ф'!O16,'св.прот 3ф'!P16))</f>
        <v/>
      </c>
      <c r="AL10" s="927" t="str">
        <f>IF(AK9="","",":")</f>
        <v/>
      </c>
      <c r="AM10" s="928" t="str">
        <f>IF('св.прот 3ф'!H16="","",IF('св.прот 3ф'!D16='св.прот 3ф'!H16,'св.прот 3ф'!P16,'св.прот 3ф'!O16))</f>
        <v/>
      </c>
      <c r="AN10" s="926" t="str">
        <f>IF('св.прот 3ф'!H74="","",IF('св.прот 3ф'!D74='св.прот 3ф'!H74,'св.прот 3ф'!O74,'св.прот 3ф'!P74))</f>
        <v/>
      </c>
      <c r="AO10" s="927" t="str">
        <f>IF(AN9="","",":")</f>
        <v/>
      </c>
      <c r="AP10" s="928" t="str">
        <f>IF('св.прот 3ф'!H74="","",IF('св.прот 3ф'!D74='св.прот 3ф'!H74,'св.прот 3ф'!P74,'св.прот 3ф'!O74))</f>
        <v/>
      </c>
      <c r="AQ10" s="926" t="str">
        <f>IF('св.прот 3ф'!H7="","",IF('св.прот 3ф'!D7='св.прот 3ф'!H7,'св.прот 3ф'!O7,'св.прот 3ф'!P7))</f>
        <v/>
      </c>
      <c r="AR10" s="927" t="str">
        <f>IF(AQ9="","",":")</f>
        <v/>
      </c>
      <c r="AS10" s="928" t="str">
        <f>IF('св.прот 3ф'!H7="","",IF('св.прот 3ф'!D7='св.прот 3ф'!H7,'св.прот 3ф'!P7,'св.прот 3ф'!O7))</f>
        <v/>
      </c>
      <c r="AT10" s="926" t="str">
        <f>IF('св.прот 3ф'!H67="","",IF('св.прот 3ф'!D67='св.прот 3ф'!H67,'св.прот 3ф'!O67,'св.прот 3ф'!P67))</f>
        <v/>
      </c>
      <c r="AU10" s="927" t="str">
        <f>IF(AT9="","",":")</f>
        <v/>
      </c>
      <c r="AV10" s="928" t="str">
        <f>IF('св.прот 3ф'!H67="","",IF('св.прот 3ф'!D67='св.прот 3ф'!H67,'св.прот 3ф'!P67,'св.прот 3ф'!O67))</f>
        <v/>
      </c>
      <c r="AW10" s="926" t="str">
        <f>IF('св.прот 3ф'!H118="","",IF('св.прот 3ф'!D118='св.прот 3ф'!H118,'св.прот 3ф'!O118,'св.прот 3ф'!P118))</f>
        <v/>
      </c>
      <c r="AX10" s="927" t="str">
        <f>IF(AW9="","",":")</f>
        <v/>
      </c>
      <c r="AY10" s="928" t="str">
        <f>IF('св.прот 3ф'!H118="","",IF('св.прот 3ф'!D118='св.прот 3ф'!H118,'св.прот 3ф'!P118,'св.прот 3ф'!O118))</f>
        <v/>
      </c>
      <c r="AZ10" s="1244"/>
      <c r="BA10" s="1245"/>
      <c r="BB10" s="1221"/>
      <c r="BC10" s="1222"/>
      <c r="BE10" s="1254"/>
      <c r="BF10" s="1255"/>
      <c r="BG10" s="1255"/>
      <c r="BH10" s="1255"/>
      <c r="BI10" s="1255"/>
      <c r="BJ10" s="1255"/>
      <c r="BK10" s="1255"/>
      <c r="BL10" s="1255"/>
    </row>
    <row r="11" spans="1:98" ht="15.75" customHeight="1" x14ac:dyDescent="0.25">
      <c r="A11" s="1175">
        <v>4</v>
      </c>
      <c r="B11" s="1223"/>
      <c r="C11" s="133" t="str">
        <f>IF(B11="","",VLOOKUP(B11,'Списки участников'!A:H,3,FALSE))</f>
        <v/>
      </c>
      <c r="D11" s="1234" t="str">
        <f>IF(M5="","",IF(M6="W",0,IF(M5=2,1,IF(M5=1,2,IF(M5=0,2)))))</f>
        <v/>
      </c>
      <c r="E11" s="1235"/>
      <c r="F11" s="1236"/>
      <c r="G11" s="1234" t="str">
        <f>IF(M7="","",IF(M8="W",0,IF(M7=2,1,IF(M7=1,2,IF(M7=0,2)))))</f>
        <v/>
      </c>
      <c r="H11" s="1235"/>
      <c r="I11" s="1236"/>
      <c r="J11" s="1234" t="str">
        <f>IF(M9="","",IF(M10="W",0,IF(M9=2,1,IF(M9=1,2,IF(M9=0,2)))))</f>
        <v/>
      </c>
      <c r="K11" s="1235"/>
      <c r="L11" s="1236"/>
      <c r="M11" s="1229"/>
      <c r="N11" s="1229"/>
      <c r="O11" s="1229"/>
      <c r="P11" s="1234" t="str">
        <f>IF('св.прот 3ф'!H44="","",IF(P12="L",0,IF(P12&gt;R12,2,1)))</f>
        <v/>
      </c>
      <c r="Q11" s="1235"/>
      <c r="R11" s="1236"/>
      <c r="S11" s="1239" t="str">
        <f>IF('св.прот 3ф'!H94="","",IF(S12="L",0,IF(S12&gt;U12,2,1)))</f>
        <v/>
      </c>
      <c r="T11" s="1240"/>
      <c r="U11" s="1241"/>
      <c r="V11" s="1239" t="str">
        <f>IF('св.прот 3ф'!H35="","",IF(V12="L",0,IF(V12&gt;X12,2,1)))</f>
        <v/>
      </c>
      <c r="W11" s="1240"/>
      <c r="X11" s="1241"/>
      <c r="Y11" s="1239" t="str">
        <f>IF('св.прот 3ф'!H87="","",IF(Y12="L",0,IF(Y12&gt;AA12,2,1)))</f>
        <v/>
      </c>
      <c r="Z11" s="1240"/>
      <c r="AA11" s="1241"/>
      <c r="AB11" s="1239" t="str">
        <f>IF('св.прот 3ф'!H26="","",IF(AB12="L",0,IF(AB12&gt;AD12,2,1)))</f>
        <v/>
      </c>
      <c r="AC11" s="1240"/>
      <c r="AD11" s="1241"/>
      <c r="AE11" s="1239" t="str">
        <f>IF('св.прот 3ф'!H80="","",IF(AE12="L",0,IF(AE12&gt;AG12,2,1)))</f>
        <v/>
      </c>
      <c r="AF11" s="1240"/>
      <c r="AG11" s="1241"/>
      <c r="AH11" s="1239" t="str">
        <f>IF('св.прот 3ф'!H17="","",IF(AH12="L",0,IF(AH12&gt;AJ12,2,1)))</f>
        <v/>
      </c>
      <c r="AI11" s="1240"/>
      <c r="AJ11" s="1241"/>
      <c r="AK11" s="1239" t="str">
        <f>IF('св.прот 3ф'!H73="","",IF(AK12="L",0,IF(AK12&gt;AM12,2,1)))</f>
        <v/>
      </c>
      <c r="AL11" s="1240"/>
      <c r="AM11" s="1241"/>
      <c r="AN11" s="1239" t="str">
        <f>IF('св.прот 3ф'!H8="","",IF(AN12="L",0,IF(AN12&gt;AP12,2,1)))</f>
        <v/>
      </c>
      <c r="AO11" s="1240"/>
      <c r="AP11" s="1241"/>
      <c r="AQ11" s="1239" t="str">
        <f>IF('св.прот 3ф'!H66="","",IF(AQ12="L",0,IF(AQ12&gt;AS12,2,1)))</f>
        <v/>
      </c>
      <c r="AR11" s="1240"/>
      <c r="AS11" s="1241"/>
      <c r="AT11" s="1239" t="str">
        <f>IF('св.прот 3ф'!H119="","",IF(AT12="L",0,IF(AT12&gt;AV12,2,1)))</f>
        <v/>
      </c>
      <c r="AU11" s="1240"/>
      <c r="AV11" s="1241"/>
      <c r="AW11" s="1239" t="str">
        <f>IF('св.прот 3ф'!H59="","",IF(AW12="L",0,IF(AW12&gt;AY12,2,1)))</f>
        <v/>
      </c>
      <c r="AX11" s="1240"/>
      <c r="AY11" s="1241"/>
      <c r="AZ11" s="1242" t="str">
        <f t="shared" ref="AZ11" si="2">IF(B11="","",SUM(G11,J11,M11,P11,S11,V11,Y11,AB11,AE11,AH11,AK11,AN11,AQ11,AT11,AW11,D11))</f>
        <v/>
      </c>
      <c r="BA11" s="1243"/>
      <c r="BB11" s="1220"/>
      <c r="BC11" s="1222" t="str">
        <f>IF(B11="","",RANK(AZ11,Ф3Оч)+32)</f>
        <v/>
      </c>
    </row>
    <row r="12" spans="1:98" ht="15.75" customHeight="1" x14ac:dyDescent="0.25">
      <c r="A12" s="1176"/>
      <c r="B12" s="1224"/>
      <c r="C12" s="134" t="str">
        <f>IF(B11="","",VLOOKUP(B11,'Списки участников'!A:H,6,FALSE))</f>
        <v/>
      </c>
      <c r="D12" s="141" t="str">
        <f>IF(M5="","",O6)</f>
        <v/>
      </c>
      <c r="E12" s="136" t="str">
        <f>IF(N6="","",":")</f>
        <v/>
      </c>
      <c r="F12" s="142" t="str">
        <f>IF(O6="","",M6)</f>
        <v/>
      </c>
      <c r="G12" s="141" t="str">
        <f>IF(M7="","",O8)</f>
        <v/>
      </c>
      <c r="H12" s="136" t="str">
        <f>IF(N8="","",":")</f>
        <v/>
      </c>
      <c r="I12" s="142" t="str">
        <f>IF(O8="","",M8)</f>
        <v/>
      </c>
      <c r="J12" s="141" t="str">
        <f>IF(M9="","",O10)</f>
        <v/>
      </c>
      <c r="K12" s="136" t="str">
        <f>IF(N10="","",":")</f>
        <v/>
      </c>
      <c r="L12" s="142" t="str">
        <f>IF(O10="","",M10)</f>
        <v/>
      </c>
      <c r="M12" s="1248"/>
      <c r="N12" s="1248"/>
      <c r="O12" s="1248"/>
      <c r="P12" s="926" t="str">
        <f>IF('св.прот 3ф'!H44="","",IF('св.прот 3ф'!D44='св.прот 3ф'!H44,'св.прот 3ф'!O44,'св.прот 3ф'!P44))</f>
        <v/>
      </c>
      <c r="Q12" s="927" t="str">
        <f>IF(P11="","",":")</f>
        <v/>
      </c>
      <c r="R12" s="928" t="str">
        <f>IF('св.прот 3ф'!H44="","",IF('св.прот 3ф'!D44='св.прот 3ф'!H44,'св.прот 3ф'!P44,'св.прот 3ф'!O44))</f>
        <v/>
      </c>
      <c r="S12" s="926" t="str">
        <f>IF('св.прот 3ф'!H94="","",IF('св.прот 3ф'!D94='св.прот 3ф'!H94,'св.прот 3ф'!O94,'св.прот 3ф'!P94))</f>
        <v/>
      </c>
      <c r="T12" s="927" t="str">
        <f>IF(S11="","",":")</f>
        <v/>
      </c>
      <c r="U12" s="928" t="str">
        <f>IF('св.прот 3ф'!H94="","",IF('св.прот 3ф'!D94='св.прот 3ф'!H94,'св.прот 3ф'!P94,'св.прот 3ф'!O94))</f>
        <v/>
      </c>
      <c r="V12" s="926" t="str">
        <f>IF('св.прот 3ф'!H35="","",IF('св.прот 3ф'!D35='св.прот 3ф'!H35,'св.прот 3ф'!O34,'св.прот 3ф'!P35))</f>
        <v/>
      </c>
      <c r="W12" s="927" t="str">
        <f>IF(V11="","",":")</f>
        <v/>
      </c>
      <c r="X12" s="928" t="str">
        <f>IF('св.прот 3ф'!H35="","",IF('св.прот 3ф'!D35='св.прот 3ф'!H35,'св.прот 3ф'!P35,'св.прот 3ф'!O35))</f>
        <v/>
      </c>
      <c r="Y12" s="926" t="str">
        <f>IF('св.прот 3ф'!H87="","",IF('св.прот 3ф'!D87='св.прот 3ф'!H87,'св.прот 3ф'!O87,'св.прот 3ф'!P87))</f>
        <v/>
      </c>
      <c r="Z12" s="927" t="str">
        <f>IF(Y11="","",":")</f>
        <v/>
      </c>
      <c r="AA12" s="928" t="str">
        <f>IF('св.прот 3ф'!H87="","",IF('св.прот 3ф'!D87='св.прот 3ф'!H87,'св.прот 3ф'!P87,'св.прот 3ф'!O87))</f>
        <v/>
      </c>
      <c r="AB12" s="926" t="str">
        <f>IF('св.прот 3ф'!H26="","",IF('св.прот 3ф'!D26='св.прот 3ф'!H26,'св.прот 3ф'!O26,'св.прот 3ф'!P26))</f>
        <v/>
      </c>
      <c r="AC12" s="927" t="str">
        <f>IF(AB11="","",":")</f>
        <v/>
      </c>
      <c r="AD12" s="928" t="str">
        <f>IF('св.прот 3ф'!H26="","",IF('св.прот 3ф'!D26='св.прот 3ф'!H26,'св.прот 3ф'!P26,'св.прот 3ф'!O26))</f>
        <v/>
      </c>
      <c r="AE12" s="926" t="str">
        <f>IF('св.прот 3ф'!H80="","",IF('св.прот 3ф'!D80='св.прот 3ф'!H80,'св.прот 3ф'!O11,'св.прот 3ф'!P80))</f>
        <v/>
      </c>
      <c r="AF12" s="927" t="str">
        <f>IF(AE11="","",":")</f>
        <v/>
      </c>
      <c r="AG12" s="928" t="str">
        <f>IF('св.прот 3ф'!H80="","",IF('св.прот 3ф'!D80='св.прот 3ф'!H80,'св.прот 3ф'!P80,'св.прот 3ф'!O80))</f>
        <v/>
      </c>
      <c r="AH12" s="926" t="str">
        <f>IF('св.прот 3ф'!H17="","",IF('св.прот 3ф'!D17='св.прот 3ф'!H17,'св.прот 3ф'!O17,'св.прот 3ф'!P17))</f>
        <v/>
      </c>
      <c r="AI12" s="927" t="str">
        <f>IF(AH11="","",":")</f>
        <v/>
      </c>
      <c r="AJ12" s="928" t="str">
        <f>IF('св.прот 3ф'!H17="","",IF('св.прот 3ф'!D17='св.прот 3ф'!H17,'св.прот 3ф'!P17,'св.прот 3ф'!O17))</f>
        <v/>
      </c>
      <c r="AK12" s="926" t="str">
        <f>IF('св.прот 3ф'!H73="","",IF('св.прот 3ф'!D73='св.прот 3ф'!H73,'св.прот 3ф'!O73,'св.прот 3ф'!P73))</f>
        <v/>
      </c>
      <c r="AL12" s="927" t="str">
        <f>IF(AK11="","",":")</f>
        <v/>
      </c>
      <c r="AM12" s="928" t="str">
        <f>IF('св.прот 3ф'!H73="","",IF('св.прот 3ф'!D73='св.прот 3ф'!H73,'св.прот 3ф'!P73,'св.прот 3ф'!O73))</f>
        <v/>
      </c>
      <c r="AN12" s="926" t="str">
        <f>IF('св.прот 3ф'!H8="","",IF('св.прот 3ф'!D8='св.прот 3ф'!H8,'св.прот 3ф'!O8,'св.прот 3ф'!P8))</f>
        <v/>
      </c>
      <c r="AO12" s="927" t="str">
        <f>IF(AN11="","",":")</f>
        <v/>
      </c>
      <c r="AP12" s="928" t="str">
        <f>IF('св.прот 3ф'!H8="","",IF('св.прот 3ф'!D8='св.прот 3ф'!H8,'св.прот 3ф'!P8,'св.прот 3ф'!O8))</f>
        <v/>
      </c>
      <c r="AQ12" s="926" t="str">
        <f>IF('св.прот 3ф'!H66="","",IF('св.прот 3ф'!D66='св.прот 3ф'!H66,'св.прот 3ф'!O66,'св.прот 3ф'!P66))</f>
        <v/>
      </c>
      <c r="AR12" s="927" t="str">
        <f>IF(AQ11="","",":")</f>
        <v/>
      </c>
      <c r="AS12" s="928" t="str">
        <f>IF('св.прот 3ф'!H66="","",IF('св.прот 3ф'!D66='св.прот 3ф'!H66,'св.прот 3ф'!P66,'св.прот 3ф'!O66))</f>
        <v/>
      </c>
      <c r="AT12" s="926" t="str">
        <f>IF('св.прот 3ф'!H119="","",IF('св.прот 3ф'!D119='св.прот 3ф'!H119,'св.прот 3ф'!O119,'св.прот 3ф'!P119))</f>
        <v/>
      </c>
      <c r="AU12" s="927" t="str">
        <f>IF(AT11="","",":")</f>
        <v/>
      </c>
      <c r="AV12" s="928" t="str">
        <f>IF('св.прот 3ф'!H119="","",IF('св.прот 3ф'!D119='св.прот 3ф'!H119,'св.прот 3ф'!P119,'св.прот 3ф'!O119))</f>
        <v/>
      </c>
      <c r="AW12" s="926" t="str">
        <f>IF('св.прот 3ф'!H59="","",IF('св.прот 3ф'!D59='св.прот 3ф'!H59,'св.прот 3ф'!O59,'св.прот 3ф'!P59))</f>
        <v/>
      </c>
      <c r="AX12" s="927" t="str">
        <f>IF(AW11="","",":")</f>
        <v/>
      </c>
      <c r="AY12" s="928" t="str">
        <f>IF('св.прот 3ф'!H59="","",IF('св.прот 3ф'!D59='св.прот 3ф'!H59,'св.прот 3ф'!P59,'св.прот 3ф'!O59))</f>
        <v/>
      </c>
      <c r="AZ12" s="1244"/>
      <c r="BA12" s="1245"/>
      <c r="BB12" s="1221"/>
      <c r="BC12" s="1222"/>
    </row>
    <row r="13" spans="1:98" ht="15.75" customHeight="1" x14ac:dyDescent="0.25">
      <c r="A13" s="1175">
        <v>5</v>
      </c>
      <c r="B13" s="1237"/>
      <c r="C13" s="133" t="str">
        <f>IF(B13="","",VLOOKUP(B13,'Списки участников'!A:H,3,FALSE))</f>
        <v/>
      </c>
      <c r="D13" s="1234" t="str">
        <f>IF(P5="","",IF(P6="W",0,IF(P5=2,1,IF(P5=1,2,IF(P5=0,2)))))</f>
        <v/>
      </c>
      <c r="E13" s="1235"/>
      <c r="F13" s="1236"/>
      <c r="G13" s="1234" t="str">
        <f>IF(P7="","",IF(P8="W",0,IF(P7=2,1,IF(P7=1,2,IF(P7=0,2)))))</f>
        <v/>
      </c>
      <c r="H13" s="1235"/>
      <c r="I13" s="1236"/>
      <c r="J13" s="1234" t="str">
        <f>IF(P9="","",IF(P10="W",0,IF(P9=2,1,IF(P9=1,2,IF(P9=0,2)))))</f>
        <v/>
      </c>
      <c r="K13" s="1235"/>
      <c r="L13" s="1236"/>
      <c r="M13" s="1234" t="str">
        <f>IF(P11="","",IF(P12="W",0,IF(P11=2,1,IF(P11=1,2,IF(P11=0,2)))))</f>
        <v/>
      </c>
      <c r="N13" s="1235"/>
      <c r="O13" s="1236"/>
      <c r="P13" s="1228"/>
      <c r="Q13" s="1229"/>
      <c r="R13" s="1230"/>
      <c r="S13" s="1239" t="str">
        <f>IF('св.прот 3ф'!H36="","",IF(S14="L",0,IF(S14&gt;U14,2,1)))</f>
        <v/>
      </c>
      <c r="T13" s="1240"/>
      <c r="U13" s="1241"/>
      <c r="V13" s="1239" t="str">
        <f>IF('св.прот 3ф'!H86="","",IF(V14="L",0,IF(V14&gt;X14,2,1)))</f>
        <v/>
      </c>
      <c r="W13" s="1240"/>
      <c r="X13" s="1241"/>
      <c r="Y13" s="1239" t="str">
        <f>IF('св.прот 3ф'!H27="","",IF(Y14="L",0,IF(Y14&gt;AA14,2,1)))</f>
        <v/>
      </c>
      <c r="Z13" s="1240"/>
      <c r="AA13" s="1241"/>
      <c r="AB13" s="1239" t="str">
        <f>IF('св.прот 3ф'!H79="","",IF(AB14="L",0,IF(AB14&gt;AD14,2,1)))</f>
        <v/>
      </c>
      <c r="AC13" s="1240"/>
      <c r="AD13" s="1241"/>
      <c r="AE13" s="1239" t="str">
        <f>IF('св.прот 3ф'!H18="","",IF(AE14="L",0,IF(AE14&gt;AG14,2,1)))</f>
        <v/>
      </c>
      <c r="AF13" s="1240"/>
      <c r="AG13" s="1241"/>
      <c r="AH13" s="1239" t="str">
        <f>IF('св.прот 3ф'!H72="","",IF(AH14="L",0,IF(AH14&gt;AJ14,2,1)))</f>
        <v/>
      </c>
      <c r="AI13" s="1240"/>
      <c r="AJ13" s="1241"/>
      <c r="AK13" s="1239" t="str">
        <f>IF('св.прот 3ф'!H9="","",IF(AK14="L",0,IF(AK14&gt;AM14,2,1)))</f>
        <v/>
      </c>
      <c r="AL13" s="1240"/>
      <c r="AM13" s="1241"/>
      <c r="AN13" s="1239" t="str">
        <f>IF('св.прот 3ф'!H65="","",IF(AN14="L",0,IF(AN14&gt;AP14,2,1)))</f>
        <v/>
      </c>
      <c r="AO13" s="1240"/>
      <c r="AP13" s="1241"/>
      <c r="AQ13" s="1239" t="str">
        <f>IF('св.прот 3ф'!H120="","",IF(AQ14="L",0,IF(AQ14&gt;AS14,2,1)))</f>
        <v/>
      </c>
      <c r="AR13" s="1240"/>
      <c r="AS13" s="1241"/>
      <c r="AT13" s="1239" t="str">
        <f>IF('св.прот 3ф'!H58="","",IF(AT14="L",0,IF(AT14&gt;AV14,2,1)))</f>
        <v/>
      </c>
      <c r="AU13" s="1240"/>
      <c r="AV13" s="1241"/>
      <c r="AW13" s="1239" t="str">
        <f>IF('св.прот 3ф'!H111="","",IF(AW14="L",0,IF(AW14&gt;AY14,2,1)))</f>
        <v/>
      </c>
      <c r="AX13" s="1240"/>
      <c r="AY13" s="1241"/>
      <c r="AZ13" s="1242" t="str">
        <f t="shared" ref="AZ13" si="3">IF(B13="","",SUM(G13,J13,M13,P13,S13,V13,Y13,AB13,AE13,AH13,AK13,AN13,AQ13,AT13,AW13,D13))</f>
        <v/>
      </c>
      <c r="BA13" s="1243"/>
      <c r="BB13" s="1220"/>
      <c r="BC13" s="1222" t="str">
        <f>IF(B13="","",RANK(AZ13,Ф3Оч)+32)</f>
        <v/>
      </c>
    </row>
    <row r="14" spans="1:98" ht="15.75" customHeight="1" x14ac:dyDescent="0.25">
      <c r="A14" s="1176"/>
      <c r="B14" s="1238"/>
      <c r="C14" s="134" t="str">
        <f>IF(B13="","",VLOOKUP(B13,'Списки участников'!A:H,6,FALSE))</f>
        <v/>
      </c>
      <c r="D14" s="141" t="str">
        <f>IF(P5="","",R6)</f>
        <v/>
      </c>
      <c r="E14" s="136" t="str">
        <f>IF(Q6="","",":")</f>
        <v/>
      </c>
      <c r="F14" s="142" t="str">
        <f>IF(R6="","",P6)</f>
        <v/>
      </c>
      <c r="G14" s="141" t="str">
        <f>IF(P7="","",R8)</f>
        <v/>
      </c>
      <c r="H14" s="136" t="str">
        <f>IF(Q8="","",":")</f>
        <v/>
      </c>
      <c r="I14" s="142" t="str">
        <f>IF(R8="","",P8)</f>
        <v/>
      </c>
      <c r="J14" s="141" t="str">
        <f>IF(P9="","",R10)</f>
        <v/>
      </c>
      <c r="K14" s="136" t="str">
        <f>IF(Q10="","",":")</f>
        <v/>
      </c>
      <c r="L14" s="142" t="str">
        <f>IF(R10="","",P10)</f>
        <v/>
      </c>
      <c r="M14" s="141" t="str">
        <f>IF(P11="","",R12)</f>
        <v/>
      </c>
      <c r="N14" s="136" t="str">
        <f>IF(Q12="","",":")</f>
        <v/>
      </c>
      <c r="O14" s="142" t="str">
        <f>IF(R12="","",P12)</f>
        <v/>
      </c>
      <c r="P14" s="1231"/>
      <c r="Q14" s="1232"/>
      <c r="R14" s="1233"/>
      <c r="S14" s="926" t="str">
        <f>IF('св.прот 3ф'!H36="","",IF('св.прот 3ф'!D36='св.прот 3ф'!H36,'св.прот 3ф'!O36,'св.прот 3ф'!P36))</f>
        <v/>
      </c>
      <c r="T14" s="927" t="str">
        <f>IF(S13="","",":")</f>
        <v/>
      </c>
      <c r="U14" s="928" t="str">
        <f>IF('св.прот 3ф'!H36="","",IF('св.прот 3ф'!D36='св.прот 3ф'!H36,'св.прот 3ф'!P36,'св.прот 3ф'!O36))</f>
        <v/>
      </c>
      <c r="V14" s="926" t="str">
        <f>IF('св.прот 3ф'!H86="","",IF('св.прот 3ф'!D86='св.прот 3ф'!H86,'св.прот 3ф'!O86,'св.прот 3ф'!P86))</f>
        <v/>
      </c>
      <c r="W14" s="927" t="str">
        <f>IF(V13="","",":")</f>
        <v/>
      </c>
      <c r="X14" s="928" t="str">
        <f>IF('св.прот 3ф'!H86="","",IF('св.прот 3ф'!D86='св.прот 3ф'!H86,'св.прот 3ф'!P86,'св.прот 3ф'!O86))</f>
        <v/>
      </c>
      <c r="Y14" s="926" t="str">
        <f>IF('св.прот 3ф'!H27="","",IF('св.прот 3ф'!D27='св.прот 3ф'!H27,'св.прот 3ф'!O27,'св.прот 3ф'!P27))</f>
        <v/>
      </c>
      <c r="Z14" s="927" t="str">
        <f>IF(Y13="","",":")</f>
        <v/>
      </c>
      <c r="AA14" s="928" t="str">
        <f>IF('св.прот 3ф'!H27="","",IF('св.прот 3ф'!D27='св.прот 3ф'!H27,'св.прот 3ф'!P27,'св.прот 3ф'!O27))</f>
        <v/>
      </c>
      <c r="AB14" s="926" t="str">
        <f>IF('св.прот 3ф'!H79="","",IF('св.прот 3ф'!D79='св.прот 3ф'!H79,'св.прот 3ф'!O79,'св.прот 3ф'!P79))</f>
        <v/>
      </c>
      <c r="AC14" s="927" t="str">
        <f>IF(AB13="","",":")</f>
        <v/>
      </c>
      <c r="AD14" s="928" t="str">
        <f>IF('св.прот 3ф'!H79="","",IF('св.прот 3ф'!D79='св.прот 3ф'!H79,'св.прот 3ф'!P79,'св.прот 3ф'!O79))</f>
        <v/>
      </c>
      <c r="AE14" s="926" t="str">
        <f>IF('св.прот 3ф'!H18="","",IF('св.прот 3ф'!D18='св.прот 3ф'!H18,'св.прот 3ф'!O18,'св.прот 3ф'!P18))</f>
        <v/>
      </c>
      <c r="AF14" s="927" t="str">
        <f>IF(AE13="","",":")</f>
        <v/>
      </c>
      <c r="AG14" s="928" t="str">
        <f>IF('св.прот 3ф'!H18="","",IF('св.прот 3ф'!D18='св.прот 3ф'!H18,'св.прот 3ф'!P18,'св.прот 3ф'!O18))</f>
        <v/>
      </c>
      <c r="AH14" s="926" t="str">
        <f>IF('св.прот 3ф'!H72="","",IF('св.прот 3ф'!D72='св.прот 3ф'!H72,'св.прот 3ф'!O72,'св.прот 3ф'!P72))</f>
        <v/>
      </c>
      <c r="AI14" s="927" t="str">
        <f>IF(AH13="","",":")</f>
        <v/>
      </c>
      <c r="AJ14" s="928" t="str">
        <f>IF('св.прот 3ф'!H72="","",IF('св.прот 3ф'!D72='св.прот 3ф'!H72,'св.прот 3ф'!P72,'св.прот 3ф'!O72))</f>
        <v/>
      </c>
      <c r="AK14" s="926" t="str">
        <f>IF('св.прот 3ф'!H9="","",IF('св.прот 3ф'!D9='св.прот 3ф'!H9,'св.прот 3ф'!O9,'св.прот 3ф'!P9))</f>
        <v/>
      </c>
      <c r="AL14" s="927" t="str">
        <f>IF(AK13="","",":")</f>
        <v/>
      </c>
      <c r="AM14" s="928" t="str">
        <f>IF('св.прот 3ф'!H9="","",IF('св.прот 3ф'!D9='св.прот 3ф'!H9,'св.прот 3ф'!P9,'св.прот 3ф'!O9))</f>
        <v/>
      </c>
      <c r="AN14" s="926" t="str">
        <f>IF('св.прот 3ф'!H65="","",IF('св.прот 3ф'!D65='св.прот 3ф'!H65,'св.прот 3ф'!O65,'св.прот 3ф'!P65))</f>
        <v/>
      </c>
      <c r="AO14" s="927" t="str">
        <f>IF(AN13="","",":")</f>
        <v/>
      </c>
      <c r="AP14" s="928" t="str">
        <f>IF('св.прот 3ф'!H65="","",IF('св.прот 3ф'!D65='св.прот 3ф'!H65,'св.прот 3ф'!P65,'св.прот 3ф'!O65))</f>
        <v/>
      </c>
      <c r="AQ14" s="926" t="str">
        <f>IF('св.прот 3ф'!H120="","",IF('св.прот 3ф'!D120='св.прот 3ф'!H120,'св.прот 3ф'!O120,'св.прот 3ф'!P120))</f>
        <v/>
      </c>
      <c r="AR14" s="927" t="str">
        <f>IF(AQ13="","",":")</f>
        <v/>
      </c>
      <c r="AS14" s="928" t="str">
        <f>IF('св.прот 3ф'!H120="","",IF('св.прот 3ф'!D120='св.прот 3ф'!H120,'св.прот 3ф'!P120,'св.прот 3ф'!O120))</f>
        <v/>
      </c>
      <c r="AT14" s="926" t="str">
        <f>IF('св.прот 3ф'!H58="","",IF('св.прот 3ф'!D58='св.прот 3ф'!H58,'св.прот 3ф'!O58,'св.прот 3ф'!P58))</f>
        <v/>
      </c>
      <c r="AU14" s="927" t="str">
        <f>IF(AT13="","",":")</f>
        <v/>
      </c>
      <c r="AV14" s="928" t="str">
        <f>IF('св.прот 3ф'!H58="","",IF('св.прот 3ф'!D58='св.прот 3ф'!H58,'св.прот 3ф'!P58,'св.прот 3ф'!O58))</f>
        <v/>
      </c>
      <c r="AW14" s="926" t="str">
        <f>IF('св.прот 3ф'!H111="","",IF('св.прот 3ф'!D111='св.прот 3ф'!H111,'св.прот 3ф'!O111,'св.прот 3ф'!P111))</f>
        <v/>
      </c>
      <c r="AX14" s="927" t="str">
        <f>IF(AW13="","",":")</f>
        <v/>
      </c>
      <c r="AY14" s="928" t="str">
        <f>IF('св.прот 3ф'!H111="","",IF('св.прот 3ф'!D111='св.прот 3ф'!H111,'св.прот 3ф'!P111,'св.прот 3ф'!O111))</f>
        <v/>
      </c>
      <c r="AZ14" s="1244"/>
      <c r="BA14" s="1245"/>
      <c r="BB14" s="1221"/>
      <c r="BC14" s="1222"/>
    </row>
    <row r="15" spans="1:98" ht="15.75" customHeight="1" x14ac:dyDescent="0.25">
      <c r="A15" s="1175">
        <v>6</v>
      </c>
      <c r="B15" s="1223"/>
      <c r="C15" s="133" t="str">
        <f>IF(B15="","",VLOOKUP(B15,'Списки участников'!A:H,3,FALSE))</f>
        <v/>
      </c>
      <c r="D15" s="1234" t="str">
        <f>IF(S5="","",IF(S6="W",0,IF(S5=2,1,IF(S5=1,2,IF(S5=0,2)))))</f>
        <v/>
      </c>
      <c r="E15" s="1235"/>
      <c r="F15" s="1236"/>
      <c r="G15" s="1234" t="str">
        <f>IF(S7="","",IF(S8="W",0,IF(S7=2,1,IF(S7=1,2,IF(S7=0,2)))))</f>
        <v/>
      </c>
      <c r="H15" s="1235"/>
      <c r="I15" s="1236"/>
      <c r="J15" s="1234" t="str">
        <f>IF(S9="","",IF(S10="W",0,IF(S9=2,1,IF(S9=1,2,IF(S9=0,2)))))</f>
        <v/>
      </c>
      <c r="K15" s="1235"/>
      <c r="L15" s="1236"/>
      <c r="M15" s="1234" t="str">
        <f>IF(S11="","",IF(S12="W",0,IF(S11=2,1,IF(S11=1,2,IF(S11=0,2)))))</f>
        <v/>
      </c>
      <c r="N15" s="1235"/>
      <c r="O15" s="1236"/>
      <c r="P15" s="1234" t="str">
        <f>IF(S13="","",IF(S14="W",0,IF(S13=2,1,IF(S13=1,2,IF(S13=0,2)))))</f>
        <v/>
      </c>
      <c r="Q15" s="1235"/>
      <c r="R15" s="1236"/>
      <c r="S15" s="1228"/>
      <c r="T15" s="1229"/>
      <c r="U15" s="1230"/>
      <c r="V15" s="1234" t="str">
        <f>IF('св.прот 3ф'!H28="","",IF(V16="L",0,IF(V16&gt;X16,2,1)))</f>
        <v/>
      </c>
      <c r="W15" s="1235"/>
      <c r="X15" s="1236"/>
      <c r="Y15" s="1234" t="str">
        <f>IF('св.прот 3ф'!H78="","",IF(Y16="L",0,IF(Y16&gt;AA16,2,1)))</f>
        <v/>
      </c>
      <c r="Z15" s="1235"/>
      <c r="AA15" s="1236"/>
      <c r="AB15" s="1234" t="str">
        <f>IF('св.прот 3ф'!H19="","",IF(AB16="L",0,IF(AB16&gt;AD16,2,1)))</f>
        <v/>
      </c>
      <c r="AC15" s="1235"/>
      <c r="AD15" s="1236"/>
      <c r="AE15" s="1239" t="str">
        <f>IF('св.прот 3ф'!H71="","",IF(AE16="L",0,IF(AE16&gt;AG16,2,1)))</f>
        <v/>
      </c>
      <c r="AF15" s="1240"/>
      <c r="AG15" s="1241"/>
      <c r="AH15" s="1239" t="str">
        <f>IF('св.прот 3ф'!H10="","",IF(AH16="L",0,IF(AH16&gt;AJ16,2,1)))</f>
        <v/>
      </c>
      <c r="AI15" s="1240"/>
      <c r="AJ15" s="1241"/>
      <c r="AK15" s="1239" t="str">
        <f>IF('св.прот 3ф'!H64="","",IF(AK16="L",0,IF(AK16&gt;AM16,2,1)))</f>
        <v/>
      </c>
      <c r="AL15" s="1240"/>
      <c r="AM15" s="1241"/>
      <c r="AN15" s="1239" t="str">
        <f>IF('св.прот 3ф'!H121="","",IF(AN16="L",0,IF(AN16&gt;AP16,2,1)))</f>
        <v/>
      </c>
      <c r="AO15" s="1240"/>
      <c r="AP15" s="1241"/>
      <c r="AQ15" s="1239" t="str">
        <f>IF('св.прот 3ф'!H57="","",IF(AQ16="L",0,IF(AQ16&gt;AS16,2,1)))</f>
        <v/>
      </c>
      <c r="AR15" s="1240"/>
      <c r="AS15" s="1241"/>
      <c r="AT15" s="1239" t="str">
        <f>IF('св.прот 3ф'!H112="","",IF(AT16="L",0,IF(AT16&gt;AV16,2,1)))</f>
        <v/>
      </c>
      <c r="AU15" s="1240"/>
      <c r="AV15" s="1241"/>
      <c r="AW15" s="1239" t="str">
        <f>IF('св.прот 3ф'!H50="","",IF(AW16="L",0,IF(AW16&gt;AY16,2,1)))</f>
        <v/>
      </c>
      <c r="AX15" s="1240"/>
      <c r="AY15" s="1241"/>
      <c r="AZ15" s="1242" t="str">
        <f t="shared" ref="AZ15" si="4">IF(B15="","",SUM(G15,J15,M15,P15,S15,V15,Y15,AB15,AE15,AH15,AK15,AN15,AQ15,AT15,AW15,D15))</f>
        <v/>
      </c>
      <c r="BA15" s="1243"/>
      <c r="BB15" s="1220"/>
      <c r="BC15" s="1222" t="str">
        <f>IF(B15="","",RANK(AZ15,Ф3Оч)+32)</f>
        <v/>
      </c>
    </row>
    <row r="16" spans="1:98" ht="15.75" customHeight="1" x14ac:dyDescent="0.25">
      <c r="A16" s="1176"/>
      <c r="B16" s="1224"/>
      <c r="C16" s="134" t="str">
        <f>IF(B15="","",VLOOKUP(B15,'Списки участников'!A:H,6,FALSE))</f>
        <v/>
      </c>
      <c r="D16" s="141" t="str">
        <f>IF(S5="","",U6)</f>
        <v/>
      </c>
      <c r="E16" s="136" t="str">
        <f>IF(T6="","",":")</f>
        <v/>
      </c>
      <c r="F16" s="142" t="str">
        <f>IF(U6="","",S6)</f>
        <v/>
      </c>
      <c r="G16" s="141" t="str">
        <f>IF(S7="","",U8)</f>
        <v/>
      </c>
      <c r="H16" s="136" t="str">
        <f>IF(T8="","",":")</f>
        <v/>
      </c>
      <c r="I16" s="142" t="str">
        <f>IF(U8="","",S8)</f>
        <v/>
      </c>
      <c r="J16" s="141" t="str">
        <f>IF(S9="","",U10)</f>
        <v/>
      </c>
      <c r="K16" s="136" t="str">
        <f>IF(T10="","",":")</f>
        <v/>
      </c>
      <c r="L16" s="142" t="str">
        <f>IF(U10="","",S10)</f>
        <v/>
      </c>
      <c r="M16" s="141" t="str">
        <f>IF(S11="","",U12)</f>
        <v/>
      </c>
      <c r="N16" s="136" t="str">
        <f>IF(T12="","",":")</f>
        <v/>
      </c>
      <c r="O16" s="142" t="str">
        <f>IF(U12="","",S12)</f>
        <v/>
      </c>
      <c r="P16" s="141" t="str">
        <f>IF(S13="","",U14)</f>
        <v/>
      </c>
      <c r="Q16" s="136" t="str">
        <f>IF(T14="","",":")</f>
        <v/>
      </c>
      <c r="R16" s="142" t="str">
        <f>IF(U14="","",S14)</f>
        <v/>
      </c>
      <c r="S16" s="1231"/>
      <c r="T16" s="1232"/>
      <c r="U16" s="1233"/>
      <c r="V16" s="926" t="str">
        <f>IF('св.прот 3ф'!H28="","",IF('св.прот 3ф'!D28='св.прот 3ф'!H28,'св.прот 3ф'!O28,'св.прот 3ф'!P28))</f>
        <v/>
      </c>
      <c r="W16" s="927" t="str">
        <f>IF(V15="","",":")</f>
        <v/>
      </c>
      <c r="X16" s="928" t="str">
        <f>IF('св.прот 3ф'!H28="","",IF('св.прот 3ф'!D28='св.прот 3ф'!H28,'св.прот 3ф'!P28,'св.прот 3ф'!O28))</f>
        <v/>
      </c>
      <c r="Y16" s="926" t="str">
        <f>IF('св.прот 3ф'!H78="","",IF('св.прот 3ф'!D78='св.прот 3ф'!H78,'св.прот 3ф'!O78,'св.прот 3ф'!P78))</f>
        <v/>
      </c>
      <c r="Z16" s="927" t="str">
        <f>IF(Y15="","",":")</f>
        <v/>
      </c>
      <c r="AA16" s="928" t="str">
        <f>IF('св.прот 3ф'!H78="","",IF('св.прот 3ф'!D78='св.прот 3ф'!H78,'св.прот 3ф'!P78,'св.прот 3ф'!O78))</f>
        <v/>
      </c>
      <c r="AB16" s="926" t="str">
        <f>IF('св.прот 3ф'!H19="","",IF('св.прот 3ф'!D19='св.прот 3ф'!H19,'св.прот 3ф'!O19,'св.прот 3ф'!P19))</f>
        <v/>
      </c>
      <c r="AC16" s="927" t="str">
        <f>IF(AB15="","",":")</f>
        <v/>
      </c>
      <c r="AD16" s="928" t="str">
        <f>IF('св.прот 3ф'!H19="","",IF('св.прот 3ф'!D19='св.прот 3ф'!H19,'св.прот 3ф'!P19,'св.прот 3ф'!O19))</f>
        <v/>
      </c>
      <c r="AE16" s="926" t="str">
        <f>IF('св.прот 3ф'!H71="","",IF('св.прот 3ф'!D71='св.прот 3ф'!H71,'св.прот 3ф'!O15,'св.прот 3ф'!P71))</f>
        <v/>
      </c>
      <c r="AF16" s="927" t="str">
        <f>IF(AE15="","",":")</f>
        <v/>
      </c>
      <c r="AG16" s="928" t="str">
        <f>IF('св.прот 3ф'!H71="","",IF('св.прот 3ф'!D71='св.прот 3ф'!H71,'св.прот 3ф'!P71,'св.прот 3ф'!O71))</f>
        <v/>
      </c>
      <c r="AH16" s="926" t="str">
        <f>IF('св.прот 3ф'!H10="","",IF('св.прот 3ф'!D10='св.прот 3ф'!H10,'св.прот 3ф'!O10,'св.прот 3ф'!P10))</f>
        <v/>
      </c>
      <c r="AI16" s="927" t="str">
        <f>IF(AH15="","",":")</f>
        <v/>
      </c>
      <c r="AJ16" s="928" t="str">
        <f>IF('св.прот 3ф'!H10="","",IF('св.прот 3ф'!D10='св.прот 3ф'!H10,'св.прот 3ф'!P10,'св.прот 3ф'!O10))</f>
        <v/>
      </c>
      <c r="AK16" s="926" t="str">
        <f>IF('св.прот 3ф'!H64="","",IF('св.прот 3ф'!D64='св.прот 3ф'!H64,'св.прот 3ф'!O64,'св.прот 3ф'!P64))</f>
        <v/>
      </c>
      <c r="AL16" s="927" t="str">
        <f>IF(AK15="","",":")</f>
        <v/>
      </c>
      <c r="AM16" s="928" t="str">
        <f>IF('св.прот 3ф'!H64="","",IF('св.прот 3ф'!D64='св.прот 3ф'!H64,'св.прот 3ф'!P64,'св.прот 3ф'!O64))</f>
        <v/>
      </c>
      <c r="AN16" s="926" t="str">
        <f>IF('св.прот 3ф'!H121="","",IF('св.прот 3ф'!D121='св.прот 3ф'!H121,'св.прот 3ф'!O121,'св.прот 3ф'!P121))</f>
        <v/>
      </c>
      <c r="AO16" s="927" t="str">
        <f>IF(AN15="","",":")</f>
        <v/>
      </c>
      <c r="AP16" s="928" t="str">
        <f>IF('св.прот 3ф'!H121="","",IF('св.прот 3ф'!D121='св.прот 3ф'!H121,'св.прот 3ф'!P121,'св.прот 3ф'!O121))</f>
        <v/>
      </c>
      <c r="AQ16" s="926" t="str">
        <f>IF('св.прот 3ф'!H57="","",IF('св.прот 3ф'!D57='св.прот 3ф'!H57,'св.прот 3ф'!O57,'св.прот 3ф'!P57))</f>
        <v/>
      </c>
      <c r="AR16" s="927" t="str">
        <f>IF(AQ15="","",":")</f>
        <v/>
      </c>
      <c r="AS16" s="928" t="str">
        <f>IF('св.прот 3ф'!H57="","",IF('св.прот 3ф'!D57='св.прот 3ф'!H57,'св.прот 3ф'!P57,'св.прот 3ф'!O57))</f>
        <v/>
      </c>
      <c r="AT16" s="926" t="str">
        <f>IF('св.прот 3ф'!H112="","",IF('св.прот 3ф'!D112='св.прот 3ф'!H112,'св.прот 3ф'!O112,'св.прот 3ф'!P112))</f>
        <v/>
      </c>
      <c r="AU16" s="927" t="str">
        <f>IF(AT15="","",":")</f>
        <v/>
      </c>
      <c r="AV16" s="928" t="str">
        <f>IF('св.прот 3ф'!H112="","",IF('св.прот 3ф'!D112='св.прот 3ф'!H112,'св.прот 3ф'!P112,'св.прот 3ф'!O112))</f>
        <v/>
      </c>
      <c r="AW16" s="926" t="str">
        <f>IF('св.прот 3ф'!H50="","",IF('св.прот 3ф'!D50='св.прот 3ф'!H50,'св.прот 3ф'!O50,'св.прот 3ф'!P50))</f>
        <v/>
      </c>
      <c r="AX16" s="927" t="str">
        <f>IF(AW15="","",":")</f>
        <v/>
      </c>
      <c r="AY16" s="928" t="str">
        <f>IF('св.прот 3ф'!H50="","",IF('св.прот 3ф'!D50='св.прот 3ф'!H50,'св.прот 3ф'!P50,'св.прот 3ф'!O50))</f>
        <v/>
      </c>
      <c r="AZ16" s="1244"/>
      <c r="BA16" s="1245"/>
      <c r="BB16" s="1221"/>
      <c r="BC16" s="1222"/>
    </row>
    <row r="17" spans="1:55" ht="15.75" customHeight="1" x14ac:dyDescent="0.25">
      <c r="A17" s="1175">
        <v>7</v>
      </c>
      <c r="B17" s="1237"/>
      <c r="C17" s="133" t="str">
        <f>IF(B17="","",VLOOKUP(B17,'Списки участников'!A:H,3,FALSE))</f>
        <v/>
      </c>
      <c r="D17" s="1234" t="str">
        <f>IF(V5="","",IF(V6="W",0,IF(V5=2,1,IF(V5=1,2,IF(V5=0,2)))))</f>
        <v/>
      </c>
      <c r="E17" s="1235"/>
      <c r="F17" s="1236"/>
      <c r="G17" s="1234" t="str">
        <f>IF(V7="","",IF(V8="W",0,IF(V7=2,1,IF(V7=1,2,IF(V7=0,2)))))</f>
        <v/>
      </c>
      <c r="H17" s="1235"/>
      <c r="I17" s="1236"/>
      <c r="J17" s="1234" t="str">
        <f>IF(V9="","",IF(V10="W",0,IF(V9=2,1,IF(V9=1,2,IF(V9=0,2)))))</f>
        <v/>
      </c>
      <c r="K17" s="1235"/>
      <c r="L17" s="1236"/>
      <c r="M17" s="1234" t="str">
        <f>IF(V11="","",IF(V12="W",0,IF(V11=2,1,IF(V11=1,2,IF(V11=0,2)))))</f>
        <v/>
      </c>
      <c r="N17" s="1235"/>
      <c r="O17" s="1236"/>
      <c r="P17" s="1234" t="str">
        <f>IF(V13="","",IF(V14="W",0,IF(V13=2,1,IF(V13=1,2,IF(V13=0,2)))))</f>
        <v/>
      </c>
      <c r="Q17" s="1235"/>
      <c r="R17" s="1236"/>
      <c r="S17" s="1234" t="str">
        <f>IF(V15="","",IF(V16="W",0,IF(V15=2,1,IF(V15=1,2,IF(V15=0,2)))))</f>
        <v/>
      </c>
      <c r="T17" s="1235"/>
      <c r="U17" s="1236"/>
      <c r="V17" s="1249"/>
      <c r="W17" s="1246"/>
      <c r="X17" s="1247"/>
      <c r="Y17" s="1239" t="str">
        <f>IF('св.прот 3ф'!H20="","",IF(Y18="L",0,IF(Y18&gt;AA18,2,1)))</f>
        <v/>
      </c>
      <c r="Z17" s="1240"/>
      <c r="AA17" s="1241"/>
      <c r="AB17" s="1239" t="str">
        <f>IF('св.прот 3ф'!H70="","",IF(AB18="L",0,IF(AB18&gt;AD18,2,1)))</f>
        <v/>
      </c>
      <c r="AC17" s="1240"/>
      <c r="AD17" s="1241"/>
      <c r="AE17" s="1239" t="str">
        <f>IF('св.прот 3ф'!H11="","",IF(AE18="L",0,IF(AE18&gt;AG18,2,1)))</f>
        <v/>
      </c>
      <c r="AF17" s="1240"/>
      <c r="AG17" s="1241"/>
      <c r="AH17" s="1239" t="str">
        <f>IF('св.прот 3ф'!H63="","",IF(AH18="L",0,IF(AH18&gt;AJ18,2,1)))</f>
        <v/>
      </c>
      <c r="AI17" s="1240"/>
      <c r="AJ17" s="1241"/>
      <c r="AK17" s="1239" t="str">
        <f>IF('св.прот 3ф'!H122="","",IF(AK18="L",0,IF(AK18&gt;AM18,2,1)))</f>
        <v/>
      </c>
      <c r="AL17" s="1240"/>
      <c r="AM17" s="1241"/>
      <c r="AN17" s="1239" t="str">
        <f>IF('св.прот 3ф'!H56="","",IF(AN18="L",0,IF(AN18&gt;AP18,2,1)))</f>
        <v/>
      </c>
      <c r="AO17" s="1240"/>
      <c r="AP17" s="1241"/>
      <c r="AQ17" s="1239" t="str">
        <f>IF('св.прот 3ф'!H113="","",IF(AQ18="L",0,IF(AQ18&gt;AS18,2,1)))</f>
        <v/>
      </c>
      <c r="AR17" s="1240"/>
      <c r="AS17" s="1241"/>
      <c r="AT17" s="1239" t="str">
        <f>IF('св.прот 3ф'!H49="","",IF(AT18="L",0,IF(AT18&gt;AV18,2,1)))</f>
        <v/>
      </c>
      <c r="AU17" s="1240"/>
      <c r="AV17" s="1241"/>
      <c r="AW17" s="1239" t="str">
        <f>IF('св.прот 3ф'!H104="","",IF(AW18="L",0,IF(AW18&gt;AY18,2,1)))</f>
        <v/>
      </c>
      <c r="AX17" s="1240"/>
      <c r="AY17" s="1241"/>
      <c r="AZ17" s="1242" t="str">
        <f t="shared" ref="AZ17" si="5">IF(B17="","",SUM(G17,J17,M17,P17,S17,V17,Y17,AB17,AE17,AH17,AK17,AN17,AQ17,AT17,AW17,D17))</f>
        <v/>
      </c>
      <c r="BA17" s="1243"/>
      <c r="BB17" s="1220"/>
      <c r="BC17" s="1222" t="str">
        <f>IF(B17="","",RANK(AZ17,Ф3Оч)+32)</f>
        <v/>
      </c>
    </row>
    <row r="18" spans="1:55" ht="15.75" customHeight="1" x14ac:dyDescent="0.25">
      <c r="A18" s="1176"/>
      <c r="B18" s="1238"/>
      <c r="C18" s="134" t="str">
        <f>IF(B17="","",VLOOKUP(B17,'Списки участников'!A:H,6,FALSE))</f>
        <v/>
      </c>
      <c r="D18" s="141" t="str">
        <f>IF(V5="","",X6)</f>
        <v/>
      </c>
      <c r="E18" s="136" t="str">
        <f>IF(W6="","",":")</f>
        <v/>
      </c>
      <c r="F18" s="142" t="str">
        <f>IF(X6="","",V6)</f>
        <v/>
      </c>
      <c r="G18" s="141" t="str">
        <f>IF(V7="","",X8)</f>
        <v/>
      </c>
      <c r="H18" s="136" t="str">
        <f>IF(W8="","",":")</f>
        <v/>
      </c>
      <c r="I18" s="142" t="str">
        <f>IF(X8="","",V8)</f>
        <v/>
      </c>
      <c r="J18" s="141" t="str">
        <f>IF(V9="","",X10)</f>
        <v/>
      </c>
      <c r="K18" s="136" t="str">
        <f>IF(W10="","",":")</f>
        <v/>
      </c>
      <c r="L18" s="142" t="str">
        <f>IF(X10="","",V10)</f>
        <v/>
      </c>
      <c r="M18" s="141" t="str">
        <f>IF(V11="","",X12)</f>
        <v/>
      </c>
      <c r="N18" s="136" t="str">
        <f>IF(W12="","",":")</f>
        <v/>
      </c>
      <c r="O18" s="142" t="str">
        <f>IF(X12="","",V12)</f>
        <v/>
      </c>
      <c r="P18" s="141" t="str">
        <f>IF(V13="","",X14)</f>
        <v/>
      </c>
      <c r="Q18" s="136" t="str">
        <f>IF(W14="","",":")</f>
        <v/>
      </c>
      <c r="R18" s="142" t="str">
        <f>IF(X14="","",V14)</f>
        <v/>
      </c>
      <c r="S18" s="141" t="str">
        <f>IF(V15="","",X16)</f>
        <v/>
      </c>
      <c r="T18" s="136" t="str">
        <f>IF(W16="","",":")</f>
        <v/>
      </c>
      <c r="U18" s="142" t="str">
        <f>IF(X16="","",V16)</f>
        <v/>
      </c>
      <c r="V18" s="1231"/>
      <c r="W18" s="1232"/>
      <c r="X18" s="1233"/>
      <c r="Y18" s="926" t="str">
        <f>IF('св.прот 3ф'!H20="","",IF('св.прот 3ф'!D20='св.прот 3ф'!H20,'св.прот 3ф'!O20,'св.прот 3ф'!P20))</f>
        <v/>
      </c>
      <c r="Z18" s="927" t="str">
        <f>IF(Y17="","",":")</f>
        <v/>
      </c>
      <c r="AA18" s="928" t="str">
        <f>IF('св.прот 3ф'!H20="","",IF('св.прот 3ф'!D20='св.прот 3ф'!H20,'св.прот 3ф'!P20,'св.прот 3ф'!O20))</f>
        <v/>
      </c>
      <c r="AB18" s="926" t="str">
        <f>IF('св.прот 3ф'!H70="","",IF('св.прот 3ф'!D70='св.прот 3ф'!H70,'св.прот 3ф'!O70,'св.прот 3ф'!P70))</f>
        <v/>
      </c>
      <c r="AC18" s="927" t="str">
        <f>IF(AB17="","",":")</f>
        <v/>
      </c>
      <c r="AD18" s="928" t="str">
        <f>IF('св.прот 3ф'!H70="","",IF('св.прот 3ф'!D70='св.прот 3ф'!H70,'св.прот 3ф'!P70,'св.прот 3ф'!O70))</f>
        <v/>
      </c>
      <c r="AE18" s="926" t="str">
        <f>IF('св.прот 3ф'!H11="","",IF('св.прот 3ф'!D11='св.прот 3ф'!H11,'св.прот 3ф'!O11,'св.прот 3ф'!P11))</f>
        <v/>
      </c>
      <c r="AF18" s="927" t="str">
        <f>IF(AE17="","",":")</f>
        <v/>
      </c>
      <c r="AG18" s="928" t="str">
        <f>IF('св.прот 3ф'!H11="","",IF('св.прот 3ф'!D11='св.прот 3ф'!H11,'св.прот 3ф'!P11,'св.прот 3ф'!O11))</f>
        <v/>
      </c>
      <c r="AH18" s="926" t="str">
        <f>IF('св.прот 3ф'!H63="","",IF('св.прот 3ф'!D63='св.прот 3ф'!H63,'св.прот 3ф'!O63,'св.прот 3ф'!P63))</f>
        <v/>
      </c>
      <c r="AI18" s="927" t="str">
        <f>IF(AH17="","",":")</f>
        <v/>
      </c>
      <c r="AJ18" s="928" t="str">
        <f>IF('св.прот 3ф'!H63="","",IF('св.прот 3ф'!D63='св.прот 3ф'!H63,'св.прот 3ф'!P63,'св.прот 3ф'!O63))</f>
        <v/>
      </c>
      <c r="AK18" s="926" t="str">
        <f>IF('св.прот 3ф'!H122="","",IF('св.прот 3ф'!D122='св.прот 3ф'!H122,'св.прот 3ф'!O122,'св.прот 3ф'!P122))</f>
        <v/>
      </c>
      <c r="AL18" s="927" t="str">
        <f>IF(AK17="","",":")</f>
        <v/>
      </c>
      <c r="AM18" s="928" t="str">
        <f>IF('св.прот 3ф'!H122="","",IF('св.прот 3ф'!D122='св.прот 3ф'!H122,'св.прот 3ф'!P122,'св.прот 3ф'!O122))</f>
        <v/>
      </c>
      <c r="AN18" s="926" t="str">
        <f>IF('св.прот 3ф'!H56="","",IF('св.прот 3ф'!D56='св.прот 3ф'!H56,'св.прот 3ф'!O56,'св.прот 3ф'!P56))</f>
        <v/>
      </c>
      <c r="AO18" s="927" t="str">
        <f>IF(AN17="","",":")</f>
        <v/>
      </c>
      <c r="AP18" s="928" t="str">
        <f>IF('св.прот 3ф'!H56="","",IF('св.прот 3ф'!D56='св.прот 3ф'!H56,'св.прот 3ф'!P56,'св.прот 3ф'!O56))</f>
        <v/>
      </c>
      <c r="AQ18" s="926" t="str">
        <f>IF('св.прот 3ф'!H113="","",IF('св.прот 3ф'!D113='св.прот 3ф'!H113,'св.прот 3ф'!O113,'св.прот 3ф'!P113))</f>
        <v/>
      </c>
      <c r="AR18" s="927" t="str">
        <f>IF(AQ17="","",":")</f>
        <v/>
      </c>
      <c r="AS18" s="928" t="str">
        <f>IF('св.прот 3ф'!H113="","",IF('св.прот 3ф'!D113='св.прот 3ф'!H113,'св.прот 3ф'!P113,'св.прот 3ф'!O113))</f>
        <v/>
      </c>
      <c r="AT18" s="926" t="str">
        <f>IF('св.прот 3ф'!H49="","",IF('св.прот 3ф'!D49='св.прот 3ф'!H49,'св.прот 3ф'!O49,'св.прот 3ф'!P49))</f>
        <v/>
      </c>
      <c r="AU18" s="927" t="str">
        <f>IF(AT17="","",":")</f>
        <v/>
      </c>
      <c r="AV18" s="928" t="str">
        <f>IF('св.прот 3ф'!H49="","",IF('св.прот 3ф'!D49='св.прот 3ф'!H49,'св.прот 3ф'!P49,'св.прот 3ф'!O49))</f>
        <v/>
      </c>
      <c r="AW18" s="926" t="str">
        <f>IF('св.прот 3ф'!H104="","",IF('св.прот 3ф'!D104='св.прот 3ф'!H104,'св.прот 3ф'!O104,'св.прот 3ф'!P104))</f>
        <v/>
      </c>
      <c r="AX18" s="927" t="str">
        <f>IF(AW17="","",":")</f>
        <v/>
      </c>
      <c r="AY18" s="928" t="str">
        <f>IF('св.прот 3ф'!H104="","",IF('св.прот 3ф'!D104='св.прот 3ф'!H104,'св.прот 3ф'!P104,'св.прот 3ф'!O104))</f>
        <v/>
      </c>
      <c r="AZ18" s="1244"/>
      <c r="BA18" s="1245"/>
      <c r="BB18" s="1221"/>
      <c r="BC18" s="1222"/>
    </row>
    <row r="19" spans="1:55" ht="15.75" customHeight="1" x14ac:dyDescent="0.25">
      <c r="A19" s="1175">
        <v>8</v>
      </c>
      <c r="B19" s="1223"/>
      <c r="C19" s="133" t="str">
        <f>IF(B19="","",VLOOKUP(B19,'Списки участников'!A:H,3,FALSE))</f>
        <v/>
      </c>
      <c r="D19" s="1234" t="str">
        <f>IF(Y5="","",IF(Y6="W",0,IF(Y5=2,1,IF(Y5=1,2,IF(Y5=0,2)))))</f>
        <v/>
      </c>
      <c r="E19" s="1235"/>
      <c r="F19" s="1236"/>
      <c r="G19" s="1234" t="str">
        <f>IF(Y7="","",IF(Y8="W",0,IF(Y7=2,1,IF(Y7=1,2,IF(Y7=0,2)))))</f>
        <v/>
      </c>
      <c r="H19" s="1235"/>
      <c r="I19" s="1236"/>
      <c r="J19" s="1234" t="str">
        <f>IF(Y9="","",IF(Y10="W",0,IF(Y9=2,1,IF(Y9=1,2,IF(Y9=0,2)))))</f>
        <v/>
      </c>
      <c r="K19" s="1235"/>
      <c r="L19" s="1236"/>
      <c r="M19" s="1234" t="str">
        <f>IF(Y11="","",IF(Y12="W",0,IF(Y11=2,1,IF(Y11=1,2,IF(Y11=0,2)))))</f>
        <v/>
      </c>
      <c r="N19" s="1235"/>
      <c r="O19" s="1236"/>
      <c r="P19" s="1234" t="str">
        <f>IF(Y13="","",IF(Y14="W",0,IF(Y13=2,1,IF(Y13=1,2,IF(Y13=0,2)))))</f>
        <v/>
      </c>
      <c r="Q19" s="1235"/>
      <c r="R19" s="1236"/>
      <c r="S19" s="1234" t="str">
        <f>IF(Y15="","",IF(Y16="W",0,IF(Y15=2,1,IF(Y15=1,2,IF(Y15=0,2)))))</f>
        <v/>
      </c>
      <c r="T19" s="1235"/>
      <c r="U19" s="1236"/>
      <c r="V19" s="1234" t="str">
        <f>IF(Y17="","",IF(Y18="W",0,IF(Y17=2,1,IF(Y17=1,2,IF(Y17=0,2)))))</f>
        <v/>
      </c>
      <c r="W19" s="1235"/>
      <c r="X19" s="1236"/>
      <c r="Y19" s="1228"/>
      <c r="Z19" s="1229"/>
      <c r="AA19" s="1230"/>
      <c r="AB19" s="1239" t="str">
        <f>IF('св.прот 3ф'!H12="","",IF(AB20="L",0,IF(AB20&gt;AD20,2,1)))</f>
        <v/>
      </c>
      <c r="AC19" s="1240"/>
      <c r="AD19" s="1241"/>
      <c r="AE19" s="1239" t="str">
        <f>IF('св.прот 3ф'!H62="","",IF(AE20="L",0,IF(AE20&gt;AG20,2,1)))</f>
        <v/>
      </c>
      <c r="AF19" s="1240"/>
      <c r="AG19" s="1241"/>
      <c r="AH19" s="1239" t="str">
        <f>IF('св.прот 3ф'!H123="","",IF(AH20="L",0,IF(AH20&gt;AJ20,2,1)))</f>
        <v/>
      </c>
      <c r="AI19" s="1240"/>
      <c r="AJ19" s="1241"/>
      <c r="AK19" s="1239" t="str">
        <f>IF('св.прот 3ф'!H55="","",IF(AK20="L",0,IF(AK20&gt;AM20,2,1)))</f>
        <v/>
      </c>
      <c r="AL19" s="1240"/>
      <c r="AM19" s="1241"/>
      <c r="AN19" s="1239" t="str">
        <f>IF('св.прот 3ф'!H114="","",IF(AN20="L",0,IF(AN20&gt;AP20,2,1)))</f>
        <v/>
      </c>
      <c r="AO19" s="1240"/>
      <c r="AP19" s="1241"/>
      <c r="AQ19" s="1239" t="str">
        <f>IF('св.прот 3ф'!H48="","",IF(AQ20="L",0,IF(AQ20&gt;AS20,2,1)))</f>
        <v/>
      </c>
      <c r="AR19" s="1240"/>
      <c r="AS19" s="1241"/>
      <c r="AT19" s="1239" t="str">
        <f>IF('св.прот 3ф'!H105="","",IF(AT20="L",0,IF(AT20&gt;AV20,2,1)))</f>
        <v/>
      </c>
      <c r="AU19" s="1240"/>
      <c r="AV19" s="1241"/>
      <c r="AW19" s="1239" t="str">
        <f>IF('св.прот 3ф'!H41="","",IF(AW20="L",0,IF(AW20&gt;AY20,2,1)))</f>
        <v/>
      </c>
      <c r="AX19" s="1240"/>
      <c r="AY19" s="1241"/>
      <c r="AZ19" s="1242" t="str">
        <f t="shared" ref="AZ19" si="6">IF(B19="","",SUM(G19,J19,M19,P19,S19,V19,Y19,AB19,AE19,AH19,AK19,AN19,AQ19,AT19,AW19,D19))</f>
        <v/>
      </c>
      <c r="BA19" s="1243"/>
      <c r="BB19" s="1220"/>
      <c r="BC19" s="1222" t="str">
        <f>IF(B19="","",RANK(AZ19,Ф3Оч)+32)</f>
        <v/>
      </c>
    </row>
    <row r="20" spans="1:55" ht="15.75" customHeight="1" x14ac:dyDescent="0.25">
      <c r="A20" s="1176"/>
      <c r="B20" s="1224"/>
      <c r="C20" s="134" t="str">
        <f>IF(B19="","",VLOOKUP(B19,'Списки участников'!A:H,6,FALSE))</f>
        <v/>
      </c>
      <c r="D20" s="141" t="str">
        <f>IF(Y5="","",AA6)</f>
        <v/>
      </c>
      <c r="E20" s="136" t="str">
        <f>IF(Z6="","",":")</f>
        <v/>
      </c>
      <c r="F20" s="142" t="str">
        <f>IF(AA6="","",Y6)</f>
        <v/>
      </c>
      <c r="G20" s="141" t="str">
        <f>IF(Y7="","",AA8)</f>
        <v/>
      </c>
      <c r="H20" s="136" t="str">
        <f>IF(Z8="","",":")</f>
        <v/>
      </c>
      <c r="I20" s="142" t="str">
        <f>IF(AA8="","",Y8)</f>
        <v/>
      </c>
      <c r="J20" s="141" t="str">
        <f>IF(Y9="","",AA10)</f>
        <v/>
      </c>
      <c r="K20" s="136" t="str">
        <f>IF(Z10="","",":")</f>
        <v/>
      </c>
      <c r="L20" s="142" t="str">
        <f>IF(AA10="","",Y10)</f>
        <v/>
      </c>
      <c r="M20" s="141" t="str">
        <f>IF(Y11="","",AA12)</f>
        <v/>
      </c>
      <c r="N20" s="136" t="str">
        <f>IF(Z12="","",":")</f>
        <v/>
      </c>
      <c r="O20" s="142" t="str">
        <f>IF(AA12="","",Y12)</f>
        <v/>
      </c>
      <c r="P20" s="141" t="str">
        <f>IF(Y13="","",AA14)</f>
        <v/>
      </c>
      <c r="Q20" s="136" t="str">
        <f>IF(Z14="","",":")</f>
        <v/>
      </c>
      <c r="R20" s="142" t="str">
        <f>IF(AA14="","",Y14)</f>
        <v/>
      </c>
      <c r="S20" s="141" t="str">
        <f>IF(Y15="","",AA16)</f>
        <v/>
      </c>
      <c r="T20" s="136" t="str">
        <f>IF(Z16="","",":")</f>
        <v/>
      </c>
      <c r="U20" s="142" t="str">
        <f>IF(AA16="","",Y16)</f>
        <v/>
      </c>
      <c r="V20" s="141" t="str">
        <f>IF(Y17="","",AA18)</f>
        <v/>
      </c>
      <c r="W20" s="136" t="str">
        <f>IF(Z18="","",":")</f>
        <v/>
      </c>
      <c r="X20" s="142" t="str">
        <f>IF(AA18="","",Y18)</f>
        <v/>
      </c>
      <c r="Y20" s="1231"/>
      <c r="Z20" s="1232"/>
      <c r="AA20" s="1233"/>
      <c r="AB20" s="926" t="str">
        <f>IF('св.прот 3ф'!H12="","",IF('св.прот 3ф'!D12='св.прот 3ф'!H12,'св.прот 3ф'!O12,'св.прот 3ф'!P12))</f>
        <v/>
      </c>
      <c r="AC20" s="927" t="str">
        <f>IF(AB19="","",":")</f>
        <v/>
      </c>
      <c r="AD20" s="928" t="str">
        <f>IF('св.прот 3ф'!H12="","",IF('св.прот 3ф'!D12='св.прот 3ф'!H12,'св.прот 3ф'!P12,'св.прот 3ф'!O12))</f>
        <v/>
      </c>
      <c r="AE20" s="926" t="str">
        <f>IF('св.прот 3ф'!H62="","",IF('св.прот 3ф'!D62='св.прот 3ф'!H62,'св.прот 3ф'!O19,'св.прот 3ф'!P62))</f>
        <v/>
      </c>
      <c r="AF20" s="927" t="str">
        <f>IF(AE19="","",":")</f>
        <v/>
      </c>
      <c r="AG20" s="928" t="str">
        <f>IF('св.прот 3ф'!H62="","",IF('св.прот 3ф'!D62='св.прот 3ф'!H62,'св.прот 3ф'!P62,'св.прот 3ф'!O62))</f>
        <v/>
      </c>
      <c r="AH20" s="926" t="str">
        <f>IF('св.прот 3ф'!H123="","",IF('св.прот 3ф'!D123='св.прот 3ф'!H123,'св.прот 3ф'!O123,'св.прот 3ф'!P123))</f>
        <v/>
      </c>
      <c r="AI20" s="927" t="str">
        <f>IF(AH19="","",":")</f>
        <v/>
      </c>
      <c r="AJ20" s="928" t="str">
        <f>IF('св.прот 3ф'!H123="","",IF('св.прот 3ф'!D123='св.прот 3ф'!H123,'св.прот 3ф'!P123,'св.прот 3ф'!O123))</f>
        <v/>
      </c>
      <c r="AK20" s="926" t="str">
        <f>IF('св.прот 3ф'!H55="","",IF('св.прот 3ф'!D55='св.прот 3ф'!H55,'св.прот 3ф'!O55,'св.прот 3ф'!P55))</f>
        <v/>
      </c>
      <c r="AL20" s="927" t="str">
        <f>IF(AK19="","",":")</f>
        <v/>
      </c>
      <c r="AM20" s="928" t="str">
        <f>IF('св.прот 3ф'!H55="","",IF('св.прот 3ф'!D55='св.прот 3ф'!H55,'св.прот 3ф'!P55,'св.прот 3ф'!O55))</f>
        <v/>
      </c>
      <c r="AN20" s="926" t="str">
        <f>IF('св.прот 3ф'!H114="","",IF('св.прот 3ф'!D114='св.прот 3ф'!H114,'св.прот 3ф'!O114,'св.прот 3ф'!P114))</f>
        <v/>
      </c>
      <c r="AO20" s="927" t="str">
        <f>IF(AN19="","",":")</f>
        <v/>
      </c>
      <c r="AP20" s="928" t="str">
        <f>IF('св.прот 3ф'!H114="","",IF('св.прот 3ф'!D114='св.прот 3ф'!H114,'св.прот 3ф'!P114,'св.прот 3ф'!O114))</f>
        <v/>
      </c>
      <c r="AQ20" s="926" t="str">
        <f>IF('св.прот 3ф'!H48="","",IF('св.прот 3ф'!D48='св.прот 3ф'!H48,'св.прот 3ф'!O48,'св.прот 3ф'!P48))</f>
        <v/>
      </c>
      <c r="AR20" s="927" t="str">
        <f>IF(AQ19="","",":")</f>
        <v/>
      </c>
      <c r="AS20" s="928" t="str">
        <f>IF('св.прот 3ф'!H48="","",IF('св.прот 3ф'!D48='св.прот 3ф'!H48,'св.прот 3ф'!P48,'св.прот 3ф'!O48))</f>
        <v/>
      </c>
      <c r="AT20" s="926" t="str">
        <f>IF('св.прот 3ф'!H105="","",IF('св.прот 3ф'!D105='св.прот 3ф'!H105,'св.прот 3ф'!O105,'св.прот 3ф'!P105))</f>
        <v/>
      </c>
      <c r="AU20" s="927" t="str">
        <f>IF(AT19="","",":")</f>
        <v/>
      </c>
      <c r="AV20" s="928" t="str">
        <f>IF('св.прот 3ф'!H105="","",IF('св.прот 3ф'!D105='св.прот 3ф'!H105,'св.прот 3ф'!P105,'св.прот 3ф'!O105))</f>
        <v/>
      </c>
      <c r="AW20" s="926" t="str">
        <f>IF('св.прот 3ф'!H41="","",IF('св.прот 3ф'!D41='св.прот 3ф'!H41,'св.прот 3ф'!O41,'св.прот 3ф'!P41))</f>
        <v/>
      </c>
      <c r="AX20" s="927" t="str">
        <f>IF(AW19="","",":")</f>
        <v/>
      </c>
      <c r="AY20" s="928" t="str">
        <f>IF('св.прот 3ф'!H41="","",IF('св.прот 3ф'!D41='св.прот 3ф'!H41,'св.прот 3ф'!P41,'св.прот 3ф'!O41))</f>
        <v/>
      </c>
      <c r="AZ20" s="1244"/>
      <c r="BA20" s="1245"/>
      <c r="BB20" s="1221"/>
      <c r="BC20" s="1222"/>
    </row>
    <row r="21" spans="1:55" ht="15.75" customHeight="1" x14ac:dyDescent="0.25">
      <c r="A21" s="1175">
        <v>9</v>
      </c>
      <c r="B21" s="1237"/>
      <c r="C21" s="133" t="str">
        <f>IF(B21="","",VLOOKUP(B21,'Списки участников'!A:H,3,FALSE))</f>
        <v/>
      </c>
      <c r="D21" s="1234" t="str">
        <f>IF(AB5="","",IF(AB6="W",0,IF(AB5=2,1,IF(AB5=1,2,IF(AB5=0,2)))))</f>
        <v/>
      </c>
      <c r="E21" s="1235"/>
      <c r="F21" s="1236"/>
      <c r="G21" s="1234" t="str">
        <f>IF(AB7="","",IF(AB8="W",0,IF(AB7=2,1,IF(AB7=1,2,IF(AB7=0,2)))))</f>
        <v/>
      </c>
      <c r="H21" s="1235"/>
      <c r="I21" s="1236"/>
      <c r="J21" s="1234" t="str">
        <f>IF(AB9="","",IF(AB10="W",0,IF(AB9=2,1,IF(AB9=1,2,IF(AB9=0,2)))))</f>
        <v/>
      </c>
      <c r="K21" s="1235"/>
      <c r="L21" s="1236"/>
      <c r="M21" s="1234" t="str">
        <f>IF(AB11="","",IF(AB12="W",0,IF(AB11=2,1,IF(AB11=1,2,IF(AB11=0,2)))))</f>
        <v/>
      </c>
      <c r="N21" s="1235"/>
      <c r="O21" s="1236"/>
      <c r="P21" s="1234" t="str">
        <f>IF(AB13="","",IF(AB14="W",0,IF(AB13=2,1,IF(AB13=1,2,IF(AB13=0,2)))))</f>
        <v/>
      </c>
      <c r="Q21" s="1235"/>
      <c r="R21" s="1236"/>
      <c r="S21" s="1234" t="str">
        <f>IF(AB15="","",IF(AB16="W",0,IF(AB15=2,1,IF(AB15=1,2,IF(AB15=0,2)))))</f>
        <v/>
      </c>
      <c r="T21" s="1235"/>
      <c r="U21" s="1236"/>
      <c r="V21" s="1234" t="str">
        <f>IF(AB17="","",IF(AB18="W",0,IF(AB17=2,1,IF(AB17=1,2,IF(AB17=0,2)))))</f>
        <v/>
      </c>
      <c r="W21" s="1235"/>
      <c r="X21" s="1236"/>
      <c r="Y21" s="1234" t="str">
        <f>IF(AB19="","",IF(AB20="W",0,IF(AB19=2,1,IF(AB19=1,2,IF(AB19=0,2)))))</f>
        <v/>
      </c>
      <c r="Z21" s="1235"/>
      <c r="AA21" s="1236"/>
      <c r="AB21" s="1249"/>
      <c r="AC21" s="1246"/>
      <c r="AD21" s="1247"/>
      <c r="AE21" s="1239" t="str">
        <f>IF('св.прот 3ф'!H124="","",IF(AE22="L",0,IF(AE22&gt;AG22,2,1)))</f>
        <v/>
      </c>
      <c r="AF21" s="1240"/>
      <c r="AG21" s="1241"/>
      <c r="AH21" s="1239" t="str">
        <f>IF('св.прот 3ф'!H54="","",IF(AH22="L",0,IF(AH22&gt;AJ22,2,1)))</f>
        <v/>
      </c>
      <c r="AI21" s="1240"/>
      <c r="AJ21" s="1241"/>
      <c r="AK21" s="1239" t="str">
        <f>IF('св.прот 3ф'!H115="","",IF(AK22="L",0,IF(AK22&gt;AM22,2,1)))</f>
        <v/>
      </c>
      <c r="AL21" s="1240"/>
      <c r="AM21" s="1241"/>
      <c r="AN21" s="1239" t="str">
        <f>IF('св.прот 3ф'!H47="","",IF(AN22="L",0,IF(AN22&gt;AP22,2,1)))</f>
        <v/>
      </c>
      <c r="AO21" s="1240"/>
      <c r="AP21" s="1241"/>
      <c r="AQ21" s="1239" t="str">
        <f>IF('св.прот 3ф'!H106="","",IF(AQ22="L",0,IF(AQ22&gt;AS22,2,1)))</f>
        <v/>
      </c>
      <c r="AR21" s="1240"/>
      <c r="AS21" s="1241"/>
      <c r="AT21" s="1239" t="str">
        <f>IF('св.прот 3ф'!H40="","",IF(AT22="L",0,IF(AT22&gt;AV22,2,1)))</f>
        <v/>
      </c>
      <c r="AU21" s="1240"/>
      <c r="AV21" s="1241"/>
      <c r="AW21" s="1239" t="str">
        <f>IF('св.прот 3ф'!H97="","",IF(AW22="L",0,IF(AW22&gt;AY22,2,1)))</f>
        <v/>
      </c>
      <c r="AX21" s="1240"/>
      <c r="AY21" s="1241"/>
      <c r="AZ21" s="1242" t="str">
        <f t="shared" ref="AZ21" si="7">IF(B21="","",SUM(G21,J21,M21,P21,S21,V21,Y21,AB21,AE21,AH21,AK21,AN21,AQ21,AT21,AW21,D21))</f>
        <v/>
      </c>
      <c r="BA21" s="1243"/>
      <c r="BB21" s="1220"/>
      <c r="BC21" s="1222" t="str">
        <f>IF(B21="","",RANK(AZ21,Ф3Оч)+32)</f>
        <v/>
      </c>
    </row>
    <row r="22" spans="1:55" ht="15.75" customHeight="1" x14ac:dyDescent="0.25">
      <c r="A22" s="1176"/>
      <c r="B22" s="1238"/>
      <c r="C22" s="134" t="str">
        <f>IF(B21="","",VLOOKUP(B21,'Списки участников'!A:H,6,FALSE))</f>
        <v/>
      </c>
      <c r="D22" s="141" t="str">
        <f>IF(AB5="","",AD6)</f>
        <v/>
      </c>
      <c r="E22" s="136" t="str">
        <f>IF(AC6="","",":")</f>
        <v/>
      </c>
      <c r="F22" s="142" t="str">
        <f>IF(AD6="","",AB6)</f>
        <v/>
      </c>
      <c r="G22" s="141" t="str">
        <f>IF(AB7="","",AD8)</f>
        <v/>
      </c>
      <c r="H22" s="136" t="str">
        <f>IF(AC8="","",":")</f>
        <v/>
      </c>
      <c r="I22" s="142" t="str">
        <f>IF(AD8="","",AB8)</f>
        <v/>
      </c>
      <c r="J22" s="141" t="str">
        <f>IF(AB9="","",AD10)</f>
        <v/>
      </c>
      <c r="K22" s="136" t="str">
        <f>IF(AC10="","",":")</f>
        <v/>
      </c>
      <c r="L22" s="142" t="str">
        <f>IF(AD10="","",AB10)</f>
        <v/>
      </c>
      <c r="M22" s="141" t="str">
        <f>IF(AB11="","",AD12)</f>
        <v/>
      </c>
      <c r="N22" s="136" t="str">
        <f>IF(AC12="","",":")</f>
        <v/>
      </c>
      <c r="O22" s="142" t="str">
        <f>IF(AD12="","",AB12)</f>
        <v/>
      </c>
      <c r="P22" s="141" t="str">
        <f>IF(AB13="","",AD14)</f>
        <v/>
      </c>
      <c r="Q22" s="136" t="str">
        <f>IF(AC14="","",":")</f>
        <v/>
      </c>
      <c r="R22" s="142" t="str">
        <f>IF(AD14="","",AB14)</f>
        <v/>
      </c>
      <c r="S22" s="141" t="str">
        <f>IF(AB15="","",AD16)</f>
        <v/>
      </c>
      <c r="T22" s="136" t="str">
        <f>IF(AC16="","",":")</f>
        <v/>
      </c>
      <c r="U22" s="142" t="str">
        <f>IF(AD16="","",AB16)</f>
        <v/>
      </c>
      <c r="V22" s="141" t="str">
        <f>IF(AB17="","",AD18)</f>
        <v/>
      </c>
      <c r="W22" s="136" t="str">
        <f>IF(AC18="","",":")</f>
        <v/>
      </c>
      <c r="X22" s="142" t="str">
        <f>IF(AD18="","",AB18)</f>
        <v/>
      </c>
      <c r="Y22" s="141" t="str">
        <f>IF(AB19="","",AD20)</f>
        <v/>
      </c>
      <c r="Z22" s="136" t="str">
        <f>IF(AC20="","",":")</f>
        <v/>
      </c>
      <c r="AA22" s="142" t="str">
        <f>IF(AD20="","",AB20)</f>
        <v/>
      </c>
      <c r="AB22" s="1231"/>
      <c r="AC22" s="1232"/>
      <c r="AD22" s="1233"/>
      <c r="AE22" s="926" t="str">
        <f>IF('св.прот 3ф'!H124="","",IF('св.прот 3ф'!D124='св.прот 3ф'!H124,'св.прот 3ф'!O21,'св.прот 3ф'!P124))</f>
        <v/>
      </c>
      <c r="AF22" s="927" t="str">
        <f>IF(AE21="","",":")</f>
        <v/>
      </c>
      <c r="AG22" s="928" t="str">
        <f>IF('св.прот 3ф'!H124="","",IF('св.прот 3ф'!D124='св.прот 3ф'!H124,'св.прот 3ф'!P124,'св.прот 3ф'!O124))</f>
        <v/>
      </c>
      <c r="AH22" s="926" t="str">
        <f>IF('св.прот 3ф'!H54="","",IF('св.прот 3ф'!D54='св.прот 3ф'!H54,'св.прот 3ф'!O54,'св.прот 3ф'!P54))</f>
        <v/>
      </c>
      <c r="AI22" s="927" t="str">
        <f>IF(AH21="","",":")</f>
        <v/>
      </c>
      <c r="AJ22" s="928" t="str">
        <f>IF('св.прот 3ф'!H54="","",IF('св.прот 3ф'!D54='св.прот 3ф'!H54,'св.прот 3ф'!P54,'св.прот 3ф'!O54))</f>
        <v/>
      </c>
      <c r="AK22" s="926" t="str">
        <f>IF('св.прот 3ф'!H115="","",IF('св.прот 3ф'!D115='св.прот 3ф'!H115,'св.прот 3ф'!O115,'св.прот 3ф'!P115))</f>
        <v/>
      </c>
      <c r="AL22" s="927" t="str">
        <f>IF(AK21="","",":")</f>
        <v/>
      </c>
      <c r="AM22" s="928" t="str">
        <f>IF('св.прот 3ф'!H115="","",IF('св.прот 3ф'!D115='св.прот 3ф'!H115,'св.прот 3ф'!P115,'св.прот 3ф'!O115))</f>
        <v/>
      </c>
      <c r="AN22" s="926" t="str">
        <f>IF('св.прот 3ф'!H47="","",IF('св.прот 3ф'!D47='св.прот 3ф'!H47,'св.прот 3ф'!O47,'св.прот 3ф'!P47))</f>
        <v/>
      </c>
      <c r="AO22" s="927" t="str">
        <f>IF(AN21="","",":")</f>
        <v/>
      </c>
      <c r="AP22" s="928" t="str">
        <f>IF('св.прот 3ф'!H47="","",IF('св.прот 3ф'!D47='св.прот 3ф'!H47,'св.прот 3ф'!P47,'св.прот 3ф'!O47))</f>
        <v/>
      </c>
      <c r="AQ22" s="926" t="str">
        <f>IF('св.прот 3ф'!H106="","",IF('св.прот 3ф'!D106='св.прот 3ф'!H106,'св.прот 3ф'!O106,'св.прот 3ф'!P106))</f>
        <v/>
      </c>
      <c r="AR22" s="927" t="str">
        <f>IF(AQ21="","",":")</f>
        <v/>
      </c>
      <c r="AS22" s="928" t="str">
        <f>IF('св.прот 3ф'!H106="","",IF('св.прот 3ф'!D106='св.прот 3ф'!H106,'св.прот 3ф'!P106,'св.прот 3ф'!O106))</f>
        <v/>
      </c>
      <c r="AT22" s="926" t="str">
        <f>IF('св.прот 3ф'!H40="","",IF('св.прот 3ф'!D40='св.прот 3ф'!H40,'св.прот 3ф'!O40,'св.прот 3ф'!P40))</f>
        <v/>
      </c>
      <c r="AU22" s="927" t="str">
        <f>IF(AT21="","",":")</f>
        <v/>
      </c>
      <c r="AV22" s="928" t="str">
        <f>IF('св.прот 3ф'!H40="","",IF('св.прот 3ф'!D40='св.прот 3ф'!H40,'св.прот 3ф'!P40,'св.прот 3ф'!O40))</f>
        <v/>
      </c>
      <c r="AW22" s="926" t="str">
        <f>IF('св.прот 3ф'!H97="","",IF('св.прот 3ф'!D97='св.прот 3ф'!H97,'св.прот 3ф'!O97,'св.прот 3ф'!P97))</f>
        <v/>
      </c>
      <c r="AX22" s="927" t="str">
        <f>IF(AW21="","",":")</f>
        <v/>
      </c>
      <c r="AY22" s="928" t="str">
        <f>IF('св.прот 3ф'!H97="","",IF('св.прот 3ф'!D97='св.прот 3ф'!H97,'св.прот 3ф'!P97,'св.прот 3ф'!O97))</f>
        <v/>
      </c>
      <c r="AZ22" s="1244"/>
      <c r="BA22" s="1245"/>
      <c r="BB22" s="1221"/>
      <c r="BC22" s="1222"/>
    </row>
    <row r="23" spans="1:55" ht="15.75" customHeight="1" x14ac:dyDescent="0.25">
      <c r="A23" s="1175">
        <v>10</v>
      </c>
      <c r="B23" s="1223"/>
      <c r="C23" s="133" t="str">
        <f>IF(B23="","",VLOOKUP(B23,'Списки участников'!A:H,3,FALSE))</f>
        <v/>
      </c>
      <c r="D23" s="1234" t="str">
        <f>IF(AE5="","",IF(AE6="W",0,IF(AE5=2,1,IF(AE5=1,2,IF(AE5=0,2)))))</f>
        <v/>
      </c>
      <c r="E23" s="1235"/>
      <c r="F23" s="1236"/>
      <c r="G23" s="1234" t="str">
        <f>IF(AE7="","",IF(AE8="W",0,IF(AE7=2,1,IF(AE7=1,2,IF(AE7=0,2)))))</f>
        <v/>
      </c>
      <c r="H23" s="1235"/>
      <c r="I23" s="1236"/>
      <c r="J23" s="1234" t="str">
        <f>IF(AE9="","",IF(AE10="W",0,IF(AE9=2,1,IF(AE9=1,2,IF(AE9=0,2)))))</f>
        <v/>
      </c>
      <c r="K23" s="1235"/>
      <c r="L23" s="1236"/>
      <c r="M23" s="1234" t="str">
        <f>IF(AE11="","",IF(AE12="W",0,IF(AE11=2,1,IF(AE11=1,2,IF(AE11=0,2)))))</f>
        <v/>
      </c>
      <c r="N23" s="1235"/>
      <c r="O23" s="1236"/>
      <c r="P23" s="1234" t="str">
        <f>IF(AE13="","",IF(AE14="W",0,IF(AE13=2,1,IF(AE13=1,2,IF(AE13=0,2)))))</f>
        <v/>
      </c>
      <c r="Q23" s="1235"/>
      <c r="R23" s="1236"/>
      <c r="S23" s="1234" t="str">
        <f>IF(AE15="","",IF(AE16="W",0,IF(AE15=2,1,IF(AE15=1,2,IF(AE15=0,2)))))</f>
        <v/>
      </c>
      <c r="T23" s="1235"/>
      <c r="U23" s="1236"/>
      <c r="V23" s="1234" t="str">
        <f>IF(AE17="","",IF(AE18="W",0,IF(AE17=2,1,IF(AE17=1,2,IF(AE17=0,2)))))</f>
        <v/>
      </c>
      <c r="W23" s="1235"/>
      <c r="X23" s="1236"/>
      <c r="Y23" s="1234" t="str">
        <f>IF(AE19="","",IF(AE20="W",0,IF(AE19=2,1,IF(AE19=1,2,IF(AE19=0,2)))))</f>
        <v/>
      </c>
      <c r="Z23" s="1235"/>
      <c r="AA23" s="1236"/>
      <c r="AB23" s="1234" t="str">
        <f>IF(AE21="","",IF(AE22="W",0,IF(AE21=2,1,IF(AE21=1,2,IF(AE21=0,2)))))</f>
        <v/>
      </c>
      <c r="AC23" s="1235"/>
      <c r="AD23" s="1236"/>
      <c r="AE23" s="1228"/>
      <c r="AF23" s="1229"/>
      <c r="AG23" s="1230"/>
      <c r="AH23" s="1239" t="str">
        <f>IF('св.прот 3ф'!H116="","",IF(AH24="L",0,IF(AH24&gt;AJ24,2,1)))</f>
        <v/>
      </c>
      <c r="AI23" s="1240"/>
      <c r="AJ23" s="1241"/>
      <c r="AK23" s="1239" t="str">
        <f>IF('св.прот 3ф'!H46="","",IF(AK24="L",0,IF(AK24&gt;AM24,2,1)))</f>
        <v/>
      </c>
      <c r="AL23" s="1240"/>
      <c r="AM23" s="1241"/>
      <c r="AN23" s="1239" t="str">
        <f>IF('св.прот 3ф'!H107="","",IF(AN24="L",0,IF(AN24&gt;AP24,2,1)))</f>
        <v/>
      </c>
      <c r="AO23" s="1240"/>
      <c r="AP23" s="1241"/>
      <c r="AQ23" s="1239" t="str">
        <f>IF('св.прот 3ф'!H39="","",IF(AQ24="L",0,IF(AQ24&gt;AS24,2,1)))</f>
        <v/>
      </c>
      <c r="AR23" s="1240"/>
      <c r="AS23" s="1241"/>
      <c r="AT23" s="1239" t="str">
        <f>IF('св.прот 3ф'!H98="","",IF(AT24="L",0,IF(AT24&gt;AV24,2,1)))</f>
        <v/>
      </c>
      <c r="AU23" s="1240"/>
      <c r="AV23" s="1241"/>
      <c r="AW23" s="1239" t="str">
        <f>IF('св.прот 3ф'!H32="","",IF(AW24="L",0,IF(AW24&gt;AY24,2,1)))</f>
        <v/>
      </c>
      <c r="AX23" s="1240"/>
      <c r="AY23" s="1241"/>
      <c r="AZ23" s="1242" t="str">
        <f t="shared" ref="AZ23" si="8">IF(B23="","",SUM(G23,J23,M23,P23,S23,V23,Y23,AB23,AE23,AH23,AK23,AN23,AQ23,AT23,AW23,D23))</f>
        <v/>
      </c>
      <c r="BA23" s="1243"/>
      <c r="BB23" s="1220"/>
      <c r="BC23" s="1222" t="str">
        <f>IF(B23="","",RANK(AZ23,Ф3Оч)+32)</f>
        <v/>
      </c>
    </row>
    <row r="24" spans="1:55" ht="15.75" customHeight="1" x14ac:dyDescent="0.25">
      <c r="A24" s="1176"/>
      <c r="B24" s="1224"/>
      <c r="C24" s="134" t="str">
        <f>IF(B23="","",VLOOKUP(B23,'Списки участников'!A:H,6,FALSE))</f>
        <v/>
      </c>
      <c r="D24" s="141" t="str">
        <f>IF(AE5="","",AG6)</f>
        <v/>
      </c>
      <c r="E24" s="136" t="str">
        <f>IF(AF6="","",":")</f>
        <v/>
      </c>
      <c r="F24" s="142" t="str">
        <f>IF(AG6="","",AE6)</f>
        <v/>
      </c>
      <c r="G24" s="141" t="str">
        <f>IF(AE7="","",AG8)</f>
        <v/>
      </c>
      <c r="H24" s="136" t="str">
        <f>IF(AF8="","",":")</f>
        <v/>
      </c>
      <c r="I24" s="142" t="str">
        <f>IF(AG8="","",AE8)</f>
        <v/>
      </c>
      <c r="J24" s="141" t="str">
        <f>IF(AE9="","",AG10)</f>
        <v/>
      </c>
      <c r="K24" s="136" t="str">
        <f>IF(AF10="","",":")</f>
        <v/>
      </c>
      <c r="L24" s="142" t="str">
        <f>IF(AG10="","",AE10)</f>
        <v/>
      </c>
      <c r="M24" s="141" t="str">
        <f>IF(AE11="","",AG12)</f>
        <v/>
      </c>
      <c r="N24" s="136" t="str">
        <f>IF(AF12="","",":")</f>
        <v/>
      </c>
      <c r="O24" s="142" t="str">
        <f>IF(AG12="","",AE12)</f>
        <v/>
      </c>
      <c r="P24" s="141" t="str">
        <f>IF(AE13="","",AG14)</f>
        <v/>
      </c>
      <c r="Q24" s="136" t="str">
        <f>IF(AF14="","",":")</f>
        <v/>
      </c>
      <c r="R24" s="142" t="str">
        <f>IF(AG14="","",AE14)</f>
        <v/>
      </c>
      <c r="S24" s="141" t="str">
        <f>IF(AE15="","",AG16)</f>
        <v/>
      </c>
      <c r="T24" s="136" t="str">
        <f>IF(AF16="","",":")</f>
        <v/>
      </c>
      <c r="U24" s="142" t="str">
        <f>IF(AG16="","",AE16)</f>
        <v/>
      </c>
      <c r="V24" s="141" t="str">
        <f>IF(AE17="","",AG18)</f>
        <v/>
      </c>
      <c r="W24" s="136" t="str">
        <f>IF(AF18="","",":")</f>
        <v/>
      </c>
      <c r="X24" s="142" t="str">
        <f>IF(AG18="","",AE18)</f>
        <v/>
      </c>
      <c r="Y24" s="141" t="str">
        <f>IF(AE19="","",AG20)</f>
        <v/>
      </c>
      <c r="Z24" s="136" t="str">
        <f>IF(AF20="","",":")</f>
        <v/>
      </c>
      <c r="AA24" s="142" t="str">
        <f>IF(AG20="","",AE20)</f>
        <v/>
      </c>
      <c r="AB24" s="141" t="str">
        <f>IF(AE21="","",AG22)</f>
        <v/>
      </c>
      <c r="AC24" s="136" t="str">
        <f>IF(AE21="","",":")</f>
        <v/>
      </c>
      <c r="AD24" s="142" t="str">
        <f>IF(AG22="","",AE22)</f>
        <v/>
      </c>
      <c r="AE24" s="1231"/>
      <c r="AF24" s="1232"/>
      <c r="AG24" s="1233"/>
      <c r="AH24" s="926" t="str">
        <f>IF('св.прот 3ф'!H116="","",IF('св.прот 3ф'!D116='св.прот 3ф'!H116,'св.прот 3ф'!O116,'св.прот 3ф'!P116))</f>
        <v/>
      </c>
      <c r="AI24" s="927" t="str">
        <f>IF(AH23="","",":")</f>
        <v/>
      </c>
      <c r="AJ24" s="928" t="str">
        <f>IF('св.прот 3ф'!H116="","",IF('св.прот 3ф'!D116='св.прот 3ф'!H116,'св.прот 3ф'!P116,'св.прот 3ф'!O116))</f>
        <v/>
      </c>
      <c r="AK24" s="926" t="str">
        <f>IF('св.прот 3ф'!H46="","",IF('св.прот 3ф'!D46='св.прот 3ф'!H46,'св.прот 3ф'!O46,'св.прот 3ф'!P46))</f>
        <v/>
      </c>
      <c r="AL24" s="927" t="str">
        <f>IF(AK23="","",":")</f>
        <v/>
      </c>
      <c r="AM24" s="928" t="str">
        <f>IF('св.прот 3ф'!H46="","",IF('св.прот 3ф'!D46='св.прот 3ф'!H46,'св.прот 3ф'!P46,'св.прот 3ф'!O46))</f>
        <v/>
      </c>
      <c r="AN24" s="926" t="str">
        <f>IF('св.прот 3ф'!H107="","",IF('св.прот 3ф'!D107='св.прот 3ф'!H107,'св.прот 3ф'!O107,'св.прот 3ф'!P107))</f>
        <v/>
      </c>
      <c r="AO24" s="927" t="str">
        <f>IF(AN23="","",":")</f>
        <v/>
      </c>
      <c r="AP24" s="928" t="str">
        <f>IF('св.прот 3ф'!H107="","",IF('св.прот 3ф'!D107='св.прот 3ф'!H107,'св.прот 3ф'!P107,'св.прот 3ф'!O107))</f>
        <v/>
      </c>
      <c r="AQ24" s="926" t="str">
        <f>IF('св.прот 3ф'!H39="","",IF('св.прот 3ф'!D39='св.прот 3ф'!H39,'св.прот 3ф'!O39,'св.прот 3ф'!P39))</f>
        <v/>
      </c>
      <c r="AR24" s="927" t="str">
        <f>IF(AQ23="","",":")</f>
        <v/>
      </c>
      <c r="AS24" s="928" t="str">
        <f>IF('св.прот 3ф'!H39="","",IF('св.прот 3ф'!D39='св.прот 3ф'!H39,'св.прот 3ф'!P39,'св.прот 3ф'!O39))</f>
        <v/>
      </c>
      <c r="AT24" s="926" t="str">
        <f>IF('св.прот 3ф'!H98="","",IF('св.прот 3ф'!D98='св.прот 3ф'!H98,'св.прот 3ф'!O98,'св.прот 3ф'!P98))</f>
        <v/>
      </c>
      <c r="AU24" s="927" t="str">
        <f>IF(AT23="","",":")</f>
        <v/>
      </c>
      <c r="AV24" s="928" t="str">
        <f>IF('св.прот 3ф'!H98="","",IF('св.прот 3ф'!D98='св.прот 3ф'!H98,'св.прот 3ф'!P98,'св.прот 3ф'!O98))</f>
        <v/>
      </c>
      <c r="AW24" s="926" t="str">
        <f>IF('св.прот 3ф'!H32="","",IF('св.прот 3ф'!D32='св.прот 3ф'!H32,'св.прот 3ф'!O32,'св.прот 3ф'!P32))</f>
        <v/>
      </c>
      <c r="AX24" s="927" t="str">
        <f>IF(AW23="","",":")</f>
        <v/>
      </c>
      <c r="AY24" s="928" t="str">
        <f>IF('св.прот 3ф'!H32="","",IF('св.прот 3ф'!D32='св.прот 3ф'!H32,'св.прот 3ф'!P32,'св.прот 3ф'!O32))</f>
        <v/>
      </c>
      <c r="AZ24" s="1244"/>
      <c r="BA24" s="1245"/>
      <c r="BB24" s="1221"/>
      <c r="BC24" s="1222"/>
    </row>
    <row r="25" spans="1:55" ht="15.75" customHeight="1" x14ac:dyDescent="0.25">
      <c r="A25" s="1175">
        <v>11</v>
      </c>
      <c r="B25" s="1237"/>
      <c r="C25" s="133" t="str">
        <f>IF(B25="","",VLOOKUP(B25,'Списки участников'!A:H,3,FALSE))</f>
        <v/>
      </c>
      <c r="D25" s="1234" t="str">
        <f>IF(AH5="","",IF(AH6="W",0,IF(AH5=2,1,IF(AH5=1,2,IF(AH5=0,2)))))</f>
        <v/>
      </c>
      <c r="E25" s="1235"/>
      <c r="F25" s="1236"/>
      <c r="G25" s="1234" t="str">
        <f>IF(AH7="","",IF(AH8="W",0,IF(AH7=2,1,IF(AH7=1,2,IF(AH7=0,2)))))</f>
        <v/>
      </c>
      <c r="H25" s="1235"/>
      <c r="I25" s="1236"/>
      <c r="J25" s="1234" t="str">
        <f>IF(AH9="","",IF(AH10="W",0,IF(AH9=2,1,IF(AH9=1,2,IF(AH9=0,2)))))</f>
        <v/>
      </c>
      <c r="K25" s="1235"/>
      <c r="L25" s="1236"/>
      <c r="M25" s="1234" t="str">
        <f>IF(AH11="","",IF(AH12="W",0,IF(AH11=2,1,IF(AH11=1,2,IF(AH11=0,2)))))</f>
        <v/>
      </c>
      <c r="N25" s="1235"/>
      <c r="O25" s="1236"/>
      <c r="P25" s="1234" t="str">
        <f>IF(AH13="","",IF(AH14="W",0,IF(AH13=2,1,IF(AH13=1,2,IF(AH13=0,2)))))</f>
        <v/>
      </c>
      <c r="Q25" s="1235"/>
      <c r="R25" s="1236"/>
      <c r="S25" s="1234" t="str">
        <f>IF(AH15="","",IF(AH16="W",0,IF(AH15=2,1,IF(AH15=1,2,IF(AH15=0,2)))))</f>
        <v/>
      </c>
      <c r="T25" s="1235"/>
      <c r="U25" s="1236"/>
      <c r="V25" s="1234" t="str">
        <f>IF(AH17="","",IF(AH18="W",0,IF(AH17=2,1,IF(AH17=1,2,IF(AH17=0,2)))))</f>
        <v/>
      </c>
      <c r="W25" s="1235"/>
      <c r="X25" s="1236"/>
      <c r="Y25" s="1234" t="str">
        <f>IF(AH19="","",IF(AH20="W",0,IF(AH19=2,1,IF(AH19=1,2,IF(AH19=0,2)))))</f>
        <v/>
      </c>
      <c r="Z25" s="1235"/>
      <c r="AA25" s="1236"/>
      <c r="AB25" s="1234" t="str">
        <f>IF(AH21="","",IF(AH22="W",0,IF(AH21=2,1,IF(AH21=1,2,IF(AH21=0,2)))))</f>
        <v/>
      </c>
      <c r="AC25" s="1235"/>
      <c r="AD25" s="1236"/>
      <c r="AE25" s="1234" t="str">
        <f>IF(AH23="","",IF(AH24="W",0,IF(AH23=2,1,IF(AH23=1,2,IF(AH23=0,2)))))</f>
        <v/>
      </c>
      <c r="AF25" s="1235"/>
      <c r="AG25" s="1236"/>
      <c r="AH25" s="1228"/>
      <c r="AI25" s="1229"/>
      <c r="AJ25" s="1230"/>
      <c r="AK25" s="1239" t="str">
        <f>IF('св.прот 3ф'!H108="","",IF(AK26="L",0,IF(AK26&gt;AM26,2,1)))</f>
        <v/>
      </c>
      <c r="AL25" s="1240"/>
      <c r="AM25" s="1241"/>
      <c r="AN25" s="1239" t="str">
        <f>IF('св.прот 3ф'!H37="","",IF(AN26="L",0,IF(AN26&gt;AP26,2,1)))</f>
        <v/>
      </c>
      <c r="AO25" s="1240"/>
      <c r="AP25" s="1241"/>
      <c r="AQ25" s="1239" t="str">
        <f>IF('св.прот 3ф'!H99="","",IF(AQ26="L",0,IF(AQ26&gt;AS26,2,1)))</f>
        <v/>
      </c>
      <c r="AR25" s="1240"/>
      <c r="AS25" s="1241"/>
      <c r="AT25" s="1239" t="str">
        <f>IF('св.прот 3ф'!H31="","",IF(AT26="L",0,IF(AT26&gt;AV26,2,1)))</f>
        <v/>
      </c>
      <c r="AU25" s="1240"/>
      <c r="AV25" s="1241"/>
      <c r="AW25" s="1239" t="str">
        <f>IF('св.прот 3ф'!H90="","",IF(AW26="L",0,IF(AW26&gt;AY26,2,1)))</f>
        <v/>
      </c>
      <c r="AX25" s="1240"/>
      <c r="AY25" s="1241"/>
      <c r="AZ25" s="1242" t="str">
        <f t="shared" ref="AZ25" si="9">IF(B25="","",SUM(G25,J25,M25,P25,S25,V25,Y25,AB25,AE25,AH25,AK25,AN25,AQ25,AT25,AW25,D25))</f>
        <v/>
      </c>
      <c r="BA25" s="1243"/>
      <c r="BB25" s="1220"/>
      <c r="BC25" s="1222" t="str">
        <f>IF(B25="","",RANK(AZ25,Ф3Оч)+32)</f>
        <v/>
      </c>
    </row>
    <row r="26" spans="1:55" ht="15.75" customHeight="1" x14ac:dyDescent="0.25">
      <c r="A26" s="1176"/>
      <c r="B26" s="1238"/>
      <c r="C26" s="134" t="str">
        <f>IF(B25="","",VLOOKUP(B25,'Списки участников'!A:H,6,FALSE))</f>
        <v/>
      </c>
      <c r="D26" s="141" t="str">
        <f>IF(AH5="","",AJ6)</f>
        <v/>
      </c>
      <c r="E26" s="136" t="str">
        <f>IF(AI6="","",":")</f>
        <v/>
      </c>
      <c r="F26" s="142" t="str">
        <f>IF(AJ6="","",AH6)</f>
        <v/>
      </c>
      <c r="G26" s="141" t="str">
        <f>IF(AH7="","",AJ8)</f>
        <v/>
      </c>
      <c r="H26" s="136" t="str">
        <f>IF(AI8="","",":")</f>
        <v/>
      </c>
      <c r="I26" s="142" t="str">
        <f>IF(AJ8="","",AH8)</f>
        <v/>
      </c>
      <c r="J26" s="141" t="str">
        <f>IF(AH9="","",AJ10)</f>
        <v/>
      </c>
      <c r="K26" s="136" t="str">
        <f>IF(AI10="","",":")</f>
        <v/>
      </c>
      <c r="L26" s="142" t="str">
        <f>IF(AJ10="","",AH10)</f>
        <v/>
      </c>
      <c r="M26" s="141" t="str">
        <f>IF(AH11="","",AJ12)</f>
        <v/>
      </c>
      <c r="N26" s="136" t="str">
        <f>IF(AI12="","",":")</f>
        <v/>
      </c>
      <c r="O26" s="142" t="str">
        <f>IF(AJ12="","",AH12)</f>
        <v/>
      </c>
      <c r="P26" s="141" t="str">
        <f>IF(AH13="","",AJ14)</f>
        <v/>
      </c>
      <c r="Q26" s="136" t="str">
        <f>IF(AI14="","",":")</f>
        <v/>
      </c>
      <c r="R26" s="142" t="str">
        <f>IF(AJ14="","",AH14)</f>
        <v/>
      </c>
      <c r="S26" s="141" t="str">
        <f>IF(AH15="","",AJ16)</f>
        <v/>
      </c>
      <c r="T26" s="136" t="str">
        <f>IF(AI16="","",":")</f>
        <v/>
      </c>
      <c r="U26" s="142" t="str">
        <f>IF(AJ16="","",AH16)</f>
        <v/>
      </c>
      <c r="V26" s="141" t="str">
        <f>IF(AH17="","",AJ18)</f>
        <v/>
      </c>
      <c r="W26" s="136" t="str">
        <f>IF(AI18="","",":")</f>
        <v/>
      </c>
      <c r="X26" s="142" t="str">
        <f>IF(AJ18="","",AH18)</f>
        <v/>
      </c>
      <c r="Y26" s="141" t="str">
        <f>IF(AH19="","",AJ20)</f>
        <v/>
      </c>
      <c r="Z26" s="136" t="str">
        <f>IF(AI20="","",":")</f>
        <v/>
      </c>
      <c r="AA26" s="142" t="str">
        <f>IF(AJ20="","",AH20)</f>
        <v/>
      </c>
      <c r="AB26" s="141" t="str">
        <f>IF(AH21="","",AJ22)</f>
        <v/>
      </c>
      <c r="AC26" s="136" t="str">
        <f>IF(AI22="","",":")</f>
        <v/>
      </c>
      <c r="AD26" s="142" t="str">
        <f>IF(AJ22="","",AH22)</f>
        <v/>
      </c>
      <c r="AE26" s="141" t="str">
        <f>IF(AH23="","",AJ24)</f>
        <v/>
      </c>
      <c r="AF26" s="136" t="str">
        <f>IF(AI24="","",":")</f>
        <v/>
      </c>
      <c r="AG26" s="142" t="str">
        <f>IF(AJ24="","",AH24)</f>
        <v/>
      </c>
      <c r="AH26" s="1231"/>
      <c r="AI26" s="1232"/>
      <c r="AJ26" s="1233"/>
      <c r="AK26" s="926" t="str">
        <f>IF('св.прот 3ф'!H108="","",IF('св.прот 3ф'!D108='св.прот 3ф'!H108,'св.прот 3ф'!O108,'св.прот 3ф'!P108))</f>
        <v/>
      </c>
      <c r="AL26" s="927" t="str">
        <f>IF(AK25="","",":")</f>
        <v/>
      </c>
      <c r="AM26" s="928" t="str">
        <f>IF('св.прот 3ф'!H108="","",IF('св.прот 3ф'!D108='св.прот 3ф'!H108,'св.прот 3ф'!P108,'св.прот 3ф'!O108))</f>
        <v/>
      </c>
      <c r="AN26" s="926" t="str">
        <f>IF('св.прот 3ф'!H38="","",IF('св.прот 3ф'!D38='св.прот 3ф'!H38,'св.прот 3ф'!O38,'св.прот 3ф'!P38))</f>
        <v/>
      </c>
      <c r="AO26" s="927" t="str">
        <f>IF(AN25="","",":")</f>
        <v/>
      </c>
      <c r="AP26" s="928" t="str">
        <f>IF('св.прот 3ф'!H38="","",IF('св.прот 3ф'!D38='св.прот 3ф'!H38,'св.прот 3ф'!P38,'св.прот 3ф'!O38))</f>
        <v/>
      </c>
      <c r="AQ26" s="926" t="str">
        <f>IF('св.прот 3ф'!H99="","",IF('св.прот 3ф'!D99='св.прот 3ф'!H99,'св.прот 3ф'!O99,'св.прот 3ф'!P99))</f>
        <v/>
      </c>
      <c r="AR26" s="927" t="str">
        <f>IF(AQ25="","",":")</f>
        <v/>
      </c>
      <c r="AS26" s="928" t="str">
        <f>IF('св.прот 3ф'!H99="","",IF('св.прот 3ф'!D99='св.прот 3ф'!H99,'св.прот 3ф'!P99,'св.прот 3ф'!O99))</f>
        <v/>
      </c>
      <c r="AT26" s="926" t="str">
        <f>IF('св.прот 3ф'!H31="","",IF('св.прот 3ф'!D31='св.прот 3ф'!H31,'св.прот 3ф'!O31,'св.прот 3ф'!P31))</f>
        <v/>
      </c>
      <c r="AU26" s="927" t="str">
        <f>IF(AT25="","",":")</f>
        <v/>
      </c>
      <c r="AV26" s="928" t="str">
        <f>IF('св.прот 3ф'!H31="","",IF('св.прот 3ф'!D31='св.прот 3ф'!H31,'св.прот 3ф'!P31,'св.прот 3ф'!O31))</f>
        <v/>
      </c>
      <c r="AW26" s="926" t="str">
        <f>IF('св.прот 3ф'!H90="","",IF('св.прот 3ф'!D90='св.прот 3ф'!H90,'св.прот 3ф'!O90,'св.прот 3ф'!P90))</f>
        <v/>
      </c>
      <c r="AX26" s="927" t="str">
        <f>IF(AW25="","",":")</f>
        <v/>
      </c>
      <c r="AY26" s="928" t="str">
        <f>IF('св.прот 3ф'!H90="","",IF('св.прот 3ф'!D90='св.прот 3ф'!H90,'св.прот 3ф'!P90,'св.прот 3ф'!O90))</f>
        <v/>
      </c>
      <c r="AZ26" s="1244"/>
      <c r="BA26" s="1245"/>
      <c r="BB26" s="1221"/>
      <c r="BC26" s="1222"/>
    </row>
    <row r="27" spans="1:55" ht="15.75" customHeight="1" x14ac:dyDescent="0.25">
      <c r="A27" s="1175">
        <v>12</v>
      </c>
      <c r="B27" s="1223"/>
      <c r="C27" s="133" t="str">
        <f>IF(B27="","",VLOOKUP(B27,'Списки участников'!A:H,3,FALSE))</f>
        <v/>
      </c>
      <c r="D27" s="1234" t="str">
        <f>IF(AK5="","",IF(AK6="W",0,IF(AK5=2,1,IF(AK5=1,2,IF(AK5=0,2)))))</f>
        <v/>
      </c>
      <c r="E27" s="1235"/>
      <c r="F27" s="1236"/>
      <c r="G27" s="1234" t="str">
        <f>IF(AK7="","",IF(AK8="W",0,IF(AK7=2,1,IF(AK7=1,2,IF(AK7=0,2)))))</f>
        <v/>
      </c>
      <c r="H27" s="1235"/>
      <c r="I27" s="1236"/>
      <c r="J27" s="1234" t="str">
        <f>IF(AK9="","",IF(AK10="W",0,IF(AK9=2,1,IF(AK9=1,2,IF(AK9=0,2)))))</f>
        <v/>
      </c>
      <c r="K27" s="1235"/>
      <c r="L27" s="1236"/>
      <c r="M27" s="1234" t="str">
        <f>IF(AK11="","",IF(AK12="W",0,IF(AK11=2,1,IF(AK11=1,2,IF(AK11=0,2)))))</f>
        <v/>
      </c>
      <c r="N27" s="1235"/>
      <c r="O27" s="1236"/>
      <c r="P27" s="1234" t="str">
        <f>IF(AK13="","",IF(AK14="W",0,IF(AK13=2,1,IF(AK13=1,2,IF(AK13=0,2)))))</f>
        <v/>
      </c>
      <c r="Q27" s="1235"/>
      <c r="R27" s="1236"/>
      <c r="S27" s="1234" t="str">
        <f>IF(AK15="","",IF(AK16="W",0,IF(AK15=2,1,IF(AK15=1,2,IF(AK15=0,2)))))</f>
        <v/>
      </c>
      <c r="T27" s="1235"/>
      <c r="U27" s="1236"/>
      <c r="V27" s="1234" t="str">
        <f>IF(AK17="","",IF(AK18="W",0,IF(AK17=2,1,IF(AK17=1,2,IF(AK17=0,2)))))</f>
        <v/>
      </c>
      <c r="W27" s="1235"/>
      <c r="X27" s="1236"/>
      <c r="Y27" s="1234" t="str">
        <f>IF(AK19="","",IF(AK20="W",0,IF(AK19=2,1,IF(AK19=1,2,IF(AK19=0,2)))))</f>
        <v/>
      </c>
      <c r="Z27" s="1235"/>
      <c r="AA27" s="1236"/>
      <c r="AB27" s="1234" t="str">
        <f>IF(AK21="","",IF(AK22="W",0,IF(AK21=2,1,IF(AK21=1,2,IF(AK21=0,2)))))</f>
        <v/>
      </c>
      <c r="AC27" s="1235"/>
      <c r="AD27" s="1236"/>
      <c r="AE27" s="1234" t="str">
        <f>IF(AK23="","",IF(AK24="W",0,IF(AK23=2,1,IF(AK23=1,2,IF(AK23=0,2)))))</f>
        <v/>
      </c>
      <c r="AF27" s="1235"/>
      <c r="AG27" s="1236"/>
      <c r="AH27" s="1234" t="str">
        <f>IF(AK25="","",IF(AK26="W",0,IF(AK25=2,1,IF(AK25=1,2,IF(AK25=0,2)))))</f>
        <v/>
      </c>
      <c r="AI27" s="1235"/>
      <c r="AJ27" s="1236"/>
      <c r="AK27" s="1228"/>
      <c r="AL27" s="1229"/>
      <c r="AM27" s="1230"/>
      <c r="AN27" s="1239" t="str">
        <f>IF('св.прот 3ф'!H100="","",IF(AN28="L",0,IF(AN28&gt;AP28,2,1)))</f>
        <v/>
      </c>
      <c r="AO27" s="1240"/>
      <c r="AP27" s="1241"/>
      <c r="AQ27" s="1239" t="str">
        <f>IF('св.прот 3ф'!H30="","",IF(AQ28="L",0,IF(AQ28&gt;AS28,2,1)))</f>
        <v/>
      </c>
      <c r="AR27" s="1240"/>
      <c r="AS27" s="1241"/>
      <c r="AT27" s="1239" t="str">
        <f>IF('св.прот 3ф'!H91="","",IF(AT28="L",0,IF(AT28&gt;AV28,2,1)))</f>
        <v/>
      </c>
      <c r="AU27" s="1240"/>
      <c r="AV27" s="1241"/>
      <c r="AW27" s="1239" t="str">
        <f>IF('св.прот 3ф'!H23="","",IF(AW28="L",0,IF(AW28&gt;AY28,2,1)))</f>
        <v/>
      </c>
      <c r="AX27" s="1240"/>
      <c r="AY27" s="1241"/>
      <c r="AZ27" s="1242" t="str">
        <f t="shared" ref="AZ27" si="10">IF(B27="","",SUM(G27,J27,M27,P27,S27,V27,Y27,AB27,AE27,AH27,AK27,AN27,AQ27,AT27,AW27,D27))</f>
        <v/>
      </c>
      <c r="BA27" s="1243"/>
      <c r="BB27" s="1220"/>
      <c r="BC27" s="1222" t="str">
        <f>IF(B27="","",RANK(AZ27,Ф3Оч)+32)</f>
        <v/>
      </c>
    </row>
    <row r="28" spans="1:55" ht="15.75" customHeight="1" x14ac:dyDescent="0.25">
      <c r="A28" s="1176"/>
      <c r="B28" s="1224"/>
      <c r="C28" s="134" t="str">
        <f>IF(B27="","",VLOOKUP(B27,'Списки участников'!A:H,6,FALSE))</f>
        <v/>
      </c>
      <c r="D28" s="141" t="str">
        <f>IF(AK5="","",AM6)</f>
        <v/>
      </c>
      <c r="E28" s="136" t="str">
        <f>IF(AL6="","",":")</f>
        <v/>
      </c>
      <c r="F28" s="142" t="str">
        <f>IF(AM6="","",AK6)</f>
        <v/>
      </c>
      <c r="G28" s="141" t="str">
        <f>IF(AK7="","",AM8)</f>
        <v/>
      </c>
      <c r="H28" s="136" t="str">
        <f>IF(AL8="","",":")</f>
        <v/>
      </c>
      <c r="I28" s="142" t="str">
        <f>IF(AM8="","",AK8)</f>
        <v/>
      </c>
      <c r="J28" s="141" t="str">
        <f>IF(AK9="","",AM10)</f>
        <v/>
      </c>
      <c r="K28" s="136" t="str">
        <f>IF(AL10="","",":")</f>
        <v/>
      </c>
      <c r="L28" s="142" t="str">
        <f>IF(AM10="","",AK10)</f>
        <v/>
      </c>
      <c r="M28" s="141" t="str">
        <f>IF(AK11="","",AM12)</f>
        <v/>
      </c>
      <c r="N28" s="136" t="str">
        <f>IF(AL12="","",":")</f>
        <v/>
      </c>
      <c r="O28" s="142" t="str">
        <f>IF(AM12="","",AK12)</f>
        <v/>
      </c>
      <c r="P28" s="141" t="str">
        <f>IF(AK13="","",AM14)</f>
        <v/>
      </c>
      <c r="Q28" s="136" t="str">
        <f>IF(AL14="","",":")</f>
        <v/>
      </c>
      <c r="R28" s="142" t="str">
        <f>IF(AM14="","",AK14)</f>
        <v/>
      </c>
      <c r="S28" s="141" t="str">
        <f>IF(AK15="","",AM16)</f>
        <v/>
      </c>
      <c r="T28" s="136" t="str">
        <f>IF(AL16="","",":")</f>
        <v/>
      </c>
      <c r="U28" s="142" t="str">
        <f>IF(AM16="","",AK16)</f>
        <v/>
      </c>
      <c r="V28" s="141" t="str">
        <f>IF(AK17="","",AM18)</f>
        <v/>
      </c>
      <c r="W28" s="136" t="str">
        <f>IF(AL18="","",":")</f>
        <v/>
      </c>
      <c r="X28" s="142" t="str">
        <f>IF(AM18="","",AK18)</f>
        <v/>
      </c>
      <c r="Y28" s="141" t="str">
        <f>IF(AK19="","",AM20)</f>
        <v/>
      </c>
      <c r="Z28" s="136" t="str">
        <f>IF(AL20="","",":")</f>
        <v/>
      </c>
      <c r="AA28" s="142" t="str">
        <f>IF(AM20="","",AK20)</f>
        <v/>
      </c>
      <c r="AB28" s="141" t="str">
        <f>IF(AK21="","",AM22)</f>
        <v/>
      </c>
      <c r="AC28" s="136" t="str">
        <f>IF(AL22="","",":")</f>
        <v/>
      </c>
      <c r="AD28" s="142" t="str">
        <f>IF(AM22="","",AK22)</f>
        <v/>
      </c>
      <c r="AE28" s="141" t="str">
        <f>IF(AK23="","",AM24)</f>
        <v/>
      </c>
      <c r="AF28" s="136" t="str">
        <f>IF(AL24="","",":")</f>
        <v/>
      </c>
      <c r="AG28" s="142" t="str">
        <f>IF(AM24="","",AK24)</f>
        <v/>
      </c>
      <c r="AH28" s="141" t="str">
        <f>IF(AK25="","",AM26)</f>
        <v/>
      </c>
      <c r="AI28" s="136" t="str">
        <f>IF(AL26="","",":")</f>
        <v/>
      </c>
      <c r="AJ28" s="142" t="str">
        <f>IF(AM26="","",AK26)</f>
        <v/>
      </c>
      <c r="AK28" s="1231"/>
      <c r="AL28" s="1232"/>
      <c r="AM28" s="1233"/>
      <c r="AN28" s="926" t="str">
        <f>IF('св.прот 3ф'!H100="","",IF('св.прот 3ф'!D100='св.прот 3ф'!H100,'св.прот 3ф'!O100,'св.прот 3ф'!P100))</f>
        <v/>
      </c>
      <c r="AO28" s="927" t="str">
        <f>IF(AN27="","",":")</f>
        <v/>
      </c>
      <c r="AP28" s="928" t="str">
        <f>IF('св.прот 3ф'!H100="","",IF('св.прот 3ф'!D100='св.прот 3ф'!H100,'св.прот 3ф'!P100,'св.прот 3ф'!O100))</f>
        <v/>
      </c>
      <c r="AQ28" s="926" t="str">
        <f>IF('св.прот 3ф'!H30="","",IF('св.прот 3ф'!D30='св.прот 3ф'!H30,'св.прот 3ф'!O30,'св.прот 3ф'!P30))</f>
        <v/>
      </c>
      <c r="AR28" s="927" t="str">
        <f>IF(AQ27="","",":")</f>
        <v/>
      </c>
      <c r="AS28" s="928" t="str">
        <f>IF('св.прот 3ф'!H30="","",IF('св.прот 3ф'!D30='св.прот 3ф'!H30,'св.прот 3ф'!P30,'св.прот 3ф'!O30))</f>
        <v/>
      </c>
      <c r="AT28" s="926" t="str">
        <f>IF('св.прот 3ф'!H91="","",IF('св.прот 3ф'!D91='св.прот 3ф'!H91,'св.прот 3ф'!O91,'св.прот 3ф'!P91))</f>
        <v/>
      </c>
      <c r="AU28" s="927" t="str">
        <f>IF(AT27="","",":")</f>
        <v/>
      </c>
      <c r="AV28" s="928" t="str">
        <f>IF('св.прот 3ф'!H91="","",IF('св.прот 3ф'!D91='св.прот 3ф'!H91,'св.прот 3ф'!P91,'св.прот 3ф'!O91))</f>
        <v/>
      </c>
      <c r="AW28" s="926" t="str">
        <f>IF('св.прот 3ф'!H23="","",IF('св.прот 3ф'!D23='св.прот 3ф'!H23,'св.прот 3ф'!O23,'св.прот 3ф'!P23))</f>
        <v/>
      </c>
      <c r="AX28" s="927" t="str">
        <f>IF(AW27="","",":")</f>
        <v/>
      </c>
      <c r="AY28" s="928" t="str">
        <f>IF('св.прот 3ф'!H23="","",IF('св.прот 3ф'!D23='св.прот 3ф'!H23,'св.прот 3ф'!P23,'св.прот 3ф'!O23))</f>
        <v/>
      </c>
      <c r="AZ28" s="1244"/>
      <c r="BA28" s="1245"/>
      <c r="BB28" s="1221"/>
      <c r="BC28" s="1222"/>
    </row>
    <row r="29" spans="1:55" ht="15.75" customHeight="1" x14ac:dyDescent="0.25">
      <c r="A29" s="1175">
        <v>13</v>
      </c>
      <c r="B29" s="1237"/>
      <c r="C29" s="133" t="str">
        <f>IF(B29="","",VLOOKUP(B29,'Списки участников'!A:H,3,FALSE))</f>
        <v/>
      </c>
      <c r="D29" s="1234" t="str">
        <f>IF(AN5="","",IF(AN6="W",0,IF(AN5=2,1,IF(AN5=1,2,IF(AN5=0,2)))))</f>
        <v/>
      </c>
      <c r="E29" s="1235"/>
      <c r="F29" s="1236"/>
      <c r="G29" s="1234" t="str">
        <f>IF(AN7="","",IF(AN8="W",0,IF(AN7=2,1,IF(AN7=1,2,IF(AN7=0,2)))))</f>
        <v/>
      </c>
      <c r="H29" s="1235"/>
      <c r="I29" s="1236"/>
      <c r="J29" s="1234" t="str">
        <f>IF(AN9="","",IF(AN10="W",0,IF(AN9=2,1,IF(AN9=1,2,IF(AN9=0,2)))))</f>
        <v/>
      </c>
      <c r="K29" s="1235"/>
      <c r="L29" s="1236"/>
      <c r="M29" s="1234" t="str">
        <f>IF(AN11="","",IF(AN12="W",0,IF(AN11=2,1,IF(AN11=1,2,IF(AN11=0,2)))))</f>
        <v/>
      </c>
      <c r="N29" s="1235"/>
      <c r="O29" s="1236"/>
      <c r="P29" s="1234" t="str">
        <f>IF(AN13="","",IF(AN14="W",0,IF(AN13=2,1,IF(AN13=1,2,IF(AN13=0,2)))))</f>
        <v/>
      </c>
      <c r="Q29" s="1235"/>
      <c r="R29" s="1236"/>
      <c r="S29" s="1234" t="str">
        <f>IF(AN15="","",IF(AN16="W",0,IF(AN15=2,1,IF(AN15=1,2,IF(AN15=0,2)))))</f>
        <v/>
      </c>
      <c r="T29" s="1235"/>
      <c r="U29" s="1236"/>
      <c r="V29" s="1234" t="str">
        <f>IF(AN17="","",IF(AN18="W",0,IF(AN17=2,1,IF(AN17=1,2,IF(AN17=0,2)))))</f>
        <v/>
      </c>
      <c r="W29" s="1235"/>
      <c r="X29" s="1236"/>
      <c r="Y29" s="1234" t="str">
        <f>IF(AN19="","",IF(AN20="W",0,IF(AN19=2,1,IF(AN19=1,2,IF(AN19=0,2)))))</f>
        <v/>
      </c>
      <c r="Z29" s="1235"/>
      <c r="AA29" s="1236"/>
      <c r="AB29" s="1234" t="str">
        <f>IF(AN21="","",IF(AN22="W",0,IF(AN21=2,1,IF(AN21=1,2,IF(AN21=0,2)))))</f>
        <v/>
      </c>
      <c r="AC29" s="1235"/>
      <c r="AD29" s="1236"/>
      <c r="AE29" s="1234" t="str">
        <f>IF(AN23="","",IF(AN24="W",0,IF(AN23=2,1,IF(AN23=1,2,IF(AN23=0,2)))))</f>
        <v/>
      </c>
      <c r="AF29" s="1235"/>
      <c r="AG29" s="1236"/>
      <c r="AH29" s="1234" t="str">
        <f>IF(AN25="","",IF(AN26="W",0,IF(AN25=2,1,IF(AN25=1,2,IF(AN25=0,2)))))</f>
        <v/>
      </c>
      <c r="AI29" s="1235"/>
      <c r="AJ29" s="1236"/>
      <c r="AK29" s="1234" t="str">
        <f>IF(AN27="","",IF(AN28="W",0,IF(AN27=2,1,IF(AN27=1,2,IF(AN27=0,2)))))</f>
        <v/>
      </c>
      <c r="AL29" s="1235"/>
      <c r="AM29" s="1236"/>
      <c r="AN29" s="1228"/>
      <c r="AO29" s="1229"/>
      <c r="AP29" s="1230"/>
      <c r="AQ29" s="1239" t="str">
        <f>IF('св.прот 3ф'!H92="","",IF(AQ30="L",0,IF(AQ30&gt;AS30,2,1)))</f>
        <v/>
      </c>
      <c r="AR29" s="1240"/>
      <c r="AS29" s="1241"/>
      <c r="AT29" s="1239" t="str">
        <f>IF('св.прот 3ф'!H22="","",IF(AT30="L",0,IF(AT30&gt;AV30,2,1)))</f>
        <v/>
      </c>
      <c r="AU29" s="1240"/>
      <c r="AV29" s="1241"/>
      <c r="AW29" s="1239" t="str">
        <f>IF('св.прот 3ф'!H83="","",IF(AW30="L",0,IF(AW30&gt;AY30,2,1)))</f>
        <v/>
      </c>
      <c r="AX29" s="1240"/>
      <c r="AY29" s="1241"/>
      <c r="AZ29" s="1242" t="str">
        <f t="shared" ref="AZ29" si="11">IF(B29="","",SUM(G29,J29,M29,P29,S29,V29,Y29,AB29,AE29,AH29,AK29,AN29,AQ29,AT29,AW29,D29))</f>
        <v/>
      </c>
      <c r="BA29" s="1243"/>
      <c r="BB29" s="1220"/>
      <c r="BC29" s="1222" t="str">
        <f>IF(B29="","",RANK(AZ29,Ф3Оч)+32)</f>
        <v/>
      </c>
    </row>
    <row r="30" spans="1:55" ht="15.75" customHeight="1" x14ac:dyDescent="0.25">
      <c r="A30" s="1176"/>
      <c r="B30" s="1238"/>
      <c r="C30" s="134" t="str">
        <f>IF(B29="","",VLOOKUP(B29,'Списки участников'!A:H,6,FALSE))</f>
        <v/>
      </c>
      <c r="D30" s="141" t="str">
        <f>IF(AN5="","",AP6)</f>
        <v/>
      </c>
      <c r="E30" s="136" t="str">
        <f>IF(AO6="","",":")</f>
        <v/>
      </c>
      <c r="F30" s="142" t="str">
        <f>IF(AP6="","",AN6)</f>
        <v/>
      </c>
      <c r="G30" s="141" t="str">
        <f>IF(AN7="","",AP8)</f>
        <v/>
      </c>
      <c r="H30" s="136" t="str">
        <f>IF(AO8="","",":")</f>
        <v/>
      </c>
      <c r="I30" s="142" t="str">
        <f>IF(AP8="","",AN8)</f>
        <v/>
      </c>
      <c r="J30" s="141" t="str">
        <f>IF(AN9="","",AP10)</f>
        <v/>
      </c>
      <c r="K30" s="136" t="str">
        <f>IF(AO10="","",":")</f>
        <v/>
      </c>
      <c r="L30" s="142" t="str">
        <f>IF(AP10="","",AN10)</f>
        <v/>
      </c>
      <c r="M30" s="141" t="str">
        <f>IF(AN11="","",AP12)</f>
        <v/>
      </c>
      <c r="N30" s="136" t="str">
        <f>IF(AO12="","",":")</f>
        <v/>
      </c>
      <c r="O30" s="142" t="str">
        <f>IF(AP12="","",AN12)</f>
        <v/>
      </c>
      <c r="P30" s="141" t="str">
        <f>IF(AN13="","",AP14)</f>
        <v/>
      </c>
      <c r="Q30" s="136" t="str">
        <f>IF(AO14="","",":")</f>
        <v/>
      </c>
      <c r="R30" s="142" t="str">
        <f>IF(AP14="","",AN14)</f>
        <v/>
      </c>
      <c r="S30" s="141" t="str">
        <f>IF(AN15="","",AP16)</f>
        <v/>
      </c>
      <c r="T30" s="136" t="str">
        <f>IF(AO16="","",":")</f>
        <v/>
      </c>
      <c r="U30" s="142" t="str">
        <f>IF(AP16="","",AN16)</f>
        <v/>
      </c>
      <c r="V30" s="141" t="str">
        <f>IF(AN17="","",AP18)</f>
        <v/>
      </c>
      <c r="W30" s="136" t="str">
        <f>IF(AO18="","",":")</f>
        <v/>
      </c>
      <c r="X30" s="142" t="str">
        <f>IF(AP18="","",AN18)</f>
        <v/>
      </c>
      <c r="Y30" s="141" t="str">
        <f>IF(AN19="","",AP20)</f>
        <v/>
      </c>
      <c r="Z30" s="136" t="str">
        <f>IF(AO20="","",":")</f>
        <v/>
      </c>
      <c r="AA30" s="142" t="str">
        <f>IF(AP20="","",AN20)</f>
        <v/>
      </c>
      <c r="AB30" s="141" t="str">
        <f>IF(AN21="","",AP22)</f>
        <v/>
      </c>
      <c r="AC30" s="136" t="str">
        <f>IF(AO22="","",":")</f>
        <v/>
      </c>
      <c r="AD30" s="142" t="str">
        <f>IF(AP22="","",AN22)</f>
        <v/>
      </c>
      <c r="AE30" s="141" t="str">
        <f>IF(AN23="","",AP24)</f>
        <v/>
      </c>
      <c r="AF30" s="136" t="str">
        <f>IF(AO24="","",":")</f>
        <v/>
      </c>
      <c r="AG30" s="142" t="str">
        <f>IF(AP24="","",AN24)</f>
        <v/>
      </c>
      <c r="AH30" s="141" t="str">
        <f>IF(AN25="","",AP26)</f>
        <v/>
      </c>
      <c r="AI30" s="136" t="str">
        <f>IF(AO26="","",":")</f>
        <v/>
      </c>
      <c r="AJ30" s="142" t="str">
        <f>IF(AP26="","",AN26)</f>
        <v/>
      </c>
      <c r="AK30" s="141" t="str">
        <f>IF(AN27="","",AP28)</f>
        <v/>
      </c>
      <c r="AL30" s="136" t="str">
        <f>IF(AO28="","",":")</f>
        <v/>
      </c>
      <c r="AM30" s="142" t="str">
        <f>IF(AP28="","",AN28)</f>
        <v/>
      </c>
      <c r="AN30" s="1231"/>
      <c r="AO30" s="1232"/>
      <c r="AP30" s="1233"/>
      <c r="AQ30" s="926" t="str">
        <f>IF('св.прот 3ф'!H92="","",IF('св.прот 3ф'!D92='св.прот 3ф'!H92,'св.прот 3ф'!O92,'св.прот 3ф'!P92))</f>
        <v/>
      </c>
      <c r="AR30" s="927" t="str">
        <f>IF(AQ29="","",":")</f>
        <v/>
      </c>
      <c r="AS30" s="928" t="str">
        <f>IF('св.прот 3ф'!H92="","",IF('св.прот 3ф'!D92='св.прот 3ф'!H92,'св.прот 3ф'!P92,'св.прот 3ф'!O92))</f>
        <v/>
      </c>
      <c r="AT30" s="926" t="str">
        <f>IF('св.прот 3ф'!H22="","",IF('св.прот 3ф'!D22='св.прот 3ф'!H22,'св.прот 3ф'!O22,'св.прот 3ф'!P22))</f>
        <v/>
      </c>
      <c r="AU30" s="927" t="str">
        <f>IF(AT29="","",":")</f>
        <v/>
      </c>
      <c r="AV30" s="928" t="str">
        <f>IF('св.прот 3ф'!H22="","",IF('св.прот 3ф'!D22='св.прот 3ф'!H22,'св.прот 3ф'!P22,'св.прот 3ф'!O22))</f>
        <v/>
      </c>
      <c r="AW30" s="926" t="str">
        <f>IF('св.прот 3ф'!H83="","",IF('св.прот 3ф'!D83='св.прот 3ф'!H83,'св.прот 3ф'!O83,'св.прот 3ф'!P83))</f>
        <v/>
      </c>
      <c r="AX30" s="927" t="str">
        <f>IF(AW29="","",":")</f>
        <v/>
      </c>
      <c r="AY30" s="928" t="str">
        <f>IF('св.прот 3ф'!H83="","",IF('св.прот 3ф'!D83='св.прот 3ф'!H83,'св.прот 3ф'!P83,'св.прот 3ф'!O83))</f>
        <v/>
      </c>
      <c r="AZ30" s="1244"/>
      <c r="BA30" s="1245"/>
      <c r="BB30" s="1221"/>
      <c r="BC30" s="1222"/>
    </row>
    <row r="31" spans="1:55" ht="15.75" customHeight="1" x14ac:dyDescent="0.25">
      <c r="A31" s="1175">
        <v>14</v>
      </c>
      <c r="B31" s="1223"/>
      <c r="C31" s="133" t="str">
        <f>IF(B31="","",VLOOKUP(B31,'Списки участников'!A:H,3,FALSE))</f>
        <v/>
      </c>
      <c r="D31" s="1234" t="str">
        <f>IF(AQ5="","",IF(AQ6="W",0,IF(AQ5=2,1,IF(AQ5=1,2,IF(AQ5=0,2)))))</f>
        <v/>
      </c>
      <c r="E31" s="1235"/>
      <c r="F31" s="1236"/>
      <c r="G31" s="1234" t="str">
        <f>IF(AQ7="","",IF(AQ8="W",0,IF(AQ7=2,1,IF(AQ7=1,2,IF(AQ7=0,2)))))</f>
        <v/>
      </c>
      <c r="H31" s="1235"/>
      <c r="I31" s="1236"/>
      <c r="J31" s="1234" t="str">
        <f>IF(AQ9="","",IF(AQ10="W",0,IF(AQ9=2,1,IF(AQ9=1,2,IF(AQ9=0,2)))))</f>
        <v/>
      </c>
      <c r="K31" s="1235"/>
      <c r="L31" s="1236"/>
      <c r="M31" s="1234" t="str">
        <f>IF(AQ11="","",IF(AQ12="W",0,IF(AQ11=2,1,IF(AQ11=1,2,IF(AQ11=0,2)))))</f>
        <v/>
      </c>
      <c r="N31" s="1235"/>
      <c r="O31" s="1236"/>
      <c r="P31" s="1234" t="str">
        <f>IF(AQ13="","",IF(AQ14="W",0,IF(AQ13=2,1,IF(AQ13=1,2,IF(AQ13=0,2)))))</f>
        <v/>
      </c>
      <c r="Q31" s="1235"/>
      <c r="R31" s="1236"/>
      <c r="S31" s="1234" t="str">
        <f>IF(AQ15="","",IF(AQ16="W",0,IF(AQ15=2,1,IF(AQ15=1,2,IF(AQ15=0,2)))))</f>
        <v/>
      </c>
      <c r="T31" s="1235"/>
      <c r="U31" s="1236"/>
      <c r="V31" s="1234" t="str">
        <f>IF(AQ17="","",IF(AQ18="W",0,IF(AQ17=2,1,IF(AQ17=1,2,IF(AQ17=0,2)))))</f>
        <v/>
      </c>
      <c r="W31" s="1235"/>
      <c r="X31" s="1236"/>
      <c r="Y31" s="1234" t="str">
        <f>IF(AQ19="","",IF(AQ20="W",0,IF(AQ19=2,1,IF(AQ19=1,2,IF(AQ19=0,2)))))</f>
        <v/>
      </c>
      <c r="Z31" s="1235"/>
      <c r="AA31" s="1236"/>
      <c r="AB31" s="1234" t="str">
        <f>IF(AQ21="","",IF(AQ22="W",0,IF(AQ21=2,1,IF(AQ21=1,2,IF(AQ21=0,2)))))</f>
        <v/>
      </c>
      <c r="AC31" s="1235"/>
      <c r="AD31" s="1236"/>
      <c r="AE31" s="1234" t="str">
        <f>IF(AQ23="","",IF(AQ24="W",0,IF(AQ23=2,1,IF(AQ23=1,2,IF(AQ23=0,2)))))</f>
        <v/>
      </c>
      <c r="AF31" s="1235"/>
      <c r="AG31" s="1236"/>
      <c r="AH31" s="1234" t="str">
        <f>IF(AQ25="","",IF(AQ26="W",0,IF(AQ25=2,1,IF(AQ25=1,2,IF(AQ25=0,2)))))</f>
        <v/>
      </c>
      <c r="AI31" s="1235"/>
      <c r="AJ31" s="1236"/>
      <c r="AK31" s="1234" t="str">
        <f>IF(AQ27="","",IF(AQ28="W",0,IF(AQ27=2,1,IF(AQ27=1,2,IF(AQ27=0,2)))))</f>
        <v/>
      </c>
      <c r="AL31" s="1235"/>
      <c r="AM31" s="1236"/>
      <c r="AN31" s="1234" t="str">
        <f>IF(AQ29="","",IF(AQ30="W",0,IF(AQ29=2,1,IF(AQ29=1,2,IF(AQ29=0,2)))))</f>
        <v/>
      </c>
      <c r="AO31" s="1235"/>
      <c r="AP31" s="1236"/>
      <c r="AQ31" s="1228"/>
      <c r="AR31" s="1229"/>
      <c r="AS31" s="1230"/>
      <c r="AT31" s="1239" t="str">
        <f>IF('св.прот 3ф'!H84="","",IF(AT32="L",0,IF(AT32&gt;AV32,2,1)))</f>
        <v/>
      </c>
      <c r="AU31" s="1240"/>
      <c r="AV31" s="1241"/>
      <c r="AW31" s="1239" t="str">
        <f>IF('св.прот 3ф'!H14="","",IF(AW32="L",0,IF(AW32&gt;AY32,2,1)))</f>
        <v/>
      </c>
      <c r="AX31" s="1240"/>
      <c r="AY31" s="1241"/>
      <c r="AZ31" s="1242" t="str">
        <f t="shared" ref="AZ31" si="12">IF(B31="","",SUM(G31,J31,M31,P31,S31,V31,Y31,AB31,AE31,AH31,AK31,AN31,AQ31,AT31,AW31,D31))</f>
        <v/>
      </c>
      <c r="BA31" s="1243"/>
      <c r="BB31" s="1220"/>
      <c r="BC31" s="1222" t="str">
        <f>IF(B31="","",RANK(AZ31,Ф3Оч)+32)</f>
        <v/>
      </c>
    </row>
    <row r="32" spans="1:55" ht="15.75" customHeight="1" x14ac:dyDescent="0.25">
      <c r="A32" s="1176"/>
      <c r="B32" s="1224"/>
      <c r="C32" s="134" t="str">
        <f>IF(B31="","",VLOOKUP(B31,'Списки участников'!A:H,6,FALSE))</f>
        <v/>
      </c>
      <c r="D32" s="141" t="str">
        <f>IF(AQ5="","",AS6)</f>
        <v/>
      </c>
      <c r="E32" s="136" t="str">
        <f>IF(AR6="","",":")</f>
        <v/>
      </c>
      <c r="F32" s="142" t="str">
        <f>IF(AS6="","",AQ6)</f>
        <v/>
      </c>
      <c r="G32" s="141" t="str">
        <f>IF(AQ7="","",AS8)</f>
        <v/>
      </c>
      <c r="H32" s="136" t="str">
        <f>IF(AR8="","",":")</f>
        <v/>
      </c>
      <c r="I32" s="142" t="str">
        <f>IF(AS8="","",AQ8)</f>
        <v/>
      </c>
      <c r="J32" s="141" t="str">
        <f>IF(AQ9="","",AS10)</f>
        <v/>
      </c>
      <c r="K32" s="136" t="str">
        <f>IF(AR10="","",":")</f>
        <v/>
      </c>
      <c r="L32" s="142" t="str">
        <f>IF(AS10="","",AQ10)</f>
        <v/>
      </c>
      <c r="M32" s="141" t="str">
        <f>IF(AQ11="","",AS12)</f>
        <v/>
      </c>
      <c r="N32" s="136" t="str">
        <f>IF(AR12="","",":")</f>
        <v/>
      </c>
      <c r="O32" s="142" t="str">
        <f>IF(AS12="","",AQ12)</f>
        <v/>
      </c>
      <c r="P32" s="141" t="str">
        <f>IF(AQ13="","",AS14)</f>
        <v/>
      </c>
      <c r="Q32" s="136" t="str">
        <f>IF(AR14="","",":")</f>
        <v/>
      </c>
      <c r="R32" s="142" t="str">
        <f>IF(AS14="","",AQ14)</f>
        <v/>
      </c>
      <c r="S32" s="141" t="str">
        <f>IF(AQ15="","",AS16)</f>
        <v/>
      </c>
      <c r="T32" s="136" t="str">
        <f>IF(AR16="","",":")</f>
        <v/>
      </c>
      <c r="U32" s="142" t="str">
        <f>IF(AS16="","",AQ16)</f>
        <v/>
      </c>
      <c r="V32" s="141" t="str">
        <f>IF(AQ17="","",AS18)</f>
        <v/>
      </c>
      <c r="W32" s="136" t="str">
        <f>IF(AR18="","",":")</f>
        <v/>
      </c>
      <c r="X32" s="142" t="str">
        <f>IF(AS18="","",AQ18)</f>
        <v/>
      </c>
      <c r="Y32" s="141" t="str">
        <f>IF(AQ19="","",AS20)</f>
        <v/>
      </c>
      <c r="Z32" s="136" t="str">
        <f>IF(AR20="","",":")</f>
        <v/>
      </c>
      <c r="AA32" s="142" t="str">
        <f>IF(AS20="","",AQ20)</f>
        <v/>
      </c>
      <c r="AB32" s="141" t="str">
        <f>IF(AQ21="","",AS22)</f>
        <v/>
      </c>
      <c r="AC32" s="136" t="str">
        <f>IF(AR22="","",":")</f>
        <v/>
      </c>
      <c r="AD32" s="142" t="str">
        <f>IF(AS22="","",AQ22)</f>
        <v/>
      </c>
      <c r="AE32" s="141" t="str">
        <f>IF(AQ23="","",AS24)</f>
        <v/>
      </c>
      <c r="AF32" s="136" t="str">
        <f>IF(AR24="","",":")</f>
        <v/>
      </c>
      <c r="AG32" s="142" t="str">
        <f>IF(AS24="","",AQ24)</f>
        <v/>
      </c>
      <c r="AH32" s="141" t="str">
        <f>IF(AQ25="","",AS26)</f>
        <v/>
      </c>
      <c r="AI32" s="136" t="str">
        <f>IF(AR26="","",":")</f>
        <v/>
      </c>
      <c r="AJ32" s="142" t="str">
        <f>IF(AS26="","",AQ26)</f>
        <v/>
      </c>
      <c r="AK32" s="141" t="str">
        <f>IF(AQ27="","",AS28)</f>
        <v/>
      </c>
      <c r="AL32" s="136" t="str">
        <f>IF(AR28="","",":")</f>
        <v/>
      </c>
      <c r="AM32" s="142" t="str">
        <f>IF(AS28="","",AQ28)</f>
        <v/>
      </c>
      <c r="AN32" s="141" t="str">
        <f>IF(AQ29="","",AS30)</f>
        <v/>
      </c>
      <c r="AO32" s="136" t="str">
        <f>IF(AR30="","",":")</f>
        <v/>
      </c>
      <c r="AP32" s="142" t="str">
        <f>IF(AS30="","",AQ30)</f>
        <v/>
      </c>
      <c r="AQ32" s="1231"/>
      <c r="AR32" s="1232"/>
      <c r="AS32" s="1233"/>
      <c r="AT32" s="926" t="str">
        <f>IF('св.прот 3ф'!H84="","",IF('св.прот 3ф'!D84='св.прот 3ф'!H84,'св.прот 3ф'!O84,'св.прот 3ф'!P84))</f>
        <v/>
      </c>
      <c r="AU32" s="927" t="str">
        <f>IF(AT31="","",":")</f>
        <v/>
      </c>
      <c r="AV32" s="928" t="str">
        <f>IF('св.прот 3ф'!H84="","",IF('св.прот 3ф'!D84='св.прот 3ф'!H84,'св.прот 3ф'!P84,'св.прот 3ф'!O84))</f>
        <v/>
      </c>
      <c r="AW32" s="926" t="str">
        <f>IF('св.прот 3ф'!H14="","",IF('св.прот 3ф'!D14='св.прот 3ф'!H14,'св.прот 3ф'!O13,'св.прот 3ф'!P14))</f>
        <v/>
      </c>
      <c r="AX32" s="927" t="str">
        <f>IF(AW31="","",":")</f>
        <v/>
      </c>
      <c r="AY32" s="928" t="str">
        <f>IF('св.прот 3ф'!H14="","",IF('св.прот 3ф'!D14='св.прот 3ф'!H14,'св.прот 3ф'!P14,'св.прот 3ф'!O14))</f>
        <v/>
      </c>
      <c r="AZ32" s="1244"/>
      <c r="BA32" s="1245"/>
      <c r="BB32" s="1221"/>
      <c r="BC32" s="1222"/>
    </row>
    <row r="33" spans="1:55" ht="15.75" customHeight="1" x14ac:dyDescent="0.25">
      <c r="A33" s="1250">
        <v>15</v>
      </c>
      <c r="B33" s="1237"/>
      <c r="C33" s="133" t="str">
        <f>IF(B33="","",VLOOKUP(B33,'Списки участников'!A:H,3,FALSE))</f>
        <v/>
      </c>
      <c r="D33" s="1234" t="str">
        <f>IF(AT5="","",IF(AT6="W",0,IF(AT5=2,1,IF(AT5=1,2,IF(AT5=0,2)))))</f>
        <v/>
      </c>
      <c r="E33" s="1235"/>
      <c r="F33" s="1236"/>
      <c r="G33" s="1234" t="str">
        <f>IF(AT7="","",IF(AT8="W",0,IF(AT7=2,1,IF(AT7=1,2,IF(AT7=0,2)))))</f>
        <v/>
      </c>
      <c r="H33" s="1235"/>
      <c r="I33" s="1236"/>
      <c r="J33" s="1234" t="str">
        <f>IF(AT9="","",IF(AT10="W",0,IF(AT9=2,1,IF(AT9=1,2,IF(AT9=0,2)))))</f>
        <v/>
      </c>
      <c r="K33" s="1235"/>
      <c r="L33" s="1236"/>
      <c r="M33" s="1234" t="str">
        <f>IF(AT11="","",IF(AT12="W",0,IF(AT11=2,1,IF(AT11=1,2,IF(AT11=0,2)))))</f>
        <v/>
      </c>
      <c r="N33" s="1235"/>
      <c r="O33" s="1236"/>
      <c r="P33" s="1234" t="str">
        <f>IF(AT13="","",IF(AT14="W",0,IF(AT13=2,1,IF(AT13=1,2,IF(AT13=0,2)))))</f>
        <v/>
      </c>
      <c r="Q33" s="1235"/>
      <c r="R33" s="1236"/>
      <c r="S33" s="1234" t="str">
        <f>IF(AT15="","",IF(AT16="W",0,IF(AT15=2,1,IF(AT15=1,2,IF(AT15=0,2)))))</f>
        <v/>
      </c>
      <c r="T33" s="1235"/>
      <c r="U33" s="1236"/>
      <c r="V33" s="1234" t="str">
        <f>IF(AT17="","",IF(AT18="W",0,IF(AT17=2,1,IF(AT17=1,2,IF(AT17=0,2)))))</f>
        <v/>
      </c>
      <c r="W33" s="1235"/>
      <c r="X33" s="1236"/>
      <c r="Y33" s="1234" t="str">
        <f>IF(AT19="","",IF(AT20="W",0,IF(AT19=2,1,IF(AT19=1,2,IF(AT19=0,2)))))</f>
        <v/>
      </c>
      <c r="Z33" s="1235"/>
      <c r="AA33" s="1236"/>
      <c r="AB33" s="1234" t="str">
        <f>IF(AT21="","",IF(AT22="W",0,IF(AT21=2,1,IF(AT21=1,2,IF(AT21=0,2)))))</f>
        <v/>
      </c>
      <c r="AC33" s="1235"/>
      <c r="AD33" s="1236"/>
      <c r="AE33" s="1234" t="str">
        <f>IF(AT23="","",IF(AT24="W",0,IF(AT23=2,1,IF(AT23=1,2,IF(AT23=0,2)))))</f>
        <v/>
      </c>
      <c r="AF33" s="1235"/>
      <c r="AG33" s="1236"/>
      <c r="AH33" s="1234" t="str">
        <f>IF(AT25="","",IF(AT26="W",0,IF(AT25=2,1,IF(AT25=1,2,IF(AT25=0,2)))))</f>
        <v/>
      </c>
      <c r="AI33" s="1235"/>
      <c r="AJ33" s="1236"/>
      <c r="AK33" s="1234" t="str">
        <f>IF(AT27="","",IF(AT28="W",0,IF(AT27=2,1,IF(AT27=1,2,IF(AT27=0,2)))))</f>
        <v/>
      </c>
      <c r="AL33" s="1235"/>
      <c r="AM33" s="1236"/>
      <c r="AN33" s="1234" t="str">
        <f>IF(AT29="","",IF(AT30="W",0,IF(AT29=2,1,IF(AT29=1,2,IF(AT29=0,2)))))</f>
        <v/>
      </c>
      <c r="AO33" s="1235"/>
      <c r="AP33" s="1236"/>
      <c r="AQ33" s="1234" t="str">
        <f>IF(AT31="","",IF(AT32="W",0,IF(AT31=2,1,IF(AT31=1,2,IF(AT31=0,2)))))</f>
        <v/>
      </c>
      <c r="AR33" s="1235"/>
      <c r="AS33" s="1236"/>
      <c r="AT33" s="1249"/>
      <c r="AU33" s="1246"/>
      <c r="AV33" s="1247"/>
      <c r="AW33" s="1234" t="str">
        <f>IF('св.прот 3ф'!H76="","",IF(AW34="L",0,IF(AW34&gt;AY34,2,1)))</f>
        <v/>
      </c>
      <c r="AX33" s="1235"/>
      <c r="AY33" s="1236"/>
      <c r="AZ33" s="1242" t="str">
        <f t="shared" ref="AZ33" si="13">IF(B33="","",SUM(G33,J33,M33,P33,S33,V33,Y33,AB33,AE33,AH33,AK33,AN33,AQ33,AT33,AW33,D33))</f>
        <v/>
      </c>
      <c r="BA33" s="1243"/>
      <c r="BB33" s="1220"/>
      <c r="BC33" s="1222" t="str">
        <f>IF(B33="","",RANK(AZ33,Ф3Оч)+32)</f>
        <v/>
      </c>
    </row>
    <row r="34" spans="1:55" ht="15.75" customHeight="1" x14ac:dyDescent="0.25">
      <c r="A34" s="1251"/>
      <c r="B34" s="1238"/>
      <c r="C34" s="134" t="str">
        <f>IF(B33="","",VLOOKUP(B33,'Списки участников'!A:H,6,FALSE))</f>
        <v/>
      </c>
      <c r="D34" s="141" t="str">
        <f>IF(AT5="","",AV6)</f>
        <v/>
      </c>
      <c r="E34" s="136" t="str">
        <f>IF(AU6="","",":")</f>
        <v/>
      </c>
      <c r="F34" s="142" t="str">
        <f>IF(AV6="","",AT6)</f>
        <v/>
      </c>
      <c r="G34" s="141" t="str">
        <f>IF(AT7="","",AV8)</f>
        <v/>
      </c>
      <c r="H34" s="136" t="str">
        <f>IF(AU8="","",":")</f>
        <v/>
      </c>
      <c r="I34" s="142" t="str">
        <f>IF(AV8="","",AT8)</f>
        <v/>
      </c>
      <c r="J34" s="141" t="str">
        <f>IF(AT10="","",IF(AV10="l","W",AV10))</f>
        <v/>
      </c>
      <c r="K34" s="136" t="str">
        <f>IF(AU10="","",":")</f>
        <v/>
      </c>
      <c r="L34" s="142" t="str">
        <f>IF(AV10="","",AT10)</f>
        <v/>
      </c>
      <c r="M34" s="141" t="str">
        <f>IF(AT11="","",AV12)</f>
        <v/>
      </c>
      <c r="N34" s="136" t="str">
        <f>IF(AU12="","",":")</f>
        <v/>
      </c>
      <c r="O34" s="142" t="str">
        <f>IF(AV12="","",AT12)</f>
        <v/>
      </c>
      <c r="P34" s="141" t="str">
        <f>IF(AT13="","",AV14)</f>
        <v/>
      </c>
      <c r="Q34" s="136" t="str">
        <f>IF(AU14="","",":")</f>
        <v/>
      </c>
      <c r="R34" s="142" t="str">
        <f>IF(AV14="","",AT14)</f>
        <v/>
      </c>
      <c r="S34" s="141" t="str">
        <f>IF(AT15="","",AV16)</f>
        <v/>
      </c>
      <c r="T34" s="136" t="str">
        <f>IF(AU16="","",":")</f>
        <v/>
      </c>
      <c r="U34" s="142" t="str">
        <f>IF(AV16="","",AT16)</f>
        <v/>
      </c>
      <c r="V34" s="141" t="str">
        <f>IF(AT17="","",AV18)</f>
        <v/>
      </c>
      <c r="W34" s="136" t="str">
        <f>IF(AU18="","",":")</f>
        <v/>
      </c>
      <c r="X34" s="142" t="str">
        <f>IF(AV18="","",AT18)</f>
        <v/>
      </c>
      <c r="Y34" s="141" t="str">
        <f>IF(AT19="","",AV20)</f>
        <v/>
      </c>
      <c r="Z34" s="136" t="str">
        <f>IF(AU20="","",":")</f>
        <v/>
      </c>
      <c r="AA34" s="142" t="str">
        <f>IF(AV20="","",AT20)</f>
        <v/>
      </c>
      <c r="AB34" s="141" t="str">
        <f>IF(AT21="","",AV22)</f>
        <v/>
      </c>
      <c r="AC34" s="136" t="str">
        <f>IF(AU22="","",":")</f>
        <v/>
      </c>
      <c r="AD34" s="142" t="str">
        <f>IF(AV22="","",AT22)</f>
        <v/>
      </c>
      <c r="AE34" s="141" t="str">
        <f>IF(AT23="","",AV24)</f>
        <v/>
      </c>
      <c r="AF34" s="136" t="str">
        <f>IF(AU24="","",":")</f>
        <v/>
      </c>
      <c r="AG34" s="142" t="str">
        <f>IF(AV24="","",AT24)</f>
        <v/>
      </c>
      <c r="AH34" s="141" t="str">
        <f>IF(AT25="","",AV26)</f>
        <v/>
      </c>
      <c r="AI34" s="136" t="str">
        <f>IF(AU26="","",":")</f>
        <v/>
      </c>
      <c r="AJ34" s="142" t="str">
        <f>IF(AV26="","",AT26)</f>
        <v/>
      </c>
      <c r="AK34" s="141" t="str">
        <f>IF(AT27="","",AV28)</f>
        <v/>
      </c>
      <c r="AL34" s="136" t="str">
        <f>IF(AU28="","",":")</f>
        <v/>
      </c>
      <c r="AM34" s="142" t="str">
        <f>IF(AV28="","",AT28)</f>
        <v/>
      </c>
      <c r="AN34" s="141" t="str">
        <f>IF(AT29="","",AV30)</f>
        <v/>
      </c>
      <c r="AO34" s="136" t="str">
        <f>IF(AU30="","",":")</f>
        <v/>
      </c>
      <c r="AP34" s="142" t="str">
        <f>IF(AV30="","",AT30)</f>
        <v/>
      </c>
      <c r="AQ34" s="141" t="str">
        <f>IF(AT31="","",AV32)</f>
        <v/>
      </c>
      <c r="AR34" s="136" t="str">
        <f>IF(AU32="","",":")</f>
        <v/>
      </c>
      <c r="AS34" s="142" t="str">
        <f>IF(AV32="","",AT32)</f>
        <v/>
      </c>
      <c r="AT34" s="1231"/>
      <c r="AU34" s="1232"/>
      <c r="AV34" s="1233"/>
      <c r="AW34" s="135" t="str">
        <f>IF('св.прот 3ф'!H76="","",IF('св.прот 3ф'!D76='св.прот 3ф'!H76,'св.прот 3ф'!O76,'св.прот 3ф'!P76))</f>
        <v/>
      </c>
      <c r="AX34" s="136" t="str">
        <f>IF(AW33="","",":")</f>
        <v/>
      </c>
      <c r="AY34" s="137" t="str">
        <f>IF('св.прот 3ф'!H76="","",IF('св.прот 3ф'!D76='св.прот 3ф'!H76,'св.прот 3ф'!P76,'св.прот 3ф'!O76))</f>
        <v/>
      </c>
      <c r="AZ34" s="1244"/>
      <c r="BA34" s="1245"/>
      <c r="BB34" s="1221"/>
      <c r="BC34" s="1222"/>
    </row>
    <row r="35" spans="1:55" ht="15.75" customHeight="1" x14ac:dyDescent="0.25">
      <c r="A35" s="1250">
        <v>16</v>
      </c>
      <c r="B35" s="1223"/>
      <c r="C35" s="133" t="str">
        <f>IF(B35="","",VLOOKUP(B35,'Списки участников'!A:H,3,FALSE))</f>
        <v/>
      </c>
      <c r="D35" s="1234" t="str">
        <f>IF(AW5="","",IF(AW6="W",0,IF(AW5=2,1,IF(AW5=1,2,IF(AW5=0,2)))))</f>
        <v/>
      </c>
      <c r="E35" s="1235"/>
      <c r="F35" s="1236"/>
      <c r="G35" s="1234" t="str">
        <f>IF(AW7="","",IF(AW8="W",0,IF(AW7=2,1,IF(AW7=1,2,IF(AW7=0,2)))))</f>
        <v/>
      </c>
      <c r="H35" s="1235"/>
      <c r="I35" s="1236"/>
      <c r="J35" s="1234" t="str">
        <f>IF(AW9="","",IF(AW10="W",0,IF(AW9=2,1,IF(AW9=1,2,IF(AW9=0,2)))))</f>
        <v/>
      </c>
      <c r="K35" s="1235"/>
      <c r="L35" s="1236"/>
      <c r="M35" s="1234" t="str">
        <f>IF(AW11="","",IF(AW12="W",0,IF(AW11=2,1,IF(AW11=1,2,IF(AW11=0,2)))))</f>
        <v/>
      </c>
      <c r="N35" s="1235"/>
      <c r="O35" s="1236"/>
      <c r="P35" s="1234" t="str">
        <f>IF(AW13="","",IF(AW14="W",0,IF(AW13=2,1,IF(AW13=1,2,IF(AW13=0,2)))))</f>
        <v/>
      </c>
      <c r="Q35" s="1235"/>
      <c r="R35" s="1236"/>
      <c r="S35" s="1234" t="str">
        <f>IF(AW15="","",IF(AW16="W",0,IF(AW15=2,1,IF(AW15=1,2,IF(AW15=0,2)))))</f>
        <v/>
      </c>
      <c r="T35" s="1235"/>
      <c r="U35" s="1236"/>
      <c r="V35" s="1234" t="str">
        <f>IF(AW17="","",IF(AW18="W",0,IF(AW17=2,1,IF(AW17=1,2,IF(AW17=0,2)))))</f>
        <v/>
      </c>
      <c r="W35" s="1235"/>
      <c r="X35" s="1236"/>
      <c r="Y35" s="1234" t="str">
        <f>IF(AW19="","",IF(AW20="W",0,IF(AW19=2,1,IF(AW19=1,2,IF(AW19=0,2)))))</f>
        <v/>
      </c>
      <c r="Z35" s="1235"/>
      <c r="AA35" s="1236"/>
      <c r="AB35" s="1234" t="str">
        <f>IF(AW21="","",IF(AW22="W",0,IF(AW21=2,1,IF(AW21=1,2,IF(AW21=0,2)))))</f>
        <v/>
      </c>
      <c r="AC35" s="1235"/>
      <c r="AD35" s="1236"/>
      <c r="AE35" s="1234" t="str">
        <f>IF(AW23="","",IF(AW24="W",0,IF(AW23=2,1,IF(AW23=1,2,IF(AW23=0,2)))))</f>
        <v/>
      </c>
      <c r="AF35" s="1235"/>
      <c r="AG35" s="1236"/>
      <c r="AH35" s="1234" t="str">
        <f>IF(AW25="","",IF(AW26="W",0,IF(AW25=2,1,IF(AW25=1,2,IF(AW25=0,2)))))</f>
        <v/>
      </c>
      <c r="AI35" s="1235"/>
      <c r="AJ35" s="1236"/>
      <c r="AK35" s="1234" t="str">
        <f>IF(AW27="","",IF(AW28="W",0,IF(AW27=2,1,IF(AW27=1,2,IF(AW27=0,2)))))</f>
        <v/>
      </c>
      <c r="AL35" s="1235"/>
      <c r="AM35" s="1236"/>
      <c r="AN35" s="1234" t="str">
        <f>IF(AW29="","",IF(AW30="W",0,IF(AW29=2,1,IF(AW29=1,2,IF(AW29=0,2)))))</f>
        <v/>
      </c>
      <c r="AO35" s="1235"/>
      <c r="AP35" s="1236"/>
      <c r="AQ35" s="1234" t="str">
        <f>IF(AW31="","",IF(AW32="W",0,IF(AW31=2,1,IF(AW31=1,2,IF(AW31=0,2)))))</f>
        <v/>
      </c>
      <c r="AR35" s="1235"/>
      <c r="AS35" s="1236"/>
      <c r="AT35" s="1234" t="str">
        <f>IF(AW33="","",IF(AW34="W",0,IF(AW33=2,1,IF(AW33=1,2,IF(AW33=0,2)))))</f>
        <v/>
      </c>
      <c r="AU35" s="1235"/>
      <c r="AV35" s="1236"/>
      <c r="AW35" s="1228"/>
      <c r="AX35" s="1229"/>
      <c r="AY35" s="1230"/>
      <c r="AZ35" s="1242" t="str">
        <f t="shared" ref="AZ35" si="14">IF(B35="","",SUM(G35,J35,M35,P35,S35,V35,Y35,AB35,AE35,AH35,AK35,AN35,AQ35,AT35,AW35,D35))</f>
        <v/>
      </c>
      <c r="BA35" s="1243"/>
      <c r="BB35" s="1220"/>
      <c r="BC35" s="1222" t="str">
        <f>IF(B35="","",RANK(AZ35,Ф3Оч)+32)</f>
        <v/>
      </c>
    </row>
    <row r="36" spans="1:55" ht="15.75" customHeight="1" x14ac:dyDescent="0.25">
      <c r="A36" s="1251"/>
      <c r="B36" s="1224"/>
      <c r="C36" s="134" t="str">
        <f>IF(B35="","",VLOOKUP(B35,'Списки участников'!A:H,6,FALSE))</f>
        <v/>
      </c>
      <c r="D36" s="141" t="str">
        <f>IF(AW5="","",AY6)</f>
        <v/>
      </c>
      <c r="E36" s="136" t="str">
        <f>IF(AX6="","",":")</f>
        <v/>
      </c>
      <c r="F36" s="142" t="str">
        <f>IF(AY6="","",AW6)</f>
        <v/>
      </c>
      <c r="G36" s="141" t="str">
        <f>IF(AW7="","",AY8)</f>
        <v/>
      </c>
      <c r="H36" s="136" t="str">
        <f>IF(AX8="","",":")</f>
        <v/>
      </c>
      <c r="I36" s="142" t="str">
        <f>IF(AY8="","",AW8)</f>
        <v/>
      </c>
      <c r="J36" s="141" t="str">
        <f>IF(AW10="","",IF(AY10="l","W",AY10))</f>
        <v/>
      </c>
      <c r="K36" s="136" t="str">
        <f>IF(AX10="","",":")</f>
        <v/>
      </c>
      <c r="L36" s="142" t="str">
        <f>IF(AY10="","",AW10)</f>
        <v/>
      </c>
      <c r="M36" s="141" t="str">
        <f>IF(AW11="","",AY12)</f>
        <v/>
      </c>
      <c r="N36" s="136" t="str">
        <f>IF(AX12="","",":")</f>
        <v/>
      </c>
      <c r="O36" s="142" t="str">
        <f>IF(AY12="","",AW12)</f>
        <v/>
      </c>
      <c r="P36" s="141" t="str">
        <f>IF(AW13="","",AY14)</f>
        <v/>
      </c>
      <c r="Q36" s="136" t="str">
        <f>IF(AX14="","",":")</f>
        <v/>
      </c>
      <c r="R36" s="142" t="str">
        <f>IF(AY14="","",AW14)</f>
        <v/>
      </c>
      <c r="S36" s="141" t="str">
        <f>IF(AW15="","",AY16)</f>
        <v/>
      </c>
      <c r="T36" s="136" t="str">
        <f>IF(AX16="","",":")</f>
        <v/>
      </c>
      <c r="U36" s="142" t="str">
        <f>IF(AY16="","",AW16)</f>
        <v/>
      </c>
      <c r="V36" s="141" t="str">
        <f>IF(AW17="","",AY18)</f>
        <v/>
      </c>
      <c r="W36" s="136" t="str">
        <f>IF(AX18="","",":")</f>
        <v/>
      </c>
      <c r="X36" s="142" t="str">
        <f>IF(AY18="","",AW18)</f>
        <v/>
      </c>
      <c r="Y36" s="141" t="str">
        <f>IF(AW19="","",AY20)</f>
        <v/>
      </c>
      <c r="Z36" s="136" t="str">
        <f>IF(AX20="","",":")</f>
        <v/>
      </c>
      <c r="AA36" s="142" t="str">
        <f>IF(AY20="","",AW20)</f>
        <v/>
      </c>
      <c r="AB36" s="141" t="str">
        <f>IF(AW21="","",AY22)</f>
        <v/>
      </c>
      <c r="AC36" s="136" t="str">
        <f>IF(AX22="","",":")</f>
        <v/>
      </c>
      <c r="AD36" s="142" t="str">
        <f>IF(AY22="","",AW22)</f>
        <v/>
      </c>
      <c r="AE36" s="141" t="str">
        <f>IF(AW23="","",AY24)</f>
        <v/>
      </c>
      <c r="AF36" s="136" t="str">
        <f>IF(AX24="","",":")</f>
        <v/>
      </c>
      <c r="AG36" s="142" t="str">
        <f>IF(AY24="","",AW24)</f>
        <v/>
      </c>
      <c r="AH36" s="141" t="str">
        <f>IF(AW25="","",AY26)</f>
        <v/>
      </c>
      <c r="AI36" s="136" t="str">
        <f>IF(AX26="","",":")</f>
        <v/>
      </c>
      <c r="AJ36" s="142" t="str">
        <f>IF(AY26="","",AW26)</f>
        <v/>
      </c>
      <c r="AK36" s="141" t="str">
        <f>IF(AW27="","",AY28)</f>
        <v/>
      </c>
      <c r="AL36" s="136" t="str">
        <f>IF(AX28="","",":")</f>
        <v/>
      </c>
      <c r="AM36" s="142" t="str">
        <f>IF(AY28="","",AW28)</f>
        <v/>
      </c>
      <c r="AN36" s="141" t="str">
        <f>IF(AW29="","",AY30)</f>
        <v/>
      </c>
      <c r="AO36" s="136" t="str">
        <f>IF(AX30="","",":")</f>
        <v/>
      </c>
      <c r="AP36" s="142" t="str">
        <f>IF(AY30="","",AW30)</f>
        <v/>
      </c>
      <c r="AQ36" s="141" t="str">
        <f>IF(AW31="","",AY32)</f>
        <v/>
      </c>
      <c r="AR36" s="136" t="str">
        <f>IF(AX32="","",":")</f>
        <v/>
      </c>
      <c r="AS36" s="142" t="str">
        <f>IF(AY32="","",AW32)</f>
        <v/>
      </c>
      <c r="AT36" s="141" t="str">
        <f>IF(AW33="","",AY34)</f>
        <v/>
      </c>
      <c r="AU36" s="136" t="str">
        <f>IF(AX34="","",":")</f>
        <v/>
      </c>
      <c r="AV36" s="142" t="str">
        <f>IF(AY34="","",AW34)</f>
        <v/>
      </c>
      <c r="AW36" s="1231"/>
      <c r="AX36" s="1232"/>
      <c r="AY36" s="1233"/>
      <c r="AZ36" s="1244"/>
      <c r="BA36" s="1245"/>
      <c r="BB36" s="1221"/>
      <c r="BC36" s="1222"/>
    </row>
    <row r="38" spans="1:55" ht="18.75" x14ac:dyDescent="0.3">
      <c r="C38" s="143" t="s">
        <v>760</v>
      </c>
      <c r="D38" s="143"/>
      <c r="E38" s="1252" t="str">
        <f>'Списки участников'!H47</f>
        <v>Винокуров А.К</v>
      </c>
      <c r="F38" s="1252"/>
      <c r="G38" s="1252"/>
      <c r="H38" s="1252"/>
      <c r="I38" s="1252"/>
      <c r="J38" s="1252"/>
      <c r="K38" s="1252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253" t="s">
        <v>761</v>
      </c>
      <c r="X38" s="1253"/>
      <c r="Y38" s="1253"/>
      <c r="Z38" s="1253"/>
      <c r="AA38" s="1253"/>
      <c r="AB38" s="1253"/>
      <c r="AC38" s="1253"/>
      <c r="AD38" s="1253"/>
      <c r="AE38" s="1253"/>
      <c r="AF38" s="1253"/>
      <c r="AG38" s="1253"/>
      <c r="AH38" s="1253"/>
      <c r="AI38" s="143"/>
      <c r="AJ38" s="143"/>
      <c r="AK38" s="143"/>
      <c r="AL38" s="1253" t="str">
        <f>'Списки участников'!H48</f>
        <v>Брусин С.Б., Кашулина А.И.</v>
      </c>
      <c r="AM38" s="1253"/>
      <c r="AN38" s="1253"/>
      <c r="AO38" s="1253"/>
      <c r="AP38" s="1253"/>
      <c r="AQ38" s="1253"/>
      <c r="AR38" s="1253"/>
      <c r="AS38" s="1253"/>
      <c r="AT38" s="1253"/>
      <c r="AU38" s="1253"/>
      <c r="AV38" s="1253"/>
      <c r="AW38" s="1253"/>
      <c r="AX38" s="1253"/>
      <c r="AY38" s="1253"/>
      <c r="AZ38" s="1253"/>
      <c r="BA38" s="1253"/>
      <c r="BB38" s="1253"/>
      <c r="BC38" s="143"/>
    </row>
  </sheetData>
  <mergeCells count="362">
    <mergeCell ref="BC35:BC36"/>
    <mergeCell ref="E38:K38"/>
    <mergeCell ref="W38:AH38"/>
    <mergeCell ref="AL38:BB38"/>
    <mergeCell ref="AN35:AP35"/>
    <mergeCell ref="AQ35:AS35"/>
    <mergeCell ref="AT35:AV35"/>
    <mergeCell ref="AW35:AY36"/>
    <mergeCell ref="AZ35:BA36"/>
    <mergeCell ref="BB35:BB36"/>
    <mergeCell ref="V35:X35"/>
    <mergeCell ref="Y35:AA35"/>
    <mergeCell ref="AB35:AD35"/>
    <mergeCell ref="AE35:AG35"/>
    <mergeCell ref="AH35:AJ35"/>
    <mergeCell ref="AK35:AM35"/>
    <mergeCell ref="AN33:AP33"/>
    <mergeCell ref="AQ33:AS33"/>
    <mergeCell ref="AT33:AV34"/>
    <mergeCell ref="AW33:AY33"/>
    <mergeCell ref="AZ33:BA34"/>
    <mergeCell ref="S33:U33"/>
    <mergeCell ref="V33:X33"/>
    <mergeCell ref="Y33:AA33"/>
    <mergeCell ref="AB33:AD33"/>
    <mergeCell ref="AE33:AG33"/>
    <mergeCell ref="AH33:AJ33"/>
    <mergeCell ref="A35:A36"/>
    <mergeCell ref="B35:B36"/>
    <mergeCell ref="D35:F35"/>
    <mergeCell ref="G35:I35"/>
    <mergeCell ref="J35:L35"/>
    <mergeCell ref="M35:O35"/>
    <mergeCell ref="P35:R35"/>
    <mergeCell ref="S35:U35"/>
    <mergeCell ref="AK33:AM33"/>
    <mergeCell ref="BC31:BC32"/>
    <mergeCell ref="A33:A34"/>
    <mergeCell ref="B33:B34"/>
    <mergeCell ref="D33:F33"/>
    <mergeCell ref="G33:I33"/>
    <mergeCell ref="J33:L33"/>
    <mergeCell ref="M33:O33"/>
    <mergeCell ref="P33:R33"/>
    <mergeCell ref="AH31:AJ31"/>
    <mergeCell ref="AK31:AM31"/>
    <mergeCell ref="AN31:AP31"/>
    <mergeCell ref="AQ31:AS32"/>
    <mergeCell ref="AT31:AV31"/>
    <mergeCell ref="AW31:AY31"/>
    <mergeCell ref="P31:R31"/>
    <mergeCell ref="S31:U31"/>
    <mergeCell ref="V31:X31"/>
    <mergeCell ref="Y31:AA31"/>
    <mergeCell ref="AB31:AD31"/>
    <mergeCell ref="AE31:AG31"/>
    <mergeCell ref="A31:A32"/>
    <mergeCell ref="B31:B32"/>
    <mergeCell ref="BB33:BB34"/>
    <mergeCell ref="BC33:BC34"/>
    <mergeCell ref="D31:F31"/>
    <mergeCell ref="G31:I31"/>
    <mergeCell ref="J31:L31"/>
    <mergeCell ref="M31:O31"/>
    <mergeCell ref="AQ29:AS29"/>
    <mergeCell ref="AT29:AV29"/>
    <mergeCell ref="AW29:AY29"/>
    <mergeCell ref="AZ29:BA30"/>
    <mergeCell ref="BB29:BB30"/>
    <mergeCell ref="AZ31:BA32"/>
    <mergeCell ref="BB31:BB32"/>
    <mergeCell ref="BC29:BC30"/>
    <mergeCell ref="Y29:AA29"/>
    <mergeCell ref="AB29:AD29"/>
    <mergeCell ref="AE29:AG29"/>
    <mergeCell ref="AH29:AJ29"/>
    <mergeCell ref="AK29:AM29"/>
    <mergeCell ref="AN29:AP30"/>
    <mergeCell ref="BC27:BC28"/>
    <mergeCell ref="A29:A30"/>
    <mergeCell ref="B29:B30"/>
    <mergeCell ref="D29:F29"/>
    <mergeCell ref="G29:I29"/>
    <mergeCell ref="J29:L29"/>
    <mergeCell ref="M29:O29"/>
    <mergeCell ref="P29:R29"/>
    <mergeCell ref="S29:U29"/>
    <mergeCell ref="V29:X29"/>
    <mergeCell ref="AN27:AP27"/>
    <mergeCell ref="AQ27:AS27"/>
    <mergeCell ref="AT27:AV27"/>
    <mergeCell ref="AW27:AY27"/>
    <mergeCell ref="AZ27:BA28"/>
    <mergeCell ref="BB27:BB28"/>
    <mergeCell ref="V27:X27"/>
    <mergeCell ref="BB25:BB26"/>
    <mergeCell ref="BC25:BC26"/>
    <mergeCell ref="A27:A28"/>
    <mergeCell ref="B27:B28"/>
    <mergeCell ref="D27:F27"/>
    <mergeCell ref="G27:I27"/>
    <mergeCell ref="J27:L27"/>
    <mergeCell ref="M27:O27"/>
    <mergeCell ref="P27:R27"/>
    <mergeCell ref="S27:U27"/>
    <mergeCell ref="AK25:AM25"/>
    <mergeCell ref="AN25:AP25"/>
    <mergeCell ref="AQ25:AS25"/>
    <mergeCell ref="AT25:AV25"/>
    <mergeCell ref="AW25:AY25"/>
    <mergeCell ref="AZ25:BA26"/>
    <mergeCell ref="S25:U25"/>
    <mergeCell ref="V25:X25"/>
    <mergeCell ref="Y25:AA25"/>
    <mergeCell ref="S23:U23"/>
    <mergeCell ref="V23:X23"/>
    <mergeCell ref="Y23:AA23"/>
    <mergeCell ref="AB23:AD23"/>
    <mergeCell ref="Y27:AA27"/>
    <mergeCell ref="AB27:AD27"/>
    <mergeCell ref="AE27:AG27"/>
    <mergeCell ref="AH27:AJ27"/>
    <mergeCell ref="AK27:AM28"/>
    <mergeCell ref="A23:A24"/>
    <mergeCell ref="B23:B24"/>
    <mergeCell ref="D23:F23"/>
    <mergeCell ref="G23:I23"/>
    <mergeCell ref="J23:L23"/>
    <mergeCell ref="M23:O23"/>
    <mergeCell ref="AQ21:AS21"/>
    <mergeCell ref="AT21:AV21"/>
    <mergeCell ref="AB25:AD25"/>
    <mergeCell ref="AE25:AG25"/>
    <mergeCell ref="AH25:AJ26"/>
    <mergeCell ref="A25:A26"/>
    <mergeCell ref="B25:B26"/>
    <mergeCell ref="D25:F25"/>
    <mergeCell ref="G25:I25"/>
    <mergeCell ref="J25:L25"/>
    <mergeCell ref="M25:O25"/>
    <mergeCell ref="P25:R25"/>
    <mergeCell ref="AH23:AJ23"/>
    <mergeCell ref="AK23:AM23"/>
    <mergeCell ref="AN23:AP23"/>
    <mergeCell ref="AQ23:AS23"/>
    <mergeCell ref="AT23:AV23"/>
    <mergeCell ref="P23:R23"/>
    <mergeCell ref="BB21:BB22"/>
    <mergeCell ref="BC21:BC22"/>
    <mergeCell ref="Y21:AA21"/>
    <mergeCell ref="AB21:AD22"/>
    <mergeCell ref="AE21:AG21"/>
    <mergeCell ref="AH21:AJ21"/>
    <mergeCell ref="AK21:AM21"/>
    <mergeCell ref="AN21:AP21"/>
    <mergeCell ref="AE23:AG24"/>
    <mergeCell ref="AZ23:BA24"/>
    <mergeCell ref="BB23:BB24"/>
    <mergeCell ref="BC23:BC24"/>
    <mergeCell ref="AW23:AY23"/>
    <mergeCell ref="BC19:BC20"/>
    <mergeCell ref="A21:A22"/>
    <mergeCell ref="B21:B22"/>
    <mergeCell ref="D21:F21"/>
    <mergeCell ref="G21:I21"/>
    <mergeCell ref="J21:L21"/>
    <mergeCell ref="M21:O21"/>
    <mergeCell ref="P21:R21"/>
    <mergeCell ref="S21:U21"/>
    <mergeCell ref="V21:X21"/>
    <mergeCell ref="AN19:AP19"/>
    <mergeCell ref="AQ19:AS19"/>
    <mergeCell ref="AT19:AV19"/>
    <mergeCell ref="AW19:AY19"/>
    <mergeCell ref="AZ19:BA20"/>
    <mergeCell ref="BB19:BB20"/>
    <mergeCell ref="V19:X19"/>
    <mergeCell ref="Y19:AA20"/>
    <mergeCell ref="AB19:AD19"/>
    <mergeCell ref="AE19:AG19"/>
    <mergeCell ref="AH19:AJ19"/>
    <mergeCell ref="AK19:AM19"/>
    <mergeCell ref="AW21:AY21"/>
    <mergeCell ref="AZ21:BA22"/>
    <mergeCell ref="AN17:AP17"/>
    <mergeCell ref="AQ17:AS17"/>
    <mergeCell ref="AT17:AV17"/>
    <mergeCell ref="AW17:AY17"/>
    <mergeCell ref="AZ17:BA18"/>
    <mergeCell ref="S17:U17"/>
    <mergeCell ref="V17:X18"/>
    <mergeCell ref="Y17:AA17"/>
    <mergeCell ref="AB17:AD17"/>
    <mergeCell ref="AE17:AG17"/>
    <mergeCell ref="AH17:AJ17"/>
    <mergeCell ref="A19:A20"/>
    <mergeCell ref="B19:B20"/>
    <mergeCell ref="D19:F19"/>
    <mergeCell ref="G19:I19"/>
    <mergeCell ref="J19:L19"/>
    <mergeCell ref="M19:O19"/>
    <mergeCell ref="P19:R19"/>
    <mergeCell ref="S19:U19"/>
    <mergeCell ref="AK17:AM17"/>
    <mergeCell ref="BC15:BC16"/>
    <mergeCell ref="A17:A18"/>
    <mergeCell ref="B17:B18"/>
    <mergeCell ref="D17:F17"/>
    <mergeCell ref="G17:I17"/>
    <mergeCell ref="J17:L17"/>
    <mergeCell ref="M17:O17"/>
    <mergeCell ref="P17:R17"/>
    <mergeCell ref="AH15:AJ15"/>
    <mergeCell ref="AK15:AM15"/>
    <mergeCell ref="AN15:AP15"/>
    <mergeCell ref="AQ15:AS15"/>
    <mergeCell ref="AT15:AV15"/>
    <mergeCell ref="AW15:AY15"/>
    <mergeCell ref="P15:R15"/>
    <mergeCell ref="S15:U16"/>
    <mergeCell ref="V15:X15"/>
    <mergeCell ref="Y15:AA15"/>
    <mergeCell ref="AB15:AD15"/>
    <mergeCell ref="AE15:AG15"/>
    <mergeCell ref="A15:A16"/>
    <mergeCell ref="B15:B16"/>
    <mergeCell ref="BB17:BB18"/>
    <mergeCell ref="BC17:BC18"/>
    <mergeCell ref="D15:F15"/>
    <mergeCell ref="G15:I15"/>
    <mergeCell ref="J15:L15"/>
    <mergeCell ref="M15:O15"/>
    <mergeCell ref="AQ13:AS13"/>
    <mergeCell ref="AT13:AV13"/>
    <mergeCell ref="AW13:AY13"/>
    <mergeCell ref="AZ13:BA14"/>
    <mergeCell ref="BB13:BB14"/>
    <mergeCell ref="AZ15:BA16"/>
    <mergeCell ref="BB15:BB16"/>
    <mergeCell ref="BC13:BC14"/>
    <mergeCell ref="Y13:AA13"/>
    <mergeCell ref="AB13:AD13"/>
    <mergeCell ref="AE13:AG13"/>
    <mergeCell ref="AH13:AJ13"/>
    <mergeCell ref="AK13:AM13"/>
    <mergeCell ref="AN13:AP13"/>
    <mergeCell ref="BC11:BC12"/>
    <mergeCell ref="A13:A14"/>
    <mergeCell ref="B13:B14"/>
    <mergeCell ref="D13:F13"/>
    <mergeCell ref="G13:I13"/>
    <mergeCell ref="J13:L13"/>
    <mergeCell ref="M13:O13"/>
    <mergeCell ref="P13:R14"/>
    <mergeCell ref="S13:U13"/>
    <mergeCell ref="V13:X13"/>
    <mergeCell ref="AN11:AP11"/>
    <mergeCell ref="AQ11:AS11"/>
    <mergeCell ref="AT11:AV11"/>
    <mergeCell ref="AW11:AY11"/>
    <mergeCell ref="AZ11:BA12"/>
    <mergeCell ref="BB11:BB12"/>
    <mergeCell ref="V11:X11"/>
    <mergeCell ref="Y11:AA11"/>
    <mergeCell ref="AB11:AD11"/>
    <mergeCell ref="AE11:AG11"/>
    <mergeCell ref="AH11:AJ11"/>
    <mergeCell ref="AK11:AM11"/>
    <mergeCell ref="BC9:BC10"/>
    <mergeCell ref="BE10:BL10"/>
    <mergeCell ref="A11:A12"/>
    <mergeCell ref="B11:B12"/>
    <mergeCell ref="D11:F11"/>
    <mergeCell ref="G11:I11"/>
    <mergeCell ref="J11:L11"/>
    <mergeCell ref="M11:O12"/>
    <mergeCell ref="P11:R11"/>
    <mergeCell ref="S11:U11"/>
    <mergeCell ref="AN9:AP9"/>
    <mergeCell ref="AQ9:AS9"/>
    <mergeCell ref="AT9:AV9"/>
    <mergeCell ref="AW9:AY9"/>
    <mergeCell ref="AZ9:BA10"/>
    <mergeCell ref="BB9:BB10"/>
    <mergeCell ref="V9:X9"/>
    <mergeCell ref="Y9:AA9"/>
    <mergeCell ref="AB9:AD9"/>
    <mergeCell ref="AE9:AG9"/>
    <mergeCell ref="AH9:AJ9"/>
    <mergeCell ref="AK9:AM9"/>
    <mergeCell ref="BB7:BB8"/>
    <mergeCell ref="BC7:BC8"/>
    <mergeCell ref="A9:A10"/>
    <mergeCell ref="B9:B10"/>
    <mergeCell ref="D9:F9"/>
    <mergeCell ref="G9:I9"/>
    <mergeCell ref="J9:L10"/>
    <mergeCell ref="M9:O9"/>
    <mergeCell ref="P9:R9"/>
    <mergeCell ref="S9:U9"/>
    <mergeCell ref="AK7:AM7"/>
    <mergeCell ref="AN7:AP7"/>
    <mergeCell ref="AQ7:AS7"/>
    <mergeCell ref="AT7:AV7"/>
    <mergeCell ref="AW7:AY7"/>
    <mergeCell ref="AZ7:BA8"/>
    <mergeCell ref="S7:U7"/>
    <mergeCell ref="V7:X7"/>
    <mergeCell ref="Y7:AA7"/>
    <mergeCell ref="AB7:AD7"/>
    <mergeCell ref="AE7:AG7"/>
    <mergeCell ref="AH7:AJ7"/>
    <mergeCell ref="AZ5:BA6"/>
    <mergeCell ref="BB5:BB6"/>
    <mergeCell ref="BC5:BC6"/>
    <mergeCell ref="A7:A8"/>
    <mergeCell ref="B7:B8"/>
    <mergeCell ref="D7:F7"/>
    <mergeCell ref="G7:I8"/>
    <mergeCell ref="J7:L7"/>
    <mergeCell ref="M7:O7"/>
    <mergeCell ref="P7:R7"/>
    <mergeCell ref="AH5:AJ5"/>
    <mergeCell ref="AK5:AM5"/>
    <mergeCell ref="AN5:AP5"/>
    <mergeCell ref="AQ5:AS5"/>
    <mergeCell ref="AT5:AV5"/>
    <mergeCell ref="AW5:AY5"/>
    <mergeCell ref="P5:R5"/>
    <mergeCell ref="S5:U5"/>
    <mergeCell ref="V5:X5"/>
    <mergeCell ref="Y5:AA5"/>
    <mergeCell ref="AB5:AD5"/>
    <mergeCell ref="AE5:AG5"/>
    <mergeCell ref="A5:A6"/>
    <mergeCell ref="B5:B6"/>
    <mergeCell ref="D5:F6"/>
    <mergeCell ref="G5:I5"/>
    <mergeCell ref="J5:L5"/>
    <mergeCell ref="M5:O5"/>
    <mergeCell ref="AK4:AM4"/>
    <mergeCell ref="AN4:AP4"/>
    <mergeCell ref="AQ4:AS4"/>
    <mergeCell ref="AT4:AV4"/>
    <mergeCell ref="AW4:AY4"/>
    <mergeCell ref="AZ4:BA4"/>
    <mergeCell ref="S4:U4"/>
    <mergeCell ref="V4:X4"/>
    <mergeCell ref="Y4:AA4"/>
    <mergeCell ref="AB4:AD4"/>
    <mergeCell ref="AE4:AG4"/>
    <mergeCell ref="AH4:AJ4"/>
    <mergeCell ref="A1:BA1"/>
    <mergeCell ref="C2:F2"/>
    <mergeCell ref="I2:AH2"/>
    <mergeCell ref="AK2:BB2"/>
    <mergeCell ref="D3:O3"/>
    <mergeCell ref="D4:F4"/>
    <mergeCell ref="G4:I4"/>
    <mergeCell ref="J4:L4"/>
    <mergeCell ref="M4:O4"/>
    <mergeCell ref="P4:R4"/>
  </mergeCells>
  <conditionalFormatting sqref="BC5:BC36">
    <cfRule type="duplicateValues" dxfId="12" priority="1"/>
    <cfRule type="duplicateValues" dxfId="11" priority="2"/>
    <cfRule type="duplicateValues" dxfId="10" priority="3"/>
  </conditionalFormatting>
  <pageMargins left="0.51181102362204722" right="0.51181102362204722" top="0.74803149606299213" bottom="0.74803149606299213" header="0.31496062992125984" footer="0.31496062992125984"/>
  <pageSetup paperSize="9" scale="79" orientation="landscape" r:id="rId1"/>
  <colBreaks count="1" manualBreakCount="1">
    <brk id="55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T38"/>
  <sheetViews>
    <sheetView view="pageBreakPreview" zoomScale="90" zoomScaleNormal="80" zoomScaleSheetLayoutView="90" workbookViewId="0">
      <selection activeCell="AZ7" sqref="AZ7:BA8"/>
    </sheetView>
  </sheetViews>
  <sheetFormatPr defaultRowHeight="15" outlineLevelCol="1" x14ac:dyDescent="0.25"/>
  <cols>
    <col min="1" max="1" width="4.83203125" style="128" customWidth="1"/>
    <col min="2" max="2" width="4.83203125" style="128" hidden="1" customWidth="1" outlineLevel="1"/>
    <col min="3" max="3" width="29.6640625" style="128" customWidth="1" collapsed="1"/>
    <col min="4" max="51" width="2.6640625" style="128" customWidth="1"/>
    <col min="52" max="52" width="5.33203125" style="128" customWidth="1"/>
    <col min="53" max="53" width="4.6640625" style="128" customWidth="1"/>
    <col min="54" max="54" width="9.1640625" style="128" customWidth="1"/>
    <col min="55" max="55" width="8.33203125" style="128" customWidth="1"/>
    <col min="56" max="56" width="8.1640625" style="128" customWidth="1"/>
    <col min="57" max="16384" width="9.33203125" style="128"/>
  </cols>
  <sheetData>
    <row r="1" spans="1:98" ht="18.75" x14ac:dyDescent="0.25">
      <c r="A1" s="1218" t="str">
        <f>'Списки участников'!A1</f>
        <v xml:space="preserve">X Спартакиада
среди предприятий Нижегородской области ФСК "Профсоюзов",
под девизом "Будь спортивным - будь успешным!"
</v>
      </c>
      <c r="B1" s="1256"/>
      <c r="C1" s="1256"/>
      <c r="D1" s="1256"/>
      <c r="E1" s="1256"/>
      <c r="F1" s="1256"/>
      <c r="G1" s="1256"/>
      <c r="H1" s="1256"/>
      <c r="I1" s="1256"/>
      <c r="J1" s="1256"/>
      <c r="K1" s="1256"/>
      <c r="L1" s="1256"/>
      <c r="M1" s="1256"/>
      <c r="N1" s="1256"/>
      <c r="O1" s="1256"/>
      <c r="P1" s="1256"/>
      <c r="Q1" s="1256"/>
      <c r="R1" s="1256"/>
      <c r="S1" s="1256"/>
      <c r="T1" s="1256"/>
      <c r="U1" s="1256"/>
      <c r="V1" s="1256"/>
      <c r="W1" s="1256"/>
      <c r="X1" s="1256"/>
      <c r="Y1" s="1256"/>
      <c r="Z1" s="1256"/>
      <c r="AA1" s="1256"/>
      <c r="AB1" s="1256"/>
      <c r="AC1" s="1256"/>
      <c r="AD1" s="1256"/>
      <c r="AE1" s="1256"/>
      <c r="AF1" s="1256"/>
      <c r="AG1" s="1256"/>
      <c r="AH1" s="1256"/>
      <c r="AI1" s="1256"/>
      <c r="AJ1" s="1256"/>
      <c r="AK1" s="1256"/>
      <c r="AL1" s="1256"/>
      <c r="AM1" s="1256"/>
      <c r="AN1" s="1256"/>
      <c r="AO1" s="1256"/>
      <c r="AP1" s="1256"/>
      <c r="AQ1" s="1256"/>
      <c r="AR1" s="1256"/>
      <c r="AS1" s="1256"/>
      <c r="AT1" s="1256"/>
      <c r="AU1" s="1256"/>
      <c r="AV1" s="1256"/>
      <c r="AW1" s="1256"/>
      <c r="AX1" s="1256"/>
      <c r="AY1" s="1256"/>
      <c r="AZ1" s="1256"/>
      <c r="BA1" s="1256"/>
    </row>
    <row r="2" spans="1:98" ht="18.75" x14ac:dyDescent="0.25">
      <c r="C2" s="1216" t="str">
        <f>'Списки участников'!C3</f>
        <v>22 октября 2016 г.</v>
      </c>
      <c r="D2" s="1216"/>
      <c r="E2" s="1216"/>
      <c r="F2" s="1216"/>
      <c r="G2" s="917"/>
      <c r="H2" s="917"/>
      <c r="I2" s="1218" t="str">
        <f>'Списки участников'!A2</f>
        <v>Соревнования по настольному теннису</v>
      </c>
      <c r="J2" s="1219"/>
      <c r="K2" s="1219"/>
      <c r="L2" s="1219"/>
      <c r="M2" s="1219"/>
      <c r="N2" s="1219"/>
      <c r="O2" s="1219"/>
      <c r="P2" s="1219"/>
      <c r="Q2" s="1219"/>
      <c r="R2" s="1219"/>
      <c r="S2" s="1219"/>
      <c r="T2" s="1219"/>
      <c r="U2" s="1219"/>
      <c r="V2" s="1219"/>
      <c r="W2" s="1219"/>
      <c r="X2" s="1219"/>
      <c r="Y2" s="1219"/>
      <c r="Z2" s="1219"/>
      <c r="AA2" s="1219"/>
      <c r="AB2" s="1219"/>
      <c r="AC2" s="1219"/>
      <c r="AD2" s="1219"/>
      <c r="AE2" s="1219"/>
      <c r="AF2" s="1219"/>
      <c r="AG2" s="1219"/>
      <c r="AH2" s="1219"/>
      <c r="AI2" s="917"/>
      <c r="AJ2" s="917"/>
      <c r="AK2" s="1217">
        <f>'Списки участников'!H3</f>
        <v>0</v>
      </c>
      <c r="AL2" s="1217"/>
      <c r="AM2" s="1217"/>
      <c r="AN2" s="1217"/>
      <c r="AO2" s="1217"/>
      <c r="AP2" s="1217"/>
      <c r="AQ2" s="1217"/>
      <c r="AR2" s="1217"/>
      <c r="AS2" s="1217"/>
      <c r="AT2" s="1217"/>
      <c r="AU2" s="1217"/>
      <c r="AV2" s="1217"/>
      <c r="AW2" s="1217"/>
      <c r="AX2" s="1217"/>
      <c r="AY2" s="1217"/>
      <c r="AZ2" s="1217"/>
      <c r="BA2" s="1217"/>
      <c r="BB2" s="1217"/>
    </row>
    <row r="3" spans="1:98" ht="18.75" x14ac:dyDescent="0.3">
      <c r="C3" s="919" t="s">
        <v>1046</v>
      </c>
      <c r="D3" s="1214">
        <f>'Списки участников'!D6</f>
        <v>0</v>
      </c>
      <c r="E3" s="1215"/>
      <c r="F3" s="1215"/>
      <c r="G3" s="1215"/>
      <c r="H3" s="1215"/>
      <c r="I3" s="1215"/>
      <c r="J3" s="1215"/>
      <c r="K3" s="1215"/>
      <c r="L3" s="1215"/>
      <c r="M3" s="1215"/>
      <c r="N3" s="1215"/>
      <c r="O3" s="1215"/>
    </row>
    <row r="4" spans="1:98" x14ac:dyDescent="0.25">
      <c r="A4" s="129" t="s">
        <v>3</v>
      </c>
      <c r="B4" s="916"/>
      <c r="C4" s="131" t="s">
        <v>757</v>
      </c>
      <c r="D4" s="1211">
        <v>1</v>
      </c>
      <c r="E4" s="1212"/>
      <c r="F4" s="1213"/>
      <c r="G4" s="1211">
        <v>2</v>
      </c>
      <c r="H4" s="1212"/>
      <c r="I4" s="1213"/>
      <c r="J4" s="1211">
        <v>3</v>
      </c>
      <c r="K4" s="1212"/>
      <c r="L4" s="1213"/>
      <c r="M4" s="1211">
        <v>4</v>
      </c>
      <c r="N4" s="1212"/>
      <c r="O4" s="1213"/>
      <c r="P4" s="1211">
        <v>5</v>
      </c>
      <c r="Q4" s="1212"/>
      <c r="R4" s="1213"/>
      <c r="S4" s="1211">
        <v>6</v>
      </c>
      <c r="T4" s="1212"/>
      <c r="U4" s="1213"/>
      <c r="V4" s="1211">
        <v>7</v>
      </c>
      <c r="W4" s="1212"/>
      <c r="X4" s="1213"/>
      <c r="Y4" s="1211">
        <v>8</v>
      </c>
      <c r="Z4" s="1212"/>
      <c r="AA4" s="1213"/>
      <c r="AB4" s="1211">
        <v>9</v>
      </c>
      <c r="AC4" s="1212"/>
      <c r="AD4" s="1213"/>
      <c r="AE4" s="1211">
        <v>10</v>
      </c>
      <c r="AF4" s="1212"/>
      <c r="AG4" s="1213"/>
      <c r="AH4" s="1211">
        <v>11</v>
      </c>
      <c r="AI4" s="1212"/>
      <c r="AJ4" s="1213"/>
      <c r="AK4" s="1211">
        <v>12</v>
      </c>
      <c r="AL4" s="1212"/>
      <c r="AM4" s="1213"/>
      <c r="AN4" s="1211">
        <v>13</v>
      </c>
      <c r="AO4" s="1212"/>
      <c r="AP4" s="1213"/>
      <c r="AQ4" s="1211">
        <v>14</v>
      </c>
      <c r="AR4" s="1212"/>
      <c r="AS4" s="1213"/>
      <c r="AT4" s="1211">
        <v>15</v>
      </c>
      <c r="AU4" s="1212"/>
      <c r="AV4" s="1213"/>
      <c r="AW4" s="1211">
        <v>16</v>
      </c>
      <c r="AX4" s="1212"/>
      <c r="AY4" s="1213"/>
      <c r="AZ4" s="1211" t="s">
        <v>758</v>
      </c>
      <c r="BA4" s="1213"/>
      <c r="BB4" s="918" t="s">
        <v>759</v>
      </c>
      <c r="BC4" s="132" t="s">
        <v>100</v>
      </c>
      <c r="BE4" s="903"/>
    </row>
    <row r="5" spans="1:98" ht="15.75" customHeight="1" x14ac:dyDescent="0.25">
      <c r="A5" s="1175">
        <v>1</v>
      </c>
      <c r="B5" s="1237"/>
      <c r="C5" s="133" t="str">
        <f>IF(B5="","",VLOOKUP(B5,'Списки участников'!A:H,3,FALSE))</f>
        <v/>
      </c>
      <c r="D5" s="1246"/>
      <c r="E5" s="1246"/>
      <c r="F5" s="1247"/>
      <c r="G5" s="1234" t="str">
        <f>IF('св.прот 4ф'!H117="","",IF(G6="L",0,IF(G6&gt;I6,2,1)))</f>
        <v/>
      </c>
      <c r="H5" s="1235"/>
      <c r="I5" s="1236"/>
      <c r="J5" s="1234" t="str">
        <f>IF('св.прот 4ф'!H109="","",IF(J6="L",0,IF(J6&gt;L6,2,1)))</f>
        <v/>
      </c>
      <c r="K5" s="1235"/>
      <c r="L5" s="1236"/>
      <c r="M5" s="1234" t="str">
        <f>IF('св.прот 4ф'!H101="","",IF(M6="L",0,IF(M6&gt;O6,2,1)))</f>
        <v/>
      </c>
      <c r="N5" s="1235"/>
      <c r="O5" s="1236"/>
      <c r="P5" s="1234" t="str">
        <f>IF('св.прот 4ф'!H93="","",IF(P6="L",0,IF(P6&gt;R6,2,1)))</f>
        <v/>
      </c>
      <c r="Q5" s="1235"/>
      <c r="R5" s="1236"/>
      <c r="S5" s="1234" t="str">
        <f>IF('св.прот 4ф'!H85="","",IF(S6="L",0,IF(S6&gt;U6,2,1)))</f>
        <v/>
      </c>
      <c r="T5" s="1235"/>
      <c r="U5" s="1236"/>
      <c r="V5" s="1234" t="str">
        <f>IF('св.прот 4ф'!H77="","",IF(V6="L",0,IF(V6&gt;X6,2,1)))</f>
        <v/>
      </c>
      <c r="W5" s="1235"/>
      <c r="X5" s="1236"/>
      <c r="Y5" s="1234" t="str">
        <f>IF('св.прот 4ф'!H69="","",IF(Y6="L",0,IF(Y6&gt;AA6,2,1)))</f>
        <v/>
      </c>
      <c r="Z5" s="1235"/>
      <c r="AA5" s="1236"/>
      <c r="AB5" s="1234" t="str">
        <f>IF('св.прот 4ф'!H61="","",IF(AB6="L",0,IF(AB6&gt;AD6,2,1)))</f>
        <v/>
      </c>
      <c r="AC5" s="1235"/>
      <c r="AD5" s="1236"/>
      <c r="AE5" s="1234" t="str">
        <f>IF('св.прот 4ф'!H53="","",IF(AE6="L",0,IF(AE6&gt;AG6,2,1)))</f>
        <v/>
      </c>
      <c r="AF5" s="1235"/>
      <c r="AG5" s="1236"/>
      <c r="AH5" s="1234" t="str">
        <f>IF('св.прот 4ф'!H45="","",IF(AH6="L",0,IF(AH6&gt;AJ6,2,1)))</f>
        <v/>
      </c>
      <c r="AI5" s="1235"/>
      <c r="AJ5" s="1236"/>
      <c r="AK5" s="1234" t="str">
        <f>IF('св.прот 4ф'!H37="","",IF(AK6="L",0,IF(AK6&gt;AM6,2,1)))</f>
        <v/>
      </c>
      <c r="AL5" s="1235"/>
      <c r="AM5" s="1236"/>
      <c r="AN5" s="1234" t="str">
        <f>IF('св.прот 4ф'!H29="","",IF(AN6="L",0,IF(AN6&gt;AP6,2,1)))</f>
        <v/>
      </c>
      <c r="AO5" s="1235"/>
      <c r="AP5" s="1236"/>
      <c r="AQ5" s="1234" t="str">
        <f>IF('св.прот 4ф'!H21="","",IF(AQ6="L",0,IF(AQ6&gt;AS6,2,1)))</f>
        <v/>
      </c>
      <c r="AR5" s="1235"/>
      <c r="AS5" s="1236"/>
      <c r="AT5" s="1234" t="str">
        <f>IF('св.прот 4ф'!H13="","",IF(AT6="L",0,IF(AT6&gt;AV6,2,1)))</f>
        <v/>
      </c>
      <c r="AU5" s="1235"/>
      <c r="AV5" s="1236"/>
      <c r="AW5" s="1234" t="str">
        <f>IF('св.прот 4ф'!H5="","",IF(AW6="L",0,IF(AW6&gt;AY6,2,1)))</f>
        <v/>
      </c>
      <c r="AX5" s="1235"/>
      <c r="AY5" s="1236"/>
      <c r="AZ5" s="1242" t="str">
        <f>IF(B5="","",SUM(G5,J5,M5,P5,S5,V5,Y5,AB5,AE5,AH5,AK5,AN5,AQ5,AT5,AW5,D5))</f>
        <v/>
      </c>
      <c r="BA5" s="1243"/>
      <c r="BB5" s="1220"/>
      <c r="BC5" s="1222" t="str">
        <f>IF(B5="","",RANK(AZ5,Ф4Оч)+48)</f>
        <v/>
      </c>
      <c r="BD5" s="128" t="str">
        <f>IF('св.прот 4ф'!BE117="","",IF(BD6="L",0,IF(BD6&gt;BF6,2,1)))</f>
        <v/>
      </c>
      <c r="BG5" s="128" t="str">
        <f>IF('св.прот 4ф'!BE109="","",IF(BG6="L",0,IF(BG6&gt;BI6,2,1)))</f>
        <v/>
      </c>
      <c r="BJ5" s="128" t="str">
        <f>IF('св.прот 4ф'!BE101="","",IF(BJ6="L",0,IF(BJ6&gt;BL6,2,1)))</f>
        <v/>
      </c>
      <c r="BM5" s="128" t="str">
        <f>IF('св.прот 4ф'!BE93="","",IF(BM6="L",0,IF(BM6&gt;BO6,2,1)))</f>
        <v/>
      </c>
      <c r="BP5" s="128" t="str">
        <f>IF('св.прот 4ф'!BE85="","",IF(BP6="L",0,IF(BP6&gt;BR6,2,1)))</f>
        <v/>
      </c>
      <c r="BS5" s="128" t="str">
        <f>IF('св.прот 4ф'!BE77="","",IF(BS6="L",0,IF(BS6&gt;BU6,2,1)))</f>
        <v/>
      </c>
      <c r="BV5" s="128" t="str">
        <f>IF('св.прот 4ф'!BE69="","",IF(BV6="L",0,IF(BV6&gt;BX6,2,1)))</f>
        <v/>
      </c>
      <c r="BY5" s="128" t="str">
        <f>IF('св.прот 4ф'!BE61="","",IF(BY6="L",0,IF(BY6&gt;CA6,2,1)))</f>
        <v/>
      </c>
      <c r="CB5" s="128" t="str">
        <f>IF('св.прот 4ф'!BE53="","",IF(CB6="L",0,IF(CB6&gt;CD6,2,1)))</f>
        <v/>
      </c>
      <c r="CE5" s="128" t="str">
        <f>IF('св.прот 4ф'!BE45="","",IF(CE6="L",0,IF(CE6&gt;CG6,2,1)))</f>
        <v/>
      </c>
      <c r="CH5" s="128" t="str">
        <f>IF('св.прот 4ф'!BE37="","",IF(CH6="L",0,IF(CH6&gt;CJ6,2,1)))</f>
        <v/>
      </c>
      <c r="CK5" s="128" t="str">
        <f>IF('св.прот 4ф'!BE29="","",IF(CK6="L",0,IF(CK6&gt;CM6,2,1)))</f>
        <v/>
      </c>
      <c r="CN5" s="128" t="str">
        <f>IF('св.прот 4ф'!BE21="","",IF(CN6="L",0,IF(CN6&gt;CP6,2,1)))</f>
        <v/>
      </c>
      <c r="CQ5" s="128" t="str">
        <f>IF('св.прот 4ф'!BE13="","",IF(CQ6="L",0,IF(CQ6&gt;CS6,2,1)))</f>
        <v/>
      </c>
      <c r="CT5" s="128" t="str">
        <f>IF('св.прот 4ф'!BE5="","",IF(CT6="L",0,IF(CT6&gt;CV6,2,1)))</f>
        <v/>
      </c>
    </row>
    <row r="6" spans="1:98" ht="15.75" customHeight="1" x14ac:dyDescent="0.25">
      <c r="A6" s="1176"/>
      <c r="B6" s="1238"/>
      <c r="C6" s="134" t="str">
        <f>IF(B5="","",VLOOKUP(B5,'Списки участников'!A:H,6,FALSE))</f>
        <v/>
      </c>
      <c r="D6" s="1232"/>
      <c r="E6" s="1232"/>
      <c r="F6" s="1233"/>
      <c r="G6" s="135" t="str">
        <f>IF('св.прот 4ф'!H117="","",IF('св.прот 4ф'!D117='св.прот 4ф'!H117,'св.прот 4ф'!O117,'св.прот 4ф'!P117))</f>
        <v/>
      </c>
      <c r="H6" s="136" t="str">
        <f>IF(G5="","",":")</f>
        <v/>
      </c>
      <c r="I6" s="137" t="str">
        <f>IF('св.прот 4ф'!H117="","",IF('св.прот 4ф'!D117='св.прот 4ф'!H117,'св.прот 4ф'!P117,'св.прот 4ф'!O117))</f>
        <v/>
      </c>
      <c r="J6" s="135" t="str">
        <f>IF('св.прот 4ф'!H109="","",IF('св.прот 4ф'!D109='св.прот 4ф'!H109,'св.прот 4ф'!O109,'св.прот 4ф'!P109))</f>
        <v/>
      </c>
      <c r="K6" s="136" t="str">
        <f>IF(J5="","",":")</f>
        <v/>
      </c>
      <c r="L6" s="137" t="str">
        <f>IF('св.прот 4ф'!H109="","",IF('св.прот 4ф'!D109='св.прот 4ф'!H109,'св.прот 4ф'!P109,'св.прот 4ф'!O109))</f>
        <v/>
      </c>
      <c r="M6" s="135" t="str">
        <f>IF('св.прот 4ф'!H101="","",IF('св.прот 4ф'!D101='св.прот 4ф'!H101,'св.прот 4ф'!O101,'св.прот 4ф'!P101))</f>
        <v/>
      </c>
      <c r="N6" s="136" t="str">
        <f>IF(M5="","",":")</f>
        <v/>
      </c>
      <c r="O6" s="137" t="str">
        <f>IF('св.прот 4ф'!H101="","",IF('св.прот 4ф'!D101='св.прот 4ф'!H101,'св.прот 4ф'!P101,'св.прот 4ф'!O101))</f>
        <v/>
      </c>
      <c r="P6" s="135" t="str">
        <f>IF('св.прот 4ф'!H93="","",IF('св.прот 4ф'!D93='св.прот 4ф'!H93,'св.прот 4ф'!O93,'св.прот 4ф'!P93))</f>
        <v/>
      </c>
      <c r="Q6" s="136" t="str">
        <f>IF(P5="","",":")</f>
        <v/>
      </c>
      <c r="R6" s="137" t="str">
        <f>IF('св.прот 4ф'!H93="","",IF('св.прот 4ф'!D93='св.прот 4ф'!H93,'св.прот 4ф'!P93,'св.прот 4ф'!O93))</f>
        <v/>
      </c>
      <c r="S6" s="135" t="str">
        <f>IF('св.прот 4ф'!H85="","",IF('св.прот 4ф'!D85='св.прот 4ф'!H85,'св.прот 4ф'!O85,'св.прот 4ф'!P85))</f>
        <v/>
      </c>
      <c r="T6" s="136" t="str">
        <f>IF(S5="","",":")</f>
        <v/>
      </c>
      <c r="U6" s="137" t="str">
        <f>IF('св.прот 4ф'!H85="","",IF('св.прот 4ф'!D85='св.прот 4ф'!H85,'св.прот 4ф'!P85,'св.прот 4ф'!O85))</f>
        <v/>
      </c>
      <c r="V6" s="135" t="str">
        <f>IF('св.прот 4ф'!H77="","",IF('св.прот 4ф'!D77='св.прот 4ф'!H77,'св.прот 4ф'!O77,'св.прот 4ф'!P77))</f>
        <v/>
      </c>
      <c r="W6" s="136" t="str">
        <f>IF(V5="","",":")</f>
        <v/>
      </c>
      <c r="X6" s="137" t="str">
        <f>IF('св.прот 4ф'!H77="","",IF('св.прот 4ф'!D77='св.прот 4ф'!H77,'св.прот 4ф'!P77,'св.прот 4ф'!O77))</f>
        <v/>
      </c>
      <c r="Y6" s="135" t="str">
        <f>IF('св.прот 4ф'!H69="","",IF('св.прот 4ф'!D69='св.прот 4ф'!H69,'св.прот 4ф'!O69,'св.прот 4ф'!P69))</f>
        <v/>
      </c>
      <c r="Z6" s="136" t="str">
        <f>IF(Y5="","",":")</f>
        <v/>
      </c>
      <c r="AA6" s="137" t="str">
        <f>IF('св.прот 4ф'!H69="","",IF('св.прот 4ф'!D69='св.прот 4ф'!H69,'св.прот 4ф'!P69,'св.прот 4ф'!O69))</f>
        <v/>
      </c>
      <c r="AB6" s="135" t="str">
        <f>IF('св.прот 4ф'!H61="","",IF('св.прот 4ф'!D61='св.прот 4ф'!H61,'св.прот 4ф'!O61,'св.прот 4ф'!P61))</f>
        <v/>
      </c>
      <c r="AC6" s="136" t="str">
        <f>IF(AB5="","",":")</f>
        <v/>
      </c>
      <c r="AD6" s="137" t="str">
        <f>IF('св.прот 4ф'!H61="","",IF('св.прот 4ф'!D61='св.прот 4ф'!H61,'св.прот 4ф'!P61,'св.прот 4ф'!O61))</f>
        <v/>
      </c>
      <c r="AE6" s="135" t="str">
        <f>IF('св.прот 4ф'!H53="","",IF('св.прот 4ф'!D53='св.прот 4ф'!H53,'св.прот 4ф'!O53,'св.прот 4ф'!P53))</f>
        <v/>
      </c>
      <c r="AF6" s="136" t="str">
        <f>IF(AE5="","",":")</f>
        <v/>
      </c>
      <c r="AG6" s="137" t="str">
        <f>IF('св.прот 4ф'!H53="","",IF('св.прот 4ф'!D53='св.прот 4ф'!H53,'св.прот 4ф'!P53,'св.прот 4ф'!O53))</f>
        <v/>
      </c>
      <c r="AH6" s="135" t="str">
        <f>IF('св.прот 4ф'!H45="","",IF('св.прот 4ф'!D45='св.прот 4ф'!H45,'св.прот 4ф'!O45,'св.прот 4ф'!P45))</f>
        <v/>
      </c>
      <c r="AI6" s="136" t="str">
        <f>IF(AH5="","",":")</f>
        <v/>
      </c>
      <c r="AJ6" s="137" t="str">
        <f>IF('св.прот 4ф'!H45="","",IF('св.прот 4ф'!D45='св.прот 4ф'!H45,'св.прот 4ф'!P45,'св.прот 4ф'!O45))</f>
        <v/>
      </c>
      <c r="AK6" s="135" t="str">
        <f>IF('св.прот 4ф'!H37="","",IF('св.прот 4ф'!D37='св.прот 4ф'!H37,'св.прот 4ф'!O37,'св.прот 4ф'!P37))</f>
        <v/>
      </c>
      <c r="AL6" s="136" t="str">
        <f>IF(AK5="","",":")</f>
        <v/>
      </c>
      <c r="AM6" s="137" t="str">
        <f>IF('св.прот 4ф'!H37="","",IF('св.прот 4ф'!D37='св.прот 4ф'!H37,'св.прот 4ф'!P37,'св.прот 4ф'!O37))</f>
        <v/>
      </c>
      <c r="AN6" s="135" t="str">
        <f>IF('св.прот 4ф'!H29="","",IF('св.прот 4ф'!D29='св.прот 4ф'!H29,'св.прот 4ф'!O29,'св.прот 4ф'!P29))</f>
        <v/>
      </c>
      <c r="AO6" s="136" t="str">
        <f>IF(AN5="","",":")</f>
        <v/>
      </c>
      <c r="AP6" s="137" t="str">
        <f>IF('св.прот 4ф'!H29="","",IF('св.прот 4ф'!D29='св.прот 4ф'!H29,'св.прот 4ф'!P29,'св.прот 4ф'!O29))</f>
        <v/>
      </c>
      <c r="AQ6" s="135" t="str">
        <f>IF('св.прот 4ф'!H21="","",IF('св.прот 4ф'!D21='св.прот 4ф'!H21,'св.прот 4ф'!O21,'св.прот 4ф'!P21))</f>
        <v/>
      </c>
      <c r="AR6" s="136" t="str">
        <f>IF(AQ5="","",":")</f>
        <v/>
      </c>
      <c r="AS6" s="137" t="str">
        <f>IF('св.прот 4ф'!H21="","",IF('св.прот 4ф'!D21='св.прот 4ф'!H21,'св.прот 4ф'!P21,'св.прот 4ф'!O21))</f>
        <v/>
      </c>
      <c r="AT6" s="135" t="str">
        <f>IF('св.прот 4ф'!H13="","",IF('св.прот 4ф'!D13='св.прот 4ф'!H13,'св.прот 4ф'!O13,'св.прот 4ф'!P13))</f>
        <v/>
      </c>
      <c r="AU6" s="136" t="str">
        <f>IF(AT5="","",":")</f>
        <v/>
      </c>
      <c r="AV6" s="137" t="str">
        <f>IF('св.прот 4ф'!H13="","",IF('св.прот 4ф'!D13='св.прот 4ф'!H13,'св.прот 4ф'!P13,'св.прот 4ф'!O13))</f>
        <v/>
      </c>
      <c r="AW6" s="135" t="str">
        <f>IF('св.прот 4ф'!H5="","",IF('св.прот 4ф'!D5='св.прот 4ф'!H5,'св.прот 4ф'!O5,'св.прот 4ф'!P5))</f>
        <v/>
      </c>
      <c r="AX6" s="136" t="str">
        <f>IF(AW5="","",":")</f>
        <v/>
      </c>
      <c r="AY6" s="137" t="str">
        <f>IF('св.прот 4ф'!H5="","",IF('св.прот 4ф'!D5='св.прот 4ф'!H5,'св.прот 4ф'!P5,'св.прот 4ф'!O5))</f>
        <v/>
      </c>
      <c r="AZ6" s="1244"/>
      <c r="BA6" s="1245"/>
      <c r="BB6" s="1221"/>
      <c r="BC6" s="1222"/>
      <c r="BG6" s="128" t="str">
        <f>IF('св.прот 4ф'!BE110="","",IF(BG7="L",0,IF(BG7&gt;BI7,2,1)))</f>
        <v/>
      </c>
      <c r="BJ6" s="128" t="str">
        <f>IF('св.прот 4ф'!BE102="","",IF(BJ7="L",0,IF(BJ7&gt;BL7,2,1)))</f>
        <v/>
      </c>
      <c r="BM6" s="128" t="str">
        <f>IF('св.прот 4ф'!BE94="","",IF(BM7="L",0,IF(BM7&gt;BO7,2,1)))</f>
        <v/>
      </c>
      <c r="BP6" s="128" t="str">
        <f>IF('св.прот 4ф'!BE86="","",IF(BP7="L",0,IF(BP7&gt;BR7,2,1)))</f>
        <v/>
      </c>
      <c r="BS6" s="128" t="str">
        <f>IF('св.прот 4ф'!BE78="","",IF(BS7="L",0,IF(BS7&gt;BU7,2,1)))</f>
        <v/>
      </c>
    </row>
    <row r="7" spans="1:98" ht="15.75" customHeight="1" x14ac:dyDescent="0.25">
      <c r="A7" s="1175">
        <v>2</v>
      </c>
      <c r="B7" s="1223"/>
      <c r="C7" s="133" t="str">
        <f>IF(B7="","",VLOOKUP(B7,'Списки участников'!A:H,3,FALSE))</f>
        <v/>
      </c>
      <c r="D7" s="1225" t="str">
        <f>IF(G5="","",IF(G6="W",0,IF(G5=2,1,IF(G5=1,2,IF(G5=0,2)))))</f>
        <v/>
      </c>
      <c r="E7" s="1226"/>
      <c r="F7" s="1227"/>
      <c r="G7" s="1228"/>
      <c r="H7" s="1229"/>
      <c r="I7" s="1230"/>
      <c r="J7" s="1234" t="str">
        <f>IF('св.прот 4ф'!H60="","",IF(J8="L",0,IF(J8&gt;L8,2,1)))</f>
        <v/>
      </c>
      <c r="K7" s="1235"/>
      <c r="L7" s="1236"/>
      <c r="M7" s="1234" t="str">
        <f>IF('св.прот 4ф'!H110="","",IF(M8="L",0,IF(M8&gt;O8,2,1)))</f>
        <v/>
      </c>
      <c r="N7" s="1235"/>
      <c r="O7" s="1236"/>
      <c r="P7" s="1234" t="str">
        <f>IF('св.прот 4ф'!H51="","",IF(P8="L",0,IF(P8&gt;R8,2,1)))</f>
        <v/>
      </c>
      <c r="Q7" s="1235"/>
      <c r="R7" s="1236"/>
      <c r="S7" s="1234" t="str">
        <f>IF('св.прот 4ф'!H103="","",IF(S8="L",0,IF(S8&gt;U8,2,1)))</f>
        <v/>
      </c>
      <c r="T7" s="1235"/>
      <c r="U7" s="1236"/>
      <c r="V7" s="1234" t="str">
        <f>IF('св.прот 4ф'!H42="","",IF(V8="L",0,IF(V8&gt;X8,2,1)))</f>
        <v/>
      </c>
      <c r="W7" s="1235"/>
      <c r="X7" s="1236"/>
      <c r="Y7" s="1234" t="str">
        <f>IF('св.прот 4ф'!H96="","",IF(Y8="L",0,IF(Y8&gt;AA8,2,1)))</f>
        <v/>
      </c>
      <c r="Z7" s="1235"/>
      <c r="AA7" s="1236"/>
      <c r="AB7" s="1234" t="str">
        <f>IF('св.прот 4ф'!H33="","",IF(AB8="L",0,IF(AB8&gt;AD8,2,1)))</f>
        <v/>
      </c>
      <c r="AC7" s="1235"/>
      <c r="AD7" s="1236"/>
      <c r="AE7" s="1234" t="str">
        <f>IF('св.прот 4ф'!H89="","",IF(AE8="L",0,IF(AE8&gt;AG8,2,1)))</f>
        <v/>
      </c>
      <c r="AF7" s="1235"/>
      <c r="AG7" s="1236"/>
      <c r="AH7" s="1234" t="str">
        <f>IF('св.прот 4ф'!H24="","",IF(AH8="L",0,IF(AH8&gt;AJ8,2,1)))</f>
        <v/>
      </c>
      <c r="AI7" s="1235"/>
      <c r="AJ7" s="1236"/>
      <c r="AK7" s="1234" t="str">
        <f>IF('св.прот 4ф'!H82="","",IF(AK8="L",0,IF(AK8&gt;AM8,2,1)))</f>
        <v/>
      </c>
      <c r="AL7" s="1235"/>
      <c r="AM7" s="1236"/>
      <c r="AN7" s="1234" t="str">
        <f>IF('св.прот 4ф'!H15="","",IF(AN8="L",0,IF(AN8&gt;AP8,2,1)))</f>
        <v/>
      </c>
      <c r="AO7" s="1235"/>
      <c r="AP7" s="1236"/>
      <c r="AQ7" s="1234" t="str">
        <f>IF('св.прот 4ф'!H75="","",IF(AQ8="L",0,IF(AQ8&gt;AS8,2,1)))</f>
        <v/>
      </c>
      <c r="AR7" s="1235"/>
      <c r="AS7" s="1236"/>
      <c r="AT7" s="1234" t="str">
        <f>IF('св.прот 4ф'!H6="","",IF(AT8="L",0,IF(AT8&gt;AV8,2,1)))</f>
        <v/>
      </c>
      <c r="AU7" s="1235"/>
      <c r="AV7" s="1236"/>
      <c r="AW7" s="1234" t="str">
        <f>IF('св.прот 4ф'!H68="","",IF(AW8="L",0,IF(AW8&gt;AY8,2,1)))</f>
        <v/>
      </c>
      <c r="AX7" s="1235"/>
      <c r="AY7" s="1236"/>
      <c r="AZ7" s="1242" t="str">
        <f t="shared" ref="AZ7" si="0">IF(B7="","",SUM(G7,J7,M7,P7,S7,V7,Y7,AB7,AE7,AH7,AK7,AN7,AQ7,AT7,AW7,D7))</f>
        <v/>
      </c>
      <c r="BA7" s="1243"/>
      <c r="BB7" s="1220"/>
      <c r="BC7" s="1222" t="str">
        <f>IF(B7="","",RANK(AZ7,Ф4Оч)+48)</f>
        <v/>
      </c>
    </row>
    <row r="8" spans="1:98" ht="15.75" customHeight="1" x14ac:dyDescent="0.25">
      <c r="A8" s="1176"/>
      <c r="B8" s="1224"/>
      <c r="C8" s="134" t="str">
        <f>IF(B7="","",VLOOKUP(B7,'Списки участников'!A:H,6,FALSE))</f>
        <v/>
      </c>
      <c r="D8" s="138" t="str">
        <f>IF(G5="","",I6)</f>
        <v/>
      </c>
      <c r="E8" s="139" t="str">
        <f>IF(G5="","",":")</f>
        <v/>
      </c>
      <c r="F8" s="140" t="str">
        <f>IF(I6="","",G6)</f>
        <v/>
      </c>
      <c r="G8" s="1231"/>
      <c r="H8" s="1232"/>
      <c r="I8" s="1233"/>
      <c r="J8" s="926" t="str">
        <f>IF('св.прот 4ф'!H60="","",IF('св.прот 4ф'!D60='св.прот 4ф'!H60,'св.прот 4ф'!O60,'св.прот 4ф'!P60))</f>
        <v/>
      </c>
      <c r="K8" s="927" t="str">
        <f>IF(J7="","",":")</f>
        <v/>
      </c>
      <c r="L8" s="928" t="str">
        <f>IF('св.прот 4ф'!H60="","",IF('св.прот 4ф'!D60='св.прот 4ф'!H60,'св.прот 4ф'!P60,'св.прот 4ф'!O60))</f>
        <v/>
      </c>
      <c r="M8" s="926" t="str">
        <f>IF('св.прот 4ф'!H110="","",IF('св.прот 4ф'!D110='св.прот 4ф'!H110,'св.прот 4ф'!O110,'св.прот 4ф'!P110))</f>
        <v/>
      </c>
      <c r="N8" s="927" t="str">
        <f>IF(M7="","",":")</f>
        <v/>
      </c>
      <c r="O8" s="928" t="str">
        <f>IF('св.прот 4ф'!H110="","",IF('св.прот 4ф'!D110='св.прот 4ф'!H110,'св.прот 4ф'!P110,'св.прот 4ф'!O110))</f>
        <v/>
      </c>
      <c r="P8" s="926" t="str">
        <f>IF('св.прот 4ф'!H51="","",IF('св.прот 4ф'!D51='св.прот 4ф'!H51,'св.прот 4ф'!O51,'св.прот 4ф'!P51))</f>
        <v/>
      </c>
      <c r="Q8" s="927" t="str">
        <f>IF(P7="","",":")</f>
        <v/>
      </c>
      <c r="R8" s="928" t="str">
        <f>IF('св.прот 4ф'!H51="","",IF('св.прот 4ф'!D51='св.прот 4ф'!H51,'св.прот 4ф'!P51,'св.прот 4ф'!O51))</f>
        <v/>
      </c>
      <c r="S8" s="926" t="str">
        <f>IF('св.прот 4ф'!H103="","",IF('св.прот 4ф'!D103='св.прот 4ф'!H103,'св.прот 4ф'!O103,'св.прот 4ф'!P103))</f>
        <v/>
      </c>
      <c r="T8" s="927" t="str">
        <f>IF(S7="","",":")</f>
        <v/>
      </c>
      <c r="U8" s="928" t="str">
        <f>IF('св.прот 4ф'!H103="","",IF('св.прот 4ф'!D103='св.прот 4ф'!H103,'св.прот 4ф'!P103,'св.прот 4ф'!O103))</f>
        <v/>
      </c>
      <c r="V8" s="926" t="str">
        <f>IF('св.прот 4ф'!H42="","",IF('св.прот 4ф'!D42='св.прот 4ф'!H42,'св.прот 4ф'!O42,'св.прот 4ф'!P42))</f>
        <v/>
      </c>
      <c r="W8" s="927" t="str">
        <f>IF(V7="","",":")</f>
        <v/>
      </c>
      <c r="X8" s="928" t="str">
        <f>IF('св.прот 4ф'!H42="","",IF('св.прот 4ф'!D42='св.прот 4ф'!H42,'св.прот 4ф'!P42,'св.прот 4ф'!O42))</f>
        <v/>
      </c>
      <c r="Y8" s="926" t="str">
        <f>IF('св.прот 4ф'!H96="","",IF('св.прот 4ф'!D96='св.прот 4ф'!H96,'св.прот 4ф'!O96,'св.прот 4ф'!P96))</f>
        <v/>
      </c>
      <c r="Z8" s="927" t="str">
        <f>IF(Y7="","",":")</f>
        <v/>
      </c>
      <c r="AA8" s="928" t="str">
        <f>IF('св.прот 4ф'!H96="","",IF('св.прот 4ф'!D96='св.прот 4ф'!H96,'св.прот 4ф'!P96,'св.прот 4ф'!O96))</f>
        <v/>
      </c>
      <c r="AB8" s="926" t="str">
        <f>IF('св.прот 4ф'!H33="","",IF('св.прот 4ф'!D33='св.прот 4ф'!H33,'св.прот 4ф'!O33,'св.прот 4ф'!P33))</f>
        <v/>
      </c>
      <c r="AC8" s="927" t="str">
        <f>IF(AB7="","",":")</f>
        <v/>
      </c>
      <c r="AD8" s="928" t="str">
        <f>IF('св.прот 4ф'!H33="","",IF('св.прот 4ф'!D33='св.прот 4ф'!H33,'св.прот 4ф'!P33,'св.прот 4ф'!O33))</f>
        <v/>
      </c>
      <c r="AE8" s="926" t="str">
        <f>IF('св.прот 4ф'!H89="","",IF('св.прот 4ф'!D89='св.прот 4ф'!H89,'св.прот 4ф'!O89,'св.прот 4ф'!P89))</f>
        <v/>
      </c>
      <c r="AF8" s="927" t="str">
        <f>IF(AE7="","",":")</f>
        <v/>
      </c>
      <c r="AG8" s="928" t="str">
        <f>IF('св.прот 4ф'!H89="","",IF('св.прот 4ф'!D89='св.прот 4ф'!H89,'св.прот 4ф'!P89,'св.прот 4ф'!O89))</f>
        <v/>
      </c>
      <c r="AH8" s="926" t="str">
        <f>IF('св.прот 4ф'!H24="","",IF('св.прот 4ф'!D24='св.прот 4ф'!H24,'св.прот 4ф'!O24,'св.прот 4ф'!P24))</f>
        <v/>
      </c>
      <c r="AI8" s="927" t="str">
        <f>IF(AH7="","",":")</f>
        <v/>
      </c>
      <c r="AJ8" s="928" t="str">
        <f>IF('св.прот 4ф'!H24="","",IF('св.прот 4ф'!D24='св.прот 4ф'!H24,'св.прот 4ф'!P24,'св.прот 4ф'!O24))</f>
        <v/>
      </c>
      <c r="AK8" s="926" t="str">
        <f>IF('св.прот 4ф'!H82="","",IF('св.прот 4ф'!D82='св.прот 4ф'!H82,'св.прот 4ф'!O82,'св.прот 4ф'!P82))</f>
        <v/>
      </c>
      <c r="AL8" s="927" t="str">
        <f>IF(AK7="","",":")</f>
        <v/>
      </c>
      <c r="AM8" s="928" t="str">
        <f>IF('св.прот 4ф'!H82="","",IF('св.прот 4ф'!D82='св.прот 4ф'!H82,'св.прот 4ф'!P82,'св.прот 4ф'!O82))</f>
        <v/>
      </c>
      <c r="AN8" s="926" t="str">
        <f>IF('св.прот 4ф'!H15="","",IF('св.прот 4ф'!D15='св.прот 4ф'!H15,'св.прот 4ф'!O15,'св.прот 4ф'!P15))</f>
        <v/>
      </c>
      <c r="AO8" s="927" t="str">
        <f>IF(AN7="","",":")</f>
        <v/>
      </c>
      <c r="AP8" s="928" t="str">
        <f>IF('св.прот 4ф'!H15="","",IF('св.прот 4ф'!D15='св.прот 4ф'!H15,'св.прот 4ф'!P15,'св.прот 4ф'!O15))</f>
        <v/>
      </c>
      <c r="AQ8" s="926" t="str">
        <f>IF('св.прот 4ф'!H75="","",IF('св.прот 4ф'!D75='св.прот 4ф'!H75,'св.прот 4ф'!O75,'св.прот 4ф'!P75))</f>
        <v/>
      </c>
      <c r="AR8" s="927" t="str">
        <f>IF(AQ7="","",":")</f>
        <v/>
      </c>
      <c r="AS8" s="928" t="str">
        <f>IF('св.прот 4ф'!H75="","",IF('св.прот 4ф'!D75='св.прот 4ф'!H75,'св.прот 4ф'!P75,'св.прот 4ф'!O75))</f>
        <v/>
      </c>
      <c r="AT8" s="926" t="str">
        <f>IF('св.прот 4ф'!H6="","",IF('св.прот 4ф'!D6='св.прот 4ф'!H6,'св.прот 4ф'!O6,'св.прот 4ф'!P6))</f>
        <v/>
      </c>
      <c r="AU8" s="927" t="str">
        <f>IF(AT7="","",":")</f>
        <v/>
      </c>
      <c r="AV8" s="928" t="str">
        <f>IF('св.прот 4ф'!H6="","",IF('св.прот 4ф'!D6='св.прот 4ф'!H6,'св.прот 4ф'!P6,'св.прот 4ф'!O6))</f>
        <v/>
      </c>
      <c r="AW8" s="926" t="str">
        <f>IF('св.прот 4ф'!H68="","",IF('св.прот 4ф'!D68='св.прот 4ф'!H68,'св.прот 4ф'!O68,'св.прот 4ф'!P68))</f>
        <v/>
      </c>
      <c r="AX8" s="927" t="str">
        <f>IF(AW7="","",":")</f>
        <v/>
      </c>
      <c r="AY8" s="928" t="str">
        <f>IF('св.прот 4ф'!H68="","",IF('св.прот 4ф'!D68='св.прот 4ф'!H68,'св.прот 4ф'!P68,'св.прот 4ф'!O68))</f>
        <v/>
      </c>
      <c r="AZ8" s="1244"/>
      <c r="BA8" s="1245"/>
      <c r="BB8" s="1221"/>
      <c r="BC8" s="1222"/>
    </row>
    <row r="9" spans="1:98" ht="15.75" customHeight="1" x14ac:dyDescent="0.25">
      <c r="A9" s="1175">
        <v>3</v>
      </c>
      <c r="B9" s="1237"/>
      <c r="C9" s="133" t="str">
        <f>IF(B9="","",VLOOKUP(B9,'Списки участников'!A:H,3,FALSE))</f>
        <v/>
      </c>
      <c r="D9" s="1225" t="str">
        <f>IF(J5="","",IF(J6="W",0,IF(J5=2,1,IF(J5=1,2,IF(J5=0,2)))))</f>
        <v/>
      </c>
      <c r="E9" s="1226"/>
      <c r="F9" s="1227"/>
      <c r="G9" s="1234" t="str">
        <f>IF(J7="","",IF(J8="W",0,IF(J7=2,1,IF(J7=1,2,IF(J7=0,2)))))</f>
        <v/>
      </c>
      <c r="H9" s="1235"/>
      <c r="I9" s="1236"/>
      <c r="J9" s="1228"/>
      <c r="K9" s="1229"/>
      <c r="L9" s="1230"/>
      <c r="M9" s="1239" t="str">
        <f>IF('св.прот 4ф'!H52="","",IF(M10="L",0,IF(M10&gt;O10,2,1)))</f>
        <v/>
      </c>
      <c r="N9" s="1240"/>
      <c r="O9" s="1241"/>
      <c r="P9" s="1239" t="str">
        <f>IF('св.прот 4ф'!H102="","",IF(P10="L",0,IF(P10&gt;R10,2,1)))</f>
        <v/>
      </c>
      <c r="Q9" s="1240"/>
      <c r="R9" s="1241"/>
      <c r="S9" s="1239" t="str">
        <f>IF('св.прот 4ф'!H43="","",IF(S10="L",0,IF(S10&gt;U10,2,1)))</f>
        <v/>
      </c>
      <c r="T9" s="1240"/>
      <c r="U9" s="1241"/>
      <c r="V9" s="1239" t="str">
        <f>IF('св.прот 4ф'!H95="","",IF(V10="L",0,IF(V10&gt;X10,2,1)))</f>
        <v/>
      </c>
      <c r="W9" s="1240"/>
      <c r="X9" s="1241"/>
      <c r="Y9" s="1239" t="str">
        <f>IF('св.прот 4ф'!H34="","",IF(Y10="L",0,IF(Y10&gt;AA10,2,1)))</f>
        <v/>
      </c>
      <c r="Z9" s="1240"/>
      <c r="AA9" s="1241"/>
      <c r="AB9" s="1239" t="str">
        <f>IF('св.прот 4ф'!H88="","",IF(AB10="L",0,IF(AB10&gt;AD10,2,1)))</f>
        <v/>
      </c>
      <c r="AC9" s="1240"/>
      <c r="AD9" s="1241"/>
      <c r="AE9" s="1239" t="str">
        <f>IF('св.прот 4ф'!H25="","",IF(AE10="L",0,IF(AE10&gt;AG10,2,1)))</f>
        <v/>
      </c>
      <c r="AF9" s="1240"/>
      <c r="AG9" s="1241"/>
      <c r="AH9" s="1239" t="str">
        <f>IF('св.прот 4ф'!H81="","",IF(AH10="L",0,IF(AH10&gt;AJ10,2,1)))</f>
        <v/>
      </c>
      <c r="AI9" s="1240"/>
      <c r="AJ9" s="1241"/>
      <c r="AK9" s="1239" t="str">
        <f>IF('св.прот 4ф'!H16="","",IF(AK10="L",0,IF(AK10&gt;AM10,2,1)))</f>
        <v/>
      </c>
      <c r="AL9" s="1240"/>
      <c r="AM9" s="1241"/>
      <c r="AN9" s="1239" t="str">
        <f>IF('св.прот 4ф'!H74="","",IF(AN10="L",0,IF(AN10&gt;AP10,2,1)))</f>
        <v/>
      </c>
      <c r="AO9" s="1240"/>
      <c r="AP9" s="1241"/>
      <c r="AQ9" s="1239" t="str">
        <f>IF('св.прот 4ф'!H7="","",IF(AQ10="L",0,IF(AQ10&gt;AS10,2,1)))</f>
        <v/>
      </c>
      <c r="AR9" s="1240"/>
      <c r="AS9" s="1241"/>
      <c r="AT9" s="1239" t="str">
        <f>IF('св.прот 4ф'!H67="","",IF(AT10="L",0,IF(AT10&gt;AV10,2,1)))</f>
        <v/>
      </c>
      <c r="AU9" s="1240"/>
      <c r="AV9" s="1241"/>
      <c r="AW9" s="1239" t="str">
        <f>IF('св.прот 4ф'!H118="","",IF(AW10="L",0,IF(AW10&gt;AY10,2,1)))</f>
        <v/>
      </c>
      <c r="AX9" s="1240"/>
      <c r="AY9" s="1241"/>
      <c r="AZ9" s="1242" t="str">
        <f t="shared" ref="AZ9" si="1">IF(B9="","",SUM(G9,J9,M9,P9,S9,V9,Y9,AB9,AE9,AH9,AK9,AN9,AQ9,AT9,AW9,D9))</f>
        <v/>
      </c>
      <c r="BA9" s="1243"/>
      <c r="BB9" s="1220"/>
      <c r="BC9" s="1222" t="str">
        <f>IF(B9="","",RANK(AZ9,Ф4Оч)+48)</f>
        <v/>
      </c>
    </row>
    <row r="10" spans="1:98" ht="15.75" customHeight="1" x14ac:dyDescent="0.25">
      <c r="A10" s="1176"/>
      <c r="B10" s="1238"/>
      <c r="C10" s="134" t="str">
        <f>IF(B9="","",VLOOKUP(B9,'Списки участников'!A:H,6,FALSE))</f>
        <v/>
      </c>
      <c r="D10" s="141" t="str">
        <f>IF(J5="","",L6)</f>
        <v/>
      </c>
      <c r="E10" s="136" t="str">
        <f>IF(K6="","",":")</f>
        <v/>
      </c>
      <c r="F10" s="140" t="str">
        <f>IF(L6="","",J6)</f>
        <v/>
      </c>
      <c r="G10" s="141" t="str">
        <f>IF(J7="","",L8)</f>
        <v/>
      </c>
      <c r="H10" s="136" t="str">
        <f>IF(K8="","",":")</f>
        <v/>
      </c>
      <c r="I10" s="142" t="str">
        <f>IF(L8="","",J8)</f>
        <v/>
      </c>
      <c r="J10" s="1231"/>
      <c r="K10" s="1232"/>
      <c r="L10" s="1233"/>
      <c r="M10" s="926" t="str">
        <f>IF('св.прот 4ф'!H52="","",IF('св.прот 4ф'!D52='св.прот 4ф'!H52,'св.прот 4ф'!O52,'св.прот 4ф'!P52))</f>
        <v/>
      </c>
      <c r="N10" s="927" t="str">
        <f>IF(M9="","",":")</f>
        <v/>
      </c>
      <c r="O10" s="928" t="str">
        <f>IF('св.прот 4ф'!H52="","",IF('св.прот 4ф'!D52='св.прот 4ф'!H52,'св.прот 4ф'!P52,'св.прот 4ф'!O52))</f>
        <v/>
      </c>
      <c r="P10" s="926" t="str">
        <f>IF('св.прот 4ф'!H102="","",IF('св.прот 4ф'!D102='св.прот 4ф'!H102,'св.прот 4ф'!O102,'св.прот 4ф'!P102))</f>
        <v/>
      </c>
      <c r="Q10" s="927" t="str">
        <f>IF(P9="","",":")</f>
        <v/>
      </c>
      <c r="R10" s="928" t="str">
        <f>IF('св.прот 4ф'!H102="","",IF('св.прот 4ф'!D102='св.прот 4ф'!H102,'св.прот 4ф'!P102,'св.прот 4ф'!O102))</f>
        <v/>
      </c>
      <c r="S10" s="926" t="str">
        <f>IF('св.прот 4ф'!H43="","",IF('св.прот 4ф'!D43='св.прот 4ф'!H43,'св.прот 4ф'!O43,'св.прот 4ф'!P43))</f>
        <v/>
      </c>
      <c r="T10" s="927" t="str">
        <f>IF(S9="","",":")</f>
        <v/>
      </c>
      <c r="U10" s="928" t="str">
        <f>IF('св.прот 4ф'!H43="","",IF('св.прот 4ф'!D43='св.прот 4ф'!H43,'св.прот 4ф'!P43,'св.прот 4ф'!O43))</f>
        <v/>
      </c>
      <c r="V10" s="926" t="str">
        <f>IF('св.прот 4ф'!H95="","",IF('св.прот 4ф'!D95='св.прот 4ф'!H95,'св.прот 4ф'!O95,'св.прот 4ф'!P95))</f>
        <v/>
      </c>
      <c r="W10" s="927" t="str">
        <f>IF(V9="","",":")</f>
        <v/>
      </c>
      <c r="X10" s="928" t="str">
        <f>IF('св.прот 4ф'!H95="","",IF('св.прот 4ф'!D95='св.прот 4ф'!H95,'св.прот 4ф'!P95,'св.прот 4ф'!O95))</f>
        <v/>
      </c>
      <c r="Y10" s="926" t="str">
        <f>IF('св.прот 4ф'!H34="","",IF('св.прот 4ф'!D34='св.прот 4ф'!H34,'св.прот 4ф'!O34,'св.прот 4ф'!P34))</f>
        <v/>
      </c>
      <c r="Z10" s="927" t="str">
        <f>IF(Y9="","",":")</f>
        <v/>
      </c>
      <c r="AA10" s="928" t="str">
        <f>IF('св.прот 4ф'!H34="","",IF('св.прот 4ф'!D34='св.прот 4ф'!H34,'св.прот 4ф'!P34,'св.прот 4ф'!O34))</f>
        <v/>
      </c>
      <c r="AB10" s="926" t="str">
        <f>IF('св.прот 4ф'!H88="","",IF('св.прот 4ф'!D88='св.прот 4ф'!H88,'св.прот 4ф'!O88,'св.прот 4ф'!P88))</f>
        <v/>
      </c>
      <c r="AC10" s="927" t="str">
        <f>IF(AB9="","",":")</f>
        <v/>
      </c>
      <c r="AD10" s="928" t="str">
        <f>IF('св.прот 4ф'!H88="","",IF('св.прот 4ф'!D88='св.прот 4ф'!H88,'св.прот 4ф'!P88,'св.прот 4ф'!O88))</f>
        <v/>
      </c>
      <c r="AE10" s="926" t="str">
        <f>IF('св.прот 4ф'!H25="","",IF('св.прот 4ф'!D25='св.прот 4ф'!H25,'св.прот 4ф'!O25,'св.прот 4ф'!P25))</f>
        <v/>
      </c>
      <c r="AF10" s="927" t="str">
        <f>IF(AE9="","",":")</f>
        <v/>
      </c>
      <c r="AG10" s="928" t="str">
        <f>IF('св.прот 4ф'!H25="","",IF('св.прот 4ф'!D25='св.прот 4ф'!H25,'св.прот 4ф'!P25,'св.прот 4ф'!O25))</f>
        <v/>
      </c>
      <c r="AH10" s="926" t="str">
        <f>IF('св.прот 4ф'!H81="","",IF('св.прот 4ф'!D81='св.прот 4ф'!H81,'св.прот 4ф'!O81,'св.прот 4ф'!P81))</f>
        <v/>
      </c>
      <c r="AI10" s="927" t="str">
        <f>IF(AH9="","",":")</f>
        <v/>
      </c>
      <c r="AJ10" s="928" t="str">
        <f>IF('св.прот 4ф'!H81="","",IF('св.прот 4ф'!D81='св.прот 4ф'!H81,'св.прот 4ф'!P81,'св.прот 4ф'!O81))</f>
        <v/>
      </c>
      <c r="AK10" s="926" t="str">
        <f>IF('св.прот 4ф'!H16="","",IF('св.прот 4ф'!D16='св.прот 4ф'!H16,'св.прот 4ф'!O16,'св.прот 4ф'!P16))</f>
        <v/>
      </c>
      <c r="AL10" s="927" t="str">
        <f>IF(AK9="","",":")</f>
        <v/>
      </c>
      <c r="AM10" s="928" t="str">
        <f>IF('св.прот 4ф'!H16="","",IF('св.прот 4ф'!D16='св.прот 4ф'!H16,'св.прот 4ф'!P16,'св.прот 4ф'!O16))</f>
        <v/>
      </c>
      <c r="AN10" s="926" t="str">
        <f>IF('св.прот 4ф'!H74="","",IF('св.прот 4ф'!D74='св.прот 4ф'!H74,'св.прот 4ф'!O74,'св.прот 4ф'!P74))</f>
        <v/>
      </c>
      <c r="AO10" s="927" t="str">
        <f>IF(AN9="","",":")</f>
        <v/>
      </c>
      <c r="AP10" s="928" t="str">
        <f>IF('св.прот 4ф'!H74="","",IF('св.прот 4ф'!D74='св.прот 4ф'!H74,'св.прот 4ф'!P74,'св.прот 4ф'!O74))</f>
        <v/>
      </c>
      <c r="AQ10" s="926" t="str">
        <f>IF('св.прот 4ф'!H7="","",IF('св.прот 4ф'!D7='св.прот 4ф'!H7,'св.прот 4ф'!O7,'св.прот 4ф'!P7))</f>
        <v/>
      </c>
      <c r="AR10" s="927" t="str">
        <f>IF(AQ9="","",":")</f>
        <v/>
      </c>
      <c r="AS10" s="928" t="str">
        <f>IF('св.прот 4ф'!H7="","",IF('св.прот 4ф'!D7='св.прот 4ф'!H7,'св.прот 4ф'!P7,'св.прот 4ф'!O7))</f>
        <v/>
      </c>
      <c r="AT10" s="926" t="str">
        <f>IF('св.прот 4ф'!H67="","",IF('св.прот 4ф'!D67='св.прот 4ф'!H67,'св.прот 4ф'!O67,'св.прот 4ф'!P67))</f>
        <v/>
      </c>
      <c r="AU10" s="927" t="str">
        <f>IF(AT9="","",":")</f>
        <v/>
      </c>
      <c r="AV10" s="928" t="str">
        <f>IF('св.прот 4ф'!H67="","",IF('св.прот 4ф'!D67='св.прот 4ф'!H67,'св.прот 4ф'!P67,'св.прот 4ф'!O67))</f>
        <v/>
      </c>
      <c r="AW10" s="926" t="str">
        <f>IF('св.прот 4ф'!H118="","",IF('св.прот 4ф'!D118='св.прот 4ф'!H118,'св.прот 4ф'!O118,'св.прот 4ф'!P118))</f>
        <v/>
      </c>
      <c r="AX10" s="927" t="str">
        <f>IF(AW9="","",":")</f>
        <v/>
      </c>
      <c r="AY10" s="928" t="str">
        <f>IF('св.прот 4ф'!H118="","",IF('св.прот 4ф'!D118='св.прот 4ф'!H118,'св.прот 4ф'!P118,'св.прот 4ф'!O118))</f>
        <v/>
      </c>
      <c r="AZ10" s="1244"/>
      <c r="BA10" s="1245"/>
      <c r="BB10" s="1221"/>
      <c r="BC10" s="1222"/>
      <c r="BE10" s="1254"/>
      <c r="BF10" s="1255"/>
      <c r="BG10" s="1255"/>
      <c r="BH10" s="1255"/>
      <c r="BI10" s="1255"/>
      <c r="BJ10" s="1255"/>
      <c r="BK10" s="1255"/>
      <c r="BL10" s="1255"/>
    </row>
    <row r="11" spans="1:98" ht="15.75" customHeight="1" x14ac:dyDescent="0.25">
      <c r="A11" s="1175">
        <v>4</v>
      </c>
      <c r="B11" s="1223"/>
      <c r="C11" s="133" t="str">
        <f>IF(B11="","",VLOOKUP(B11,'Списки участников'!A:H,3,FALSE))</f>
        <v/>
      </c>
      <c r="D11" s="1234" t="str">
        <f>IF(M5="","",IF(M6="W",0,IF(M5=2,1,IF(M5=1,2,IF(M5=0,2)))))</f>
        <v/>
      </c>
      <c r="E11" s="1235"/>
      <c r="F11" s="1236"/>
      <c r="G11" s="1234" t="str">
        <f>IF(M7="","",IF(M8="W",0,IF(M7=2,1,IF(M7=1,2,IF(M7=0,2)))))</f>
        <v/>
      </c>
      <c r="H11" s="1235"/>
      <c r="I11" s="1236"/>
      <c r="J11" s="1234" t="str">
        <f>IF(M9="","",IF(M10="W",0,IF(M9=2,1,IF(M9=1,2,IF(M9=0,2)))))</f>
        <v/>
      </c>
      <c r="K11" s="1235"/>
      <c r="L11" s="1236"/>
      <c r="M11" s="1229"/>
      <c r="N11" s="1229"/>
      <c r="O11" s="1229"/>
      <c r="P11" s="1234" t="str">
        <f>IF('св.прот 4ф'!H44="","",IF(P12="L",0,IF(P12&gt;R12,2,1)))</f>
        <v/>
      </c>
      <c r="Q11" s="1235"/>
      <c r="R11" s="1236"/>
      <c r="S11" s="1239" t="str">
        <f>IF('св.прот 4ф'!H94="","",IF(S12="L",0,IF(S12&gt;U12,2,1)))</f>
        <v/>
      </c>
      <c r="T11" s="1240"/>
      <c r="U11" s="1241"/>
      <c r="V11" s="1239" t="str">
        <f>IF('св.прот 4ф'!H35="","",IF(V12="L",0,IF(V12&gt;X12,2,1)))</f>
        <v/>
      </c>
      <c r="W11" s="1240"/>
      <c r="X11" s="1241"/>
      <c r="Y11" s="1239" t="str">
        <f>IF('св.прот 4ф'!H87="","",IF(Y12="L",0,IF(Y12&gt;AA12,2,1)))</f>
        <v/>
      </c>
      <c r="Z11" s="1240"/>
      <c r="AA11" s="1241"/>
      <c r="AB11" s="1239" t="str">
        <f>IF('св.прот 4ф'!H26="","",IF(AB12="L",0,IF(AB12&gt;AD12,2,1)))</f>
        <v/>
      </c>
      <c r="AC11" s="1240"/>
      <c r="AD11" s="1241"/>
      <c r="AE11" s="1239" t="str">
        <f>IF('св.прот 4ф'!H80="","",IF(AE12="L",0,IF(AE12&gt;AG12,2,1)))</f>
        <v/>
      </c>
      <c r="AF11" s="1240"/>
      <c r="AG11" s="1241"/>
      <c r="AH11" s="1239" t="str">
        <f>IF('св.прот 4ф'!H17="","",IF(AH12="L",0,IF(AH12&gt;AJ12,2,1)))</f>
        <v/>
      </c>
      <c r="AI11" s="1240"/>
      <c r="AJ11" s="1241"/>
      <c r="AK11" s="1239" t="str">
        <f>IF('св.прот 4ф'!H73="","",IF(AK12="L",0,IF(AK12&gt;AM12,2,1)))</f>
        <v/>
      </c>
      <c r="AL11" s="1240"/>
      <c r="AM11" s="1241"/>
      <c r="AN11" s="1239" t="str">
        <f>IF('св.прот 4ф'!H8="","",IF(AN12="L",0,IF(AN12&gt;AP12,2,1)))</f>
        <v/>
      </c>
      <c r="AO11" s="1240"/>
      <c r="AP11" s="1241"/>
      <c r="AQ11" s="1239" t="str">
        <f>IF('св.прот 4ф'!H66="","",IF(AQ12="L",0,IF(AQ12&gt;AS12,2,1)))</f>
        <v/>
      </c>
      <c r="AR11" s="1240"/>
      <c r="AS11" s="1241"/>
      <c r="AT11" s="1239" t="str">
        <f>IF('св.прот 4ф'!H119="","",IF(AT12="L",0,IF(AT12&gt;AV12,2,1)))</f>
        <v/>
      </c>
      <c r="AU11" s="1240"/>
      <c r="AV11" s="1241"/>
      <c r="AW11" s="1239" t="str">
        <f>IF('св.прот 4ф'!H59="","",IF(AW12="L",0,IF(AW12&gt;AY12,2,1)))</f>
        <v/>
      </c>
      <c r="AX11" s="1240"/>
      <c r="AY11" s="1241"/>
      <c r="AZ11" s="1242" t="str">
        <f t="shared" ref="AZ11" si="2">IF(B11="","",SUM(G11,J11,M11,P11,S11,V11,Y11,AB11,AE11,AH11,AK11,AN11,AQ11,AT11,AW11,D11))</f>
        <v/>
      </c>
      <c r="BA11" s="1243"/>
      <c r="BB11" s="1220"/>
      <c r="BC11" s="1222" t="str">
        <f>IF(B11="","",RANK(AZ11,Ф4Оч)+48)</f>
        <v/>
      </c>
    </row>
    <row r="12" spans="1:98" ht="15.75" customHeight="1" x14ac:dyDescent="0.25">
      <c r="A12" s="1176"/>
      <c r="B12" s="1224"/>
      <c r="C12" s="134" t="str">
        <f>IF(B11="","",VLOOKUP(B11,'Списки участников'!A:H,6,FALSE))</f>
        <v/>
      </c>
      <c r="D12" s="141" t="str">
        <f>IF(M5="","",O6)</f>
        <v/>
      </c>
      <c r="E12" s="136" t="str">
        <f>IF(N6="","",":")</f>
        <v/>
      </c>
      <c r="F12" s="142" t="str">
        <f>IF(O6="","",M6)</f>
        <v/>
      </c>
      <c r="G12" s="141" t="str">
        <f>IF(M7="","",O8)</f>
        <v/>
      </c>
      <c r="H12" s="136" t="str">
        <f>IF(N8="","",":")</f>
        <v/>
      </c>
      <c r="I12" s="142" t="str">
        <f>IF(O8="","",M8)</f>
        <v/>
      </c>
      <c r="J12" s="141" t="str">
        <f>IF(M9="","",O10)</f>
        <v/>
      </c>
      <c r="K12" s="136" t="str">
        <f>IF(N10="","",":")</f>
        <v/>
      </c>
      <c r="L12" s="142" t="str">
        <f>IF(O10="","",M10)</f>
        <v/>
      </c>
      <c r="M12" s="1248"/>
      <c r="N12" s="1248"/>
      <c r="O12" s="1248"/>
      <c r="P12" s="926" t="str">
        <f>IF('св.прот 4ф'!H44="","",IF('св.прот 4ф'!D44='св.прот 4ф'!H44,'св.прот 4ф'!O44,'св.прот 4ф'!P44))</f>
        <v/>
      </c>
      <c r="Q12" s="927" t="str">
        <f>IF(P11="","",":")</f>
        <v/>
      </c>
      <c r="R12" s="928" t="str">
        <f>IF('св.прот 4ф'!H44="","",IF('св.прот 4ф'!D44='св.прот 4ф'!H44,'св.прот 4ф'!P44,'св.прот 4ф'!O44))</f>
        <v/>
      </c>
      <c r="S12" s="926" t="str">
        <f>IF('св.прот 4ф'!H94="","",IF('св.прот 4ф'!D94='св.прот 4ф'!H94,'св.прот 4ф'!O94,'св.прот 4ф'!P94))</f>
        <v/>
      </c>
      <c r="T12" s="927" t="str">
        <f>IF(S11="","",":")</f>
        <v/>
      </c>
      <c r="U12" s="928" t="str">
        <f>IF('св.прот 4ф'!H94="","",IF('св.прот 4ф'!D94='св.прот 4ф'!H94,'св.прот 4ф'!P94,'св.прот 4ф'!O94))</f>
        <v/>
      </c>
      <c r="V12" s="926" t="str">
        <f>IF('св.прот 4ф'!H35="","",IF('св.прот 4ф'!D35='св.прот 4ф'!H35,'св.прот 4ф'!O34,'св.прот 4ф'!P35))</f>
        <v/>
      </c>
      <c r="W12" s="927" t="str">
        <f>IF(V11="","",":")</f>
        <v/>
      </c>
      <c r="X12" s="928" t="str">
        <f>IF('св.прот 4ф'!H35="","",IF('св.прот 4ф'!D35='св.прот 4ф'!H35,'св.прот 4ф'!P35,'св.прот 4ф'!O35))</f>
        <v/>
      </c>
      <c r="Y12" s="926" t="str">
        <f>IF('св.прот 4ф'!H87="","",IF('св.прот 4ф'!D87='св.прот 4ф'!H87,'св.прот 4ф'!O87,'св.прот 4ф'!P87))</f>
        <v/>
      </c>
      <c r="Z12" s="927" t="str">
        <f>IF(Y11="","",":")</f>
        <v/>
      </c>
      <c r="AA12" s="928" t="str">
        <f>IF('св.прот 4ф'!H87="","",IF('св.прот 4ф'!D87='св.прот 4ф'!H87,'св.прот 4ф'!P87,'св.прот 4ф'!O87))</f>
        <v/>
      </c>
      <c r="AB12" s="926" t="str">
        <f>IF('св.прот 4ф'!H26="","",IF('св.прот 4ф'!D26='св.прот 4ф'!H26,'св.прот 4ф'!O26,'св.прот 4ф'!P26))</f>
        <v/>
      </c>
      <c r="AC12" s="927" t="str">
        <f>IF(AB11="","",":")</f>
        <v/>
      </c>
      <c r="AD12" s="928" t="str">
        <f>IF('св.прот 4ф'!H26="","",IF('св.прот 4ф'!D26='св.прот 4ф'!H26,'св.прот 4ф'!P26,'св.прот 4ф'!O26))</f>
        <v/>
      </c>
      <c r="AE12" s="926" t="str">
        <f>IF('св.прот 4ф'!H80="","",IF('св.прот 4ф'!D80='св.прот 4ф'!H80,'св.прот 4ф'!O11,'св.прот 4ф'!P80))</f>
        <v/>
      </c>
      <c r="AF12" s="927" t="str">
        <f>IF(AE11="","",":")</f>
        <v/>
      </c>
      <c r="AG12" s="928" t="str">
        <f>IF('св.прот 4ф'!H80="","",IF('св.прот 4ф'!D80='св.прот 4ф'!H80,'св.прот 4ф'!P80,'св.прот 4ф'!O80))</f>
        <v/>
      </c>
      <c r="AH12" s="926" t="str">
        <f>IF('св.прот 4ф'!H17="","",IF('св.прот 4ф'!D17='св.прот 4ф'!H17,'св.прот 4ф'!O17,'св.прот 4ф'!P17))</f>
        <v/>
      </c>
      <c r="AI12" s="927" t="str">
        <f>IF(AH11="","",":")</f>
        <v/>
      </c>
      <c r="AJ12" s="928" t="str">
        <f>IF('св.прот 4ф'!H17="","",IF('св.прот 4ф'!D17='св.прот 4ф'!H17,'св.прот 4ф'!P17,'св.прот 4ф'!O17))</f>
        <v/>
      </c>
      <c r="AK12" s="926" t="str">
        <f>IF('св.прот 4ф'!H73="","",IF('св.прот 4ф'!D73='св.прот 4ф'!H73,'св.прот 4ф'!O73,'св.прот 4ф'!P73))</f>
        <v/>
      </c>
      <c r="AL12" s="927" t="str">
        <f>IF(AK11="","",":")</f>
        <v/>
      </c>
      <c r="AM12" s="928" t="str">
        <f>IF('св.прот 4ф'!H73="","",IF('св.прот 4ф'!D73='св.прот 4ф'!H73,'св.прот 4ф'!P73,'св.прот 4ф'!O73))</f>
        <v/>
      </c>
      <c r="AN12" s="926" t="str">
        <f>IF('св.прот 4ф'!H8="","",IF('св.прот 4ф'!D8='св.прот 4ф'!H8,'св.прот 4ф'!O8,'св.прот 4ф'!P8))</f>
        <v/>
      </c>
      <c r="AO12" s="927" t="str">
        <f>IF(AN11="","",":")</f>
        <v/>
      </c>
      <c r="AP12" s="928" t="str">
        <f>IF('св.прот 4ф'!H8="","",IF('св.прот 4ф'!D8='св.прот 4ф'!H8,'св.прот 4ф'!P8,'св.прот 4ф'!O8))</f>
        <v/>
      </c>
      <c r="AQ12" s="926" t="str">
        <f>IF('св.прот 4ф'!H66="","",IF('св.прот 4ф'!D66='св.прот 4ф'!H66,'св.прот 4ф'!O66,'св.прот 4ф'!P66))</f>
        <v/>
      </c>
      <c r="AR12" s="927" t="str">
        <f>IF(AQ11="","",":")</f>
        <v/>
      </c>
      <c r="AS12" s="928" t="str">
        <f>IF('св.прот 4ф'!H66="","",IF('св.прот 4ф'!D66='св.прот 4ф'!H66,'св.прот 4ф'!P66,'св.прот 4ф'!O66))</f>
        <v/>
      </c>
      <c r="AT12" s="926" t="str">
        <f>IF('св.прот 4ф'!H119="","",IF('св.прот 4ф'!D119='св.прот 4ф'!H119,'св.прот 4ф'!O119,'св.прот 4ф'!P119))</f>
        <v/>
      </c>
      <c r="AU12" s="927" t="str">
        <f>IF(AT11="","",":")</f>
        <v/>
      </c>
      <c r="AV12" s="928" t="str">
        <f>IF('св.прот 4ф'!H119="","",IF('св.прот 4ф'!D119='св.прот 4ф'!H119,'св.прот 4ф'!P119,'св.прот 4ф'!O119))</f>
        <v/>
      </c>
      <c r="AW12" s="926" t="str">
        <f>IF('св.прот 4ф'!H59="","",IF('св.прот 4ф'!D59='св.прот 4ф'!H59,'св.прот 4ф'!O59,'св.прот 4ф'!P59))</f>
        <v/>
      </c>
      <c r="AX12" s="927" t="str">
        <f>IF(AW11="","",":")</f>
        <v/>
      </c>
      <c r="AY12" s="928" t="str">
        <f>IF('св.прот 4ф'!H59="","",IF('св.прот 4ф'!D59='св.прот 4ф'!H59,'св.прот 4ф'!P59,'св.прот 4ф'!O59))</f>
        <v/>
      </c>
      <c r="AZ12" s="1244"/>
      <c r="BA12" s="1245"/>
      <c r="BB12" s="1221"/>
      <c r="BC12" s="1222"/>
    </row>
    <row r="13" spans="1:98" ht="15.75" customHeight="1" x14ac:dyDescent="0.25">
      <c r="A13" s="1175">
        <v>5</v>
      </c>
      <c r="B13" s="1237"/>
      <c r="C13" s="133" t="str">
        <f>IF(B13="","",VLOOKUP(B13,'Списки участников'!A:H,3,FALSE))</f>
        <v/>
      </c>
      <c r="D13" s="1234" t="str">
        <f>IF(P5="","",IF(P6="W",0,IF(P5=2,1,IF(P5=1,2,IF(P5=0,2)))))</f>
        <v/>
      </c>
      <c r="E13" s="1235"/>
      <c r="F13" s="1236"/>
      <c r="G13" s="1234" t="str">
        <f>IF(P7="","",IF(P8="W",0,IF(P7=2,1,IF(P7=1,2,IF(P7=0,2)))))</f>
        <v/>
      </c>
      <c r="H13" s="1235"/>
      <c r="I13" s="1236"/>
      <c r="J13" s="1234" t="str">
        <f>IF(P9="","",IF(P10="W",0,IF(P9=2,1,IF(P9=1,2,IF(P9=0,2)))))</f>
        <v/>
      </c>
      <c r="K13" s="1235"/>
      <c r="L13" s="1236"/>
      <c r="M13" s="1234" t="str">
        <f>IF(P11="","",IF(P12="W",0,IF(P11=2,1,IF(P11=1,2,IF(P11=0,2)))))</f>
        <v/>
      </c>
      <c r="N13" s="1235"/>
      <c r="O13" s="1236"/>
      <c r="P13" s="1228"/>
      <c r="Q13" s="1229"/>
      <c r="R13" s="1230"/>
      <c r="S13" s="1239" t="str">
        <f>IF('св.прот 4ф'!H36="","",IF(S14="L",0,IF(S14&gt;U14,2,1)))</f>
        <v/>
      </c>
      <c r="T13" s="1240"/>
      <c r="U13" s="1241"/>
      <c r="V13" s="1239" t="str">
        <f>IF('св.прот 4ф'!H86="","",IF(V14="L",0,IF(V14&gt;X14,2,1)))</f>
        <v/>
      </c>
      <c r="W13" s="1240"/>
      <c r="X13" s="1241"/>
      <c r="Y13" s="1239" t="str">
        <f>IF('св.прот 4ф'!H27="","",IF(Y14="L",0,IF(Y14&gt;AA14,2,1)))</f>
        <v/>
      </c>
      <c r="Z13" s="1240"/>
      <c r="AA13" s="1241"/>
      <c r="AB13" s="1239" t="str">
        <f>IF('св.прот 4ф'!H79="","",IF(AB14="L",0,IF(AB14&gt;AD14,2,1)))</f>
        <v/>
      </c>
      <c r="AC13" s="1240"/>
      <c r="AD13" s="1241"/>
      <c r="AE13" s="1239" t="str">
        <f>IF('св.прот 4ф'!H18="","",IF(AE14="L",0,IF(AE14&gt;AG14,2,1)))</f>
        <v/>
      </c>
      <c r="AF13" s="1240"/>
      <c r="AG13" s="1241"/>
      <c r="AH13" s="1239" t="str">
        <f>IF('св.прот 4ф'!H72="","",IF(AH14="L",0,IF(AH14&gt;AJ14,2,1)))</f>
        <v/>
      </c>
      <c r="AI13" s="1240"/>
      <c r="AJ13" s="1241"/>
      <c r="AK13" s="1239" t="str">
        <f>IF('св.прот 4ф'!H9="","",IF(AK14="L",0,IF(AK14&gt;AM14,2,1)))</f>
        <v/>
      </c>
      <c r="AL13" s="1240"/>
      <c r="AM13" s="1241"/>
      <c r="AN13" s="1239" t="str">
        <f>IF('св.прот 4ф'!H65="","",IF(AN14="L",0,IF(AN14&gt;AP14,2,1)))</f>
        <v/>
      </c>
      <c r="AO13" s="1240"/>
      <c r="AP13" s="1241"/>
      <c r="AQ13" s="1239" t="str">
        <f>IF('св.прот 4ф'!H120="","",IF(AQ14="L",0,IF(AQ14&gt;AS14,2,1)))</f>
        <v/>
      </c>
      <c r="AR13" s="1240"/>
      <c r="AS13" s="1241"/>
      <c r="AT13" s="1239" t="str">
        <f>IF('св.прот 4ф'!H58="","",IF(AT14="L",0,IF(AT14&gt;AV14,2,1)))</f>
        <v/>
      </c>
      <c r="AU13" s="1240"/>
      <c r="AV13" s="1241"/>
      <c r="AW13" s="1239" t="str">
        <f>IF('св.прот 4ф'!H111="","",IF(AW14="L",0,IF(AW14&gt;AY14,2,1)))</f>
        <v/>
      </c>
      <c r="AX13" s="1240"/>
      <c r="AY13" s="1241"/>
      <c r="AZ13" s="1242" t="str">
        <f t="shared" ref="AZ13" si="3">IF(B13="","",SUM(G13,J13,M13,P13,S13,V13,Y13,AB13,AE13,AH13,AK13,AN13,AQ13,AT13,AW13,D13))</f>
        <v/>
      </c>
      <c r="BA13" s="1243"/>
      <c r="BB13" s="1220"/>
      <c r="BC13" s="1222" t="str">
        <f>IF(B13="","",RANK(AZ13,Ф4Оч)+48)</f>
        <v/>
      </c>
    </row>
    <row r="14" spans="1:98" ht="15.75" customHeight="1" x14ac:dyDescent="0.25">
      <c r="A14" s="1176"/>
      <c r="B14" s="1238"/>
      <c r="C14" s="134" t="str">
        <f>IF(B13="","",VLOOKUP(B13,'Списки участников'!A:H,6,FALSE))</f>
        <v/>
      </c>
      <c r="D14" s="141" t="str">
        <f>IF(P5="","",R6)</f>
        <v/>
      </c>
      <c r="E14" s="136" t="str">
        <f>IF(Q6="","",":")</f>
        <v/>
      </c>
      <c r="F14" s="142" t="str">
        <f>IF(R6="","",P6)</f>
        <v/>
      </c>
      <c r="G14" s="141" t="str">
        <f>IF(P7="","",R8)</f>
        <v/>
      </c>
      <c r="H14" s="136" t="str">
        <f>IF(Q8="","",":")</f>
        <v/>
      </c>
      <c r="I14" s="142" t="str">
        <f>IF(R8="","",P8)</f>
        <v/>
      </c>
      <c r="J14" s="141" t="str">
        <f>IF(P9="","",R10)</f>
        <v/>
      </c>
      <c r="K14" s="136" t="str">
        <f>IF(Q10="","",":")</f>
        <v/>
      </c>
      <c r="L14" s="142" t="str">
        <f>IF(R10="","",P10)</f>
        <v/>
      </c>
      <c r="M14" s="141" t="str">
        <f>IF(P11="","",R12)</f>
        <v/>
      </c>
      <c r="N14" s="136" t="str">
        <f>IF(Q12="","",":")</f>
        <v/>
      </c>
      <c r="O14" s="142" t="str">
        <f>IF(R12="","",P12)</f>
        <v/>
      </c>
      <c r="P14" s="1231"/>
      <c r="Q14" s="1232"/>
      <c r="R14" s="1233"/>
      <c r="S14" s="926" t="str">
        <f>IF('св.прот 4ф'!H36="","",IF('св.прот 4ф'!D36='св.прот 4ф'!H36,'св.прот 4ф'!O36,'св.прот 4ф'!P36))</f>
        <v/>
      </c>
      <c r="T14" s="927" t="str">
        <f>IF(S13="","",":")</f>
        <v/>
      </c>
      <c r="U14" s="928" t="str">
        <f>IF('св.прот 4ф'!H36="","",IF('св.прот 4ф'!D36='св.прот 4ф'!H36,'св.прот 4ф'!P36,'св.прот 4ф'!O36))</f>
        <v/>
      </c>
      <c r="V14" s="926" t="str">
        <f>IF('св.прот 4ф'!H86="","",IF('св.прот 4ф'!D86='св.прот 4ф'!H86,'св.прот 4ф'!O86,'св.прот 4ф'!P86))</f>
        <v/>
      </c>
      <c r="W14" s="927" t="str">
        <f>IF(V13="","",":")</f>
        <v/>
      </c>
      <c r="X14" s="928" t="str">
        <f>IF('св.прот 4ф'!H86="","",IF('св.прот 4ф'!D86='св.прот 4ф'!H86,'св.прот 4ф'!P86,'св.прот 4ф'!O86))</f>
        <v/>
      </c>
      <c r="Y14" s="926" t="str">
        <f>IF('св.прот 4ф'!H27="","",IF('св.прот 4ф'!D27='св.прот 4ф'!H27,'св.прот 4ф'!O27,'св.прот 4ф'!P27))</f>
        <v/>
      </c>
      <c r="Z14" s="927" t="str">
        <f>IF(Y13="","",":")</f>
        <v/>
      </c>
      <c r="AA14" s="928" t="str">
        <f>IF('св.прот 4ф'!H27="","",IF('св.прот 4ф'!D27='св.прот 4ф'!H27,'св.прот 4ф'!P27,'св.прот 4ф'!O27))</f>
        <v/>
      </c>
      <c r="AB14" s="926" t="str">
        <f>IF('св.прот 4ф'!H79="","",IF('св.прот 4ф'!D79='св.прот 4ф'!H79,'св.прот 4ф'!O79,'св.прот 4ф'!P79))</f>
        <v/>
      </c>
      <c r="AC14" s="927" t="str">
        <f>IF(AB13="","",":")</f>
        <v/>
      </c>
      <c r="AD14" s="928" t="str">
        <f>IF('св.прот 4ф'!H79="","",IF('св.прот 4ф'!D79='св.прот 4ф'!H79,'св.прот 4ф'!P79,'св.прот 4ф'!O79))</f>
        <v/>
      </c>
      <c r="AE14" s="926" t="str">
        <f>IF('св.прот 4ф'!H18="","",IF('св.прот 4ф'!D18='св.прот 4ф'!H18,'св.прот 4ф'!O18,'св.прот 4ф'!P18))</f>
        <v/>
      </c>
      <c r="AF14" s="927" t="str">
        <f>IF(AE13="","",":")</f>
        <v/>
      </c>
      <c r="AG14" s="928" t="str">
        <f>IF('св.прот 4ф'!H18="","",IF('св.прот 4ф'!D18='св.прот 4ф'!H18,'св.прот 4ф'!P18,'св.прот 4ф'!O18))</f>
        <v/>
      </c>
      <c r="AH14" s="926" t="str">
        <f>IF('св.прот 4ф'!H72="","",IF('св.прот 4ф'!D72='св.прот 4ф'!H72,'св.прот 4ф'!O72,'св.прот 4ф'!P72))</f>
        <v/>
      </c>
      <c r="AI14" s="927" t="str">
        <f>IF(AH13="","",":")</f>
        <v/>
      </c>
      <c r="AJ14" s="928" t="str">
        <f>IF('св.прот 4ф'!H72="","",IF('св.прот 4ф'!D72='св.прот 4ф'!H72,'св.прот 4ф'!P72,'св.прот 4ф'!O72))</f>
        <v/>
      </c>
      <c r="AK14" s="926" t="str">
        <f>IF('св.прот 4ф'!H9="","",IF('св.прот 4ф'!D9='св.прот 4ф'!H9,'св.прот 4ф'!O9,'св.прот 4ф'!P9))</f>
        <v/>
      </c>
      <c r="AL14" s="927" t="str">
        <f>IF(AK13="","",":")</f>
        <v/>
      </c>
      <c r="AM14" s="928" t="str">
        <f>IF('св.прот 4ф'!H9="","",IF('св.прот 4ф'!D9='св.прот 4ф'!H9,'св.прот 4ф'!P9,'св.прот 4ф'!O9))</f>
        <v/>
      </c>
      <c r="AN14" s="926" t="str">
        <f>IF('св.прот 4ф'!H65="","",IF('св.прот 4ф'!D65='св.прот 4ф'!H65,'св.прот 4ф'!O65,'св.прот 4ф'!P65))</f>
        <v/>
      </c>
      <c r="AO14" s="927" t="str">
        <f>IF(AN13="","",":")</f>
        <v/>
      </c>
      <c r="AP14" s="928" t="str">
        <f>IF('св.прот 4ф'!H65="","",IF('св.прот 4ф'!D65='св.прот 4ф'!H65,'св.прот 4ф'!P65,'св.прот 4ф'!O65))</f>
        <v/>
      </c>
      <c r="AQ14" s="926" t="str">
        <f>IF('св.прот 4ф'!H120="","",IF('св.прот 4ф'!D120='св.прот 4ф'!H120,'св.прот 4ф'!O120,'св.прот 4ф'!P120))</f>
        <v/>
      </c>
      <c r="AR14" s="927" t="str">
        <f>IF(AQ13="","",":")</f>
        <v/>
      </c>
      <c r="AS14" s="928" t="str">
        <f>IF('св.прот 4ф'!H120="","",IF('св.прот 4ф'!D120='св.прот 4ф'!H120,'св.прот 4ф'!P120,'св.прот 4ф'!O120))</f>
        <v/>
      </c>
      <c r="AT14" s="926" t="str">
        <f>IF('св.прот 4ф'!H58="","",IF('св.прот 4ф'!D58='св.прот 4ф'!H58,'св.прот 4ф'!O58,'св.прот 4ф'!P58))</f>
        <v/>
      </c>
      <c r="AU14" s="927" t="str">
        <f>IF(AT13="","",":")</f>
        <v/>
      </c>
      <c r="AV14" s="928" t="str">
        <f>IF('св.прот 4ф'!H58="","",IF('св.прот 4ф'!D58='св.прот 4ф'!H58,'св.прот 4ф'!P58,'св.прот 4ф'!O58))</f>
        <v/>
      </c>
      <c r="AW14" s="926" t="str">
        <f>IF('св.прот 4ф'!H111="","",IF('св.прот 4ф'!D111='св.прот 4ф'!H111,'св.прот 4ф'!O111,'св.прот 4ф'!P111))</f>
        <v/>
      </c>
      <c r="AX14" s="927" t="str">
        <f>IF(AW13="","",":")</f>
        <v/>
      </c>
      <c r="AY14" s="928" t="str">
        <f>IF('св.прот 4ф'!H111="","",IF('св.прот 4ф'!D111='св.прот 4ф'!H111,'св.прот 4ф'!P111,'св.прот 4ф'!O111))</f>
        <v/>
      </c>
      <c r="AZ14" s="1244"/>
      <c r="BA14" s="1245"/>
      <c r="BB14" s="1221"/>
      <c r="BC14" s="1222"/>
    </row>
    <row r="15" spans="1:98" ht="15.75" customHeight="1" x14ac:dyDescent="0.25">
      <c r="A15" s="1175">
        <v>6</v>
      </c>
      <c r="B15" s="1223"/>
      <c r="C15" s="133" t="str">
        <f>IF(B15="","",VLOOKUP(B15,'Списки участников'!A:H,3,FALSE))</f>
        <v/>
      </c>
      <c r="D15" s="1234" t="str">
        <f>IF(S5="","",IF(S6="W",0,IF(S5=2,1,IF(S5=1,2,IF(S5=0,2)))))</f>
        <v/>
      </c>
      <c r="E15" s="1235"/>
      <c r="F15" s="1236"/>
      <c r="G15" s="1234" t="str">
        <f>IF(S7="","",IF(S8="W",0,IF(S7=2,1,IF(S7=1,2,IF(S7=0,2)))))</f>
        <v/>
      </c>
      <c r="H15" s="1235"/>
      <c r="I15" s="1236"/>
      <c r="J15" s="1234" t="str">
        <f>IF(S9="","",IF(S10="W",0,IF(S9=2,1,IF(S9=1,2,IF(S9=0,2)))))</f>
        <v/>
      </c>
      <c r="K15" s="1235"/>
      <c r="L15" s="1236"/>
      <c r="M15" s="1234" t="str">
        <f>IF(S11="","",IF(S12="W",0,IF(S11=2,1,IF(S11=1,2,IF(S11=0,2)))))</f>
        <v/>
      </c>
      <c r="N15" s="1235"/>
      <c r="O15" s="1236"/>
      <c r="P15" s="1234" t="str">
        <f>IF(S13="","",IF(S14="W",0,IF(S13=2,1,IF(S13=1,2,IF(S13=0,2)))))</f>
        <v/>
      </c>
      <c r="Q15" s="1235"/>
      <c r="R15" s="1236"/>
      <c r="S15" s="1228"/>
      <c r="T15" s="1229"/>
      <c r="U15" s="1230"/>
      <c r="V15" s="1234" t="str">
        <f>IF('св.прот 4ф'!H28="","",IF(V16="L",0,IF(V16&gt;X16,2,1)))</f>
        <v/>
      </c>
      <c r="W15" s="1235"/>
      <c r="X15" s="1236"/>
      <c r="Y15" s="1234" t="str">
        <f>IF('св.прот 4ф'!H78="","",IF(Y16="L",0,IF(Y16&gt;AA16,2,1)))</f>
        <v/>
      </c>
      <c r="Z15" s="1235"/>
      <c r="AA15" s="1236"/>
      <c r="AB15" s="1234" t="str">
        <f>IF('св.прот 4ф'!H19="","",IF(AB16="L",0,IF(AB16&gt;AD16,2,1)))</f>
        <v/>
      </c>
      <c r="AC15" s="1235"/>
      <c r="AD15" s="1236"/>
      <c r="AE15" s="1239" t="str">
        <f>IF('св.прот 4ф'!H71="","",IF(AE16="L",0,IF(AE16&gt;AG16,2,1)))</f>
        <v/>
      </c>
      <c r="AF15" s="1240"/>
      <c r="AG15" s="1241"/>
      <c r="AH15" s="1239" t="str">
        <f>IF('св.прот 4ф'!H10="","",IF(AH16="L",0,IF(AH16&gt;AJ16,2,1)))</f>
        <v/>
      </c>
      <c r="AI15" s="1240"/>
      <c r="AJ15" s="1241"/>
      <c r="AK15" s="1239" t="str">
        <f>IF('св.прот 4ф'!H64="","",IF(AK16="L",0,IF(AK16&gt;AM16,2,1)))</f>
        <v/>
      </c>
      <c r="AL15" s="1240"/>
      <c r="AM15" s="1241"/>
      <c r="AN15" s="1239" t="str">
        <f>IF('св.прот 4ф'!H121="","",IF(AN16="L",0,IF(AN16&gt;AP16,2,1)))</f>
        <v/>
      </c>
      <c r="AO15" s="1240"/>
      <c r="AP15" s="1241"/>
      <c r="AQ15" s="1239" t="str">
        <f>IF('св.прот 4ф'!H57="","",IF(AQ16="L",0,IF(AQ16&gt;AS16,2,1)))</f>
        <v/>
      </c>
      <c r="AR15" s="1240"/>
      <c r="AS15" s="1241"/>
      <c r="AT15" s="1239" t="str">
        <f>IF('св.прот 4ф'!H112="","",IF(AT16="L",0,IF(AT16&gt;AV16,2,1)))</f>
        <v/>
      </c>
      <c r="AU15" s="1240"/>
      <c r="AV15" s="1241"/>
      <c r="AW15" s="1239" t="str">
        <f>IF('св.прот 4ф'!H50="","",IF(AW16="L",0,IF(AW16&gt;AY16,2,1)))</f>
        <v/>
      </c>
      <c r="AX15" s="1240"/>
      <c r="AY15" s="1241"/>
      <c r="AZ15" s="1242" t="str">
        <f t="shared" ref="AZ15" si="4">IF(B15="","",SUM(G15,J15,M15,P15,S15,V15,Y15,AB15,AE15,AH15,AK15,AN15,AQ15,AT15,AW15,D15))</f>
        <v/>
      </c>
      <c r="BA15" s="1243"/>
      <c r="BB15" s="1220"/>
      <c r="BC15" s="1222" t="str">
        <f>IF(B15="","",RANK(AZ15,Ф4Оч)+48)</f>
        <v/>
      </c>
    </row>
    <row r="16" spans="1:98" ht="15.75" customHeight="1" x14ac:dyDescent="0.25">
      <c r="A16" s="1176"/>
      <c r="B16" s="1224"/>
      <c r="C16" s="134" t="str">
        <f>IF(B15="","",VLOOKUP(B15,'Списки участников'!A:H,6,FALSE))</f>
        <v/>
      </c>
      <c r="D16" s="141" t="str">
        <f>IF(S5="","",U6)</f>
        <v/>
      </c>
      <c r="E16" s="136" t="str">
        <f>IF(T6="","",":")</f>
        <v/>
      </c>
      <c r="F16" s="142" t="str">
        <f>IF(U6="","",S6)</f>
        <v/>
      </c>
      <c r="G16" s="141" t="str">
        <f>IF(S7="","",U8)</f>
        <v/>
      </c>
      <c r="H16" s="136" t="str">
        <f>IF(T8="","",":")</f>
        <v/>
      </c>
      <c r="I16" s="142" t="str">
        <f>IF(U8="","",S8)</f>
        <v/>
      </c>
      <c r="J16" s="141" t="str">
        <f>IF(S9="","",U10)</f>
        <v/>
      </c>
      <c r="K16" s="136" t="str">
        <f>IF(T10="","",":")</f>
        <v/>
      </c>
      <c r="L16" s="142" t="str">
        <f>IF(U10="","",S10)</f>
        <v/>
      </c>
      <c r="M16" s="141" t="str">
        <f>IF(S11="","",U12)</f>
        <v/>
      </c>
      <c r="N16" s="136" t="str">
        <f>IF(T12="","",":")</f>
        <v/>
      </c>
      <c r="O16" s="142" t="str">
        <f>IF(U12="","",S12)</f>
        <v/>
      </c>
      <c r="P16" s="141" t="str">
        <f>IF(S13="","",U14)</f>
        <v/>
      </c>
      <c r="Q16" s="136" t="str">
        <f>IF(T14="","",":")</f>
        <v/>
      </c>
      <c r="R16" s="142" t="str">
        <f>IF(U14="","",S14)</f>
        <v/>
      </c>
      <c r="S16" s="1231"/>
      <c r="T16" s="1232"/>
      <c r="U16" s="1233"/>
      <c r="V16" s="926" t="str">
        <f>IF('св.прот 4ф'!H28="","",IF('св.прот 4ф'!D28='св.прот 4ф'!H28,'св.прот 4ф'!O28,'св.прот 4ф'!P28))</f>
        <v/>
      </c>
      <c r="W16" s="927" t="str">
        <f>IF(V15="","",":")</f>
        <v/>
      </c>
      <c r="X16" s="928" t="str">
        <f>IF('св.прот 4ф'!H28="","",IF('св.прот 4ф'!D28='св.прот 4ф'!H28,'св.прот 4ф'!P28,'св.прот 4ф'!O28))</f>
        <v/>
      </c>
      <c r="Y16" s="926" t="str">
        <f>IF('св.прот 4ф'!H78="","",IF('св.прот 4ф'!D78='св.прот 4ф'!H78,'св.прот 4ф'!O78,'св.прот 4ф'!P78))</f>
        <v/>
      </c>
      <c r="Z16" s="927" t="str">
        <f>IF(Y15="","",":")</f>
        <v/>
      </c>
      <c r="AA16" s="928" t="str">
        <f>IF('св.прот 4ф'!H78="","",IF('св.прот 4ф'!D78='св.прот 4ф'!H78,'св.прот 4ф'!P78,'св.прот 4ф'!O78))</f>
        <v/>
      </c>
      <c r="AB16" s="926" t="str">
        <f>IF('св.прот 4ф'!H19="","",IF('св.прот 4ф'!D19='св.прот 4ф'!H19,'св.прот 4ф'!O19,'св.прот 4ф'!P19))</f>
        <v/>
      </c>
      <c r="AC16" s="927" t="str">
        <f>IF(AB15="","",":")</f>
        <v/>
      </c>
      <c r="AD16" s="928" t="str">
        <f>IF('св.прот 4ф'!H19="","",IF('св.прот 4ф'!D19='св.прот 4ф'!H19,'св.прот 4ф'!P19,'св.прот 4ф'!O19))</f>
        <v/>
      </c>
      <c r="AE16" s="926" t="str">
        <f>IF('св.прот 4ф'!H71="","",IF('св.прот 4ф'!D71='св.прот 4ф'!H71,'св.прот 4ф'!O15,'св.прот 4ф'!P71))</f>
        <v/>
      </c>
      <c r="AF16" s="927" t="str">
        <f>IF(AE15="","",":")</f>
        <v/>
      </c>
      <c r="AG16" s="928" t="str">
        <f>IF('св.прот 4ф'!H71="","",IF('св.прот 4ф'!D71='св.прот 4ф'!H71,'св.прот 4ф'!P71,'св.прот 4ф'!O71))</f>
        <v/>
      </c>
      <c r="AH16" s="926" t="str">
        <f>IF('св.прот 4ф'!H10="","",IF('св.прот 4ф'!D10='св.прот 4ф'!H10,'св.прот 4ф'!O10,'св.прот 4ф'!P10))</f>
        <v/>
      </c>
      <c r="AI16" s="927" t="str">
        <f>IF(AH15="","",":")</f>
        <v/>
      </c>
      <c r="AJ16" s="928" t="str">
        <f>IF('св.прот 4ф'!H10="","",IF('св.прот 4ф'!D10='св.прот 4ф'!H10,'св.прот 4ф'!P10,'св.прот 4ф'!O10))</f>
        <v/>
      </c>
      <c r="AK16" s="926" t="str">
        <f>IF('св.прот 4ф'!H64="","",IF('св.прот 4ф'!D64='св.прот 4ф'!H64,'св.прот 4ф'!O64,'св.прот 4ф'!P64))</f>
        <v/>
      </c>
      <c r="AL16" s="927" t="str">
        <f>IF(AK15="","",":")</f>
        <v/>
      </c>
      <c r="AM16" s="928" t="str">
        <f>IF('св.прот 4ф'!H64="","",IF('св.прот 4ф'!D64='св.прот 4ф'!H64,'св.прот 4ф'!P64,'св.прот 4ф'!O64))</f>
        <v/>
      </c>
      <c r="AN16" s="926" t="str">
        <f>IF('св.прот 4ф'!H121="","",IF('св.прот 4ф'!D121='св.прот 4ф'!H121,'св.прот 4ф'!O121,'св.прот 4ф'!P121))</f>
        <v/>
      </c>
      <c r="AO16" s="927" t="str">
        <f>IF(AN15="","",":")</f>
        <v/>
      </c>
      <c r="AP16" s="928" t="str">
        <f>IF('св.прот 4ф'!H121="","",IF('св.прот 4ф'!D121='св.прот 4ф'!H121,'св.прот 4ф'!P121,'св.прот 4ф'!O121))</f>
        <v/>
      </c>
      <c r="AQ16" s="926" t="str">
        <f>IF('св.прот 4ф'!H57="","",IF('св.прот 4ф'!D57='св.прот 4ф'!H57,'св.прот 4ф'!O57,'св.прот 4ф'!P57))</f>
        <v/>
      </c>
      <c r="AR16" s="927" t="str">
        <f>IF(AQ15="","",":")</f>
        <v/>
      </c>
      <c r="AS16" s="928" t="str">
        <f>IF('св.прот 4ф'!H57="","",IF('св.прот 4ф'!D57='св.прот 4ф'!H57,'св.прот 4ф'!P57,'св.прот 4ф'!O57))</f>
        <v/>
      </c>
      <c r="AT16" s="926" t="str">
        <f>IF('св.прот 4ф'!H112="","",IF('св.прот 4ф'!D112='св.прот 4ф'!H112,'св.прот 4ф'!O112,'св.прот 4ф'!P112))</f>
        <v/>
      </c>
      <c r="AU16" s="927" t="str">
        <f>IF(AT15="","",":")</f>
        <v/>
      </c>
      <c r="AV16" s="928" t="str">
        <f>IF('св.прот 4ф'!H112="","",IF('св.прот 4ф'!D112='св.прот 4ф'!H112,'св.прот 4ф'!P112,'св.прот 4ф'!O112))</f>
        <v/>
      </c>
      <c r="AW16" s="926" t="str">
        <f>IF('св.прот 4ф'!H50="","",IF('св.прот 4ф'!D50='св.прот 4ф'!H50,'св.прот 4ф'!O50,'св.прот 4ф'!P50))</f>
        <v/>
      </c>
      <c r="AX16" s="927" t="str">
        <f>IF(AW15="","",":")</f>
        <v/>
      </c>
      <c r="AY16" s="928" t="str">
        <f>IF('св.прот 4ф'!H50="","",IF('св.прот 4ф'!D50='св.прот 4ф'!H50,'св.прот 4ф'!P50,'св.прот 4ф'!O50))</f>
        <v/>
      </c>
      <c r="AZ16" s="1244"/>
      <c r="BA16" s="1245"/>
      <c r="BB16" s="1221"/>
      <c r="BC16" s="1222"/>
    </row>
    <row r="17" spans="1:55" ht="15.75" customHeight="1" x14ac:dyDescent="0.25">
      <c r="A17" s="1175">
        <v>7</v>
      </c>
      <c r="B17" s="1237"/>
      <c r="C17" s="133" t="str">
        <f>IF(B17="","",VLOOKUP(B17,'Списки участников'!A:H,3,FALSE))</f>
        <v/>
      </c>
      <c r="D17" s="1234" t="str">
        <f>IF(V5="","",IF(V6="W",0,IF(V5=2,1,IF(V5=1,2,IF(V5=0,2)))))</f>
        <v/>
      </c>
      <c r="E17" s="1235"/>
      <c r="F17" s="1236"/>
      <c r="G17" s="1234" t="str">
        <f>IF(V7="","",IF(V8="W",0,IF(V7=2,1,IF(V7=1,2,IF(V7=0,2)))))</f>
        <v/>
      </c>
      <c r="H17" s="1235"/>
      <c r="I17" s="1236"/>
      <c r="J17" s="1234" t="str">
        <f>IF(V9="","",IF(V10="W",0,IF(V9=2,1,IF(V9=1,2,IF(V9=0,2)))))</f>
        <v/>
      </c>
      <c r="K17" s="1235"/>
      <c r="L17" s="1236"/>
      <c r="M17" s="1234" t="str">
        <f>IF(V11="","",IF(V12="W",0,IF(V11=2,1,IF(V11=1,2,IF(V11=0,2)))))</f>
        <v/>
      </c>
      <c r="N17" s="1235"/>
      <c r="O17" s="1236"/>
      <c r="P17" s="1234" t="str">
        <f>IF(V13="","",IF(V14="W",0,IF(V13=2,1,IF(V13=1,2,IF(V13=0,2)))))</f>
        <v/>
      </c>
      <c r="Q17" s="1235"/>
      <c r="R17" s="1236"/>
      <c r="S17" s="1234" t="str">
        <f>IF(V15="","",IF(V16="W",0,IF(V15=2,1,IF(V15=1,2,IF(V15=0,2)))))</f>
        <v/>
      </c>
      <c r="T17" s="1235"/>
      <c r="U17" s="1236"/>
      <c r="V17" s="1249"/>
      <c r="W17" s="1246"/>
      <c r="X17" s="1247"/>
      <c r="Y17" s="1239" t="str">
        <f>IF('св.прот 4ф'!H20="","",IF(Y18="L",0,IF(Y18&gt;AA18,2,1)))</f>
        <v/>
      </c>
      <c r="Z17" s="1240"/>
      <c r="AA17" s="1241"/>
      <c r="AB17" s="1239" t="str">
        <f>IF('св.прот 4ф'!H70="","",IF(AB18="L",0,IF(AB18&gt;AD18,2,1)))</f>
        <v/>
      </c>
      <c r="AC17" s="1240"/>
      <c r="AD17" s="1241"/>
      <c r="AE17" s="1239" t="str">
        <f>IF('св.прот 4ф'!H11="","",IF(AE18="L",0,IF(AE18&gt;AG18,2,1)))</f>
        <v/>
      </c>
      <c r="AF17" s="1240"/>
      <c r="AG17" s="1241"/>
      <c r="AH17" s="1239" t="str">
        <f>IF('св.прот 4ф'!H63="","",IF(AH18="L",0,IF(AH18&gt;AJ18,2,1)))</f>
        <v/>
      </c>
      <c r="AI17" s="1240"/>
      <c r="AJ17" s="1241"/>
      <c r="AK17" s="1239" t="str">
        <f>IF('св.прот 4ф'!H122="","",IF(AK18="L",0,IF(AK18&gt;AM18,2,1)))</f>
        <v/>
      </c>
      <c r="AL17" s="1240"/>
      <c r="AM17" s="1241"/>
      <c r="AN17" s="1239" t="str">
        <f>IF('св.прот 4ф'!H56="","",IF(AN18="L",0,IF(AN18&gt;AP18,2,1)))</f>
        <v/>
      </c>
      <c r="AO17" s="1240"/>
      <c r="AP17" s="1241"/>
      <c r="AQ17" s="1239" t="str">
        <f>IF('св.прот 4ф'!H113="","",IF(AQ18="L",0,IF(AQ18&gt;AS18,2,1)))</f>
        <v/>
      </c>
      <c r="AR17" s="1240"/>
      <c r="AS17" s="1241"/>
      <c r="AT17" s="1239" t="str">
        <f>IF('св.прот 4ф'!H49="","",IF(AT18="L",0,IF(AT18&gt;AV18,2,1)))</f>
        <v/>
      </c>
      <c r="AU17" s="1240"/>
      <c r="AV17" s="1241"/>
      <c r="AW17" s="1239" t="str">
        <f>IF('св.прот 4ф'!H104="","",IF(AW18="L",0,IF(AW18&gt;AY18,2,1)))</f>
        <v/>
      </c>
      <c r="AX17" s="1240"/>
      <c r="AY17" s="1241"/>
      <c r="AZ17" s="1242" t="str">
        <f t="shared" ref="AZ17" si="5">IF(B17="","",SUM(G17,J17,M17,P17,S17,V17,Y17,AB17,AE17,AH17,AK17,AN17,AQ17,AT17,AW17,D17))</f>
        <v/>
      </c>
      <c r="BA17" s="1243"/>
      <c r="BB17" s="1220"/>
      <c r="BC17" s="1222" t="str">
        <f>IF(B17="","",RANK(AZ17,Ф4Оч)+48)</f>
        <v/>
      </c>
    </row>
    <row r="18" spans="1:55" ht="15.75" customHeight="1" x14ac:dyDescent="0.25">
      <c r="A18" s="1176"/>
      <c r="B18" s="1238"/>
      <c r="C18" s="134" t="str">
        <f>IF(B17="","",VLOOKUP(B17,'Списки участников'!A:H,6,FALSE))</f>
        <v/>
      </c>
      <c r="D18" s="141" t="str">
        <f>IF(V5="","",X6)</f>
        <v/>
      </c>
      <c r="E18" s="136" t="str">
        <f>IF(W6="","",":")</f>
        <v/>
      </c>
      <c r="F18" s="142" t="str">
        <f>IF(X6="","",V6)</f>
        <v/>
      </c>
      <c r="G18" s="141" t="str">
        <f>IF(V7="","",X8)</f>
        <v/>
      </c>
      <c r="H18" s="136" t="str">
        <f>IF(W8="","",":")</f>
        <v/>
      </c>
      <c r="I18" s="142" t="str">
        <f>IF(X8="","",V8)</f>
        <v/>
      </c>
      <c r="J18" s="141" t="str">
        <f>IF(V9="","",X10)</f>
        <v/>
      </c>
      <c r="K18" s="136" t="str">
        <f>IF(W10="","",":")</f>
        <v/>
      </c>
      <c r="L18" s="142" t="str">
        <f>IF(X10="","",V10)</f>
        <v/>
      </c>
      <c r="M18" s="141" t="str">
        <f>IF(V11="","",X12)</f>
        <v/>
      </c>
      <c r="N18" s="136" t="str">
        <f>IF(W12="","",":")</f>
        <v/>
      </c>
      <c r="O18" s="142" t="str">
        <f>IF(X12="","",V12)</f>
        <v/>
      </c>
      <c r="P18" s="141" t="str">
        <f>IF(V13="","",X14)</f>
        <v/>
      </c>
      <c r="Q18" s="136" t="str">
        <f>IF(W14="","",":")</f>
        <v/>
      </c>
      <c r="R18" s="142" t="str">
        <f>IF(X14="","",V14)</f>
        <v/>
      </c>
      <c r="S18" s="141" t="str">
        <f>IF(V15="","",X16)</f>
        <v/>
      </c>
      <c r="T18" s="136" t="str">
        <f>IF(W16="","",":")</f>
        <v/>
      </c>
      <c r="U18" s="142" t="str">
        <f>IF(X16="","",V16)</f>
        <v/>
      </c>
      <c r="V18" s="1231"/>
      <c r="W18" s="1232"/>
      <c r="X18" s="1233"/>
      <c r="Y18" s="926" t="str">
        <f>IF('св.прот 4ф'!H20="","",IF('св.прот 4ф'!D20='св.прот 4ф'!H20,'св.прот 4ф'!O20,'св.прот 4ф'!P20))</f>
        <v/>
      </c>
      <c r="Z18" s="927" t="str">
        <f>IF(Y17="","",":")</f>
        <v/>
      </c>
      <c r="AA18" s="928" t="str">
        <f>IF('св.прот 4ф'!H20="","",IF('св.прот 4ф'!D20='св.прот 4ф'!H20,'св.прот 4ф'!P20,'св.прот 4ф'!O20))</f>
        <v/>
      </c>
      <c r="AB18" s="926" t="str">
        <f>IF('св.прот 4ф'!H70="","",IF('св.прот 4ф'!D70='св.прот 4ф'!H70,'св.прот 4ф'!O70,'св.прот 4ф'!P70))</f>
        <v/>
      </c>
      <c r="AC18" s="927" t="str">
        <f>IF(AB17="","",":")</f>
        <v/>
      </c>
      <c r="AD18" s="928" t="str">
        <f>IF('св.прот 4ф'!H70="","",IF('св.прот 4ф'!D70='св.прот 4ф'!H70,'св.прот 4ф'!P70,'св.прот 4ф'!O70))</f>
        <v/>
      </c>
      <c r="AE18" s="926" t="str">
        <f>IF('св.прот 4ф'!H11="","",IF('св.прот 4ф'!D11='св.прот 4ф'!H11,'св.прот 4ф'!O11,'св.прот 4ф'!P11))</f>
        <v/>
      </c>
      <c r="AF18" s="927" t="str">
        <f>IF(AE17="","",":")</f>
        <v/>
      </c>
      <c r="AG18" s="928" t="str">
        <f>IF('св.прот 4ф'!H11="","",IF('св.прот 4ф'!D11='св.прот 4ф'!H11,'св.прот 4ф'!P11,'св.прот 4ф'!O11))</f>
        <v/>
      </c>
      <c r="AH18" s="926" t="str">
        <f>IF('св.прот 4ф'!H63="","",IF('св.прот 4ф'!D63='св.прот 4ф'!H63,'св.прот 4ф'!O63,'св.прот 4ф'!P63))</f>
        <v/>
      </c>
      <c r="AI18" s="927" t="str">
        <f>IF(AH17="","",":")</f>
        <v/>
      </c>
      <c r="AJ18" s="928" t="str">
        <f>IF('св.прот 4ф'!H63="","",IF('св.прот 4ф'!D63='св.прот 4ф'!H63,'св.прот 4ф'!P63,'св.прот 4ф'!O63))</f>
        <v/>
      </c>
      <c r="AK18" s="926" t="str">
        <f>IF('св.прот 4ф'!H122="","",IF('св.прот 4ф'!D122='св.прот 4ф'!H122,'св.прот 4ф'!O122,'св.прот 4ф'!P122))</f>
        <v/>
      </c>
      <c r="AL18" s="927" t="str">
        <f>IF(AK17="","",":")</f>
        <v/>
      </c>
      <c r="AM18" s="928" t="str">
        <f>IF('св.прот 4ф'!H122="","",IF('св.прот 4ф'!D122='св.прот 4ф'!H122,'св.прот 4ф'!P122,'св.прот 4ф'!O122))</f>
        <v/>
      </c>
      <c r="AN18" s="926" t="str">
        <f>IF('св.прот 4ф'!H56="","",IF('св.прот 4ф'!D56='св.прот 4ф'!H56,'св.прот 4ф'!O56,'св.прот 4ф'!P56))</f>
        <v/>
      </c>
      <c r="AO18" s="927" t="str">
        <f>IF(AN17="","",":")</f>
        <v/>
      </c>
      <c r="AP18" s="928" t="str">
        <f>IF('св.прот 4ф'!H56="","",IF('св.прот 4ф'!D56='св.прот 4ф'!H56,'св.прот 4ф'!P56,'св.прот 4ф'!O56))</f>
        <v/>
      </c>
      <c r="AQ18" s="926" t="str">
        <f>IF('св.прот 4ф'!H113="","",IF('св.прот 4ф'!D113='св.прот 4ф'!H113,'св.прот 4ф'!O113,'св.прот 4ф'!P113))</f>
        <v/>
      </c>
      <c r="AR18" s="927" t="str">
        <f>IF(AQ17="","",":")</f>
        <v/>
      </c>
      <c r="AS18" s="928" t="str">
        <f>IF('св.прот 4ф'!H113="","",IF('св.прот 4ф'!D113='св.прот 4ф'!H113,'св.прот 4ф'!P113,'св.прот 4ф'!O113))</f>
        <v/>
      </c>
      <c r="AT18" s="926" t="str">
        <f>IF('св.прот 4ф'!H49="","",IF('св.прот 4ф'!D49='св.прот 4ф'!H49,'св.прот 4ф'!O49,'св.прот 4ф'!P49))</f>
        <v/>
      </c>
      <c r="AU18" s="927" t="str">
        <f>IF(AT17="","",":")</f>
        <v/>
      </c>
      <c r="AV18" s="928" t="str">
        <f>IF('св.прот 4ф'!H49="","",IF('св.прот 4ф'!D49='св.прот 4ф'!H49,'св.прот 4ф'!P49,'св.прот 4ф'!O49))</f>
        <v/>
      </c>
      <c r="AW18" s="926" t="str">
        <f>IF('св.прот 4ф'!H104="","",IF('св.прот 4ф'!D104='св.прот 4ф'!H104,'св.прот 4ф'!O104,'св.прот 4ф'!P104))</f>
        <v/>
      </c>
      <c r="AX18" s="927" t="str">
        <f>IF(AW17="","",":")</f>
        <v/>
      </c>
      <c r="AY18" s="928" t="str">
        <f>IF('св.прот 4ф'!H104="","",IF('св.прот 4ф'!D104='св.прот 4ф'!H104,'св.прот 4ф'!P104,'св.прот 4ф'!O104))</f>
        <v/>
      </c>
      <c r="AZ18" s="1244"/>
      <c r="BA18" s="1245"/>
      <c r="BB18" s="1221"/>
      <c r="BC18" s="1222"/>
    </row>
    <row r="19" spans="1:55" ht="15.75" customHeight="1" x14ac:dyDescent="0.25">
      <c r="A19" s="1175">
        <v>8</v>
      </c>
      <c r="B19" s="1223"/>
      <c r="C19" s="133" t="str">
        <f>IF(B19="","",VLOOKUP(B19,'Списки участников'!A:H,3,FALSE))</f>
        <v/>
      </c>
      <c r="D19" s="1234" t="str">
        <f>IF(Y5="","",IF(Y6="W",0,IF(Y5=2,1,IF(Y5=1,2,IF(Y5=0,2)))))</f>
        <v/>
      </c>
      <c r="E19" s="1235"/>
      <c r="F19" s="1236"/>
      <c r="G19" s="1234" t="str">
        <f>IF(Y7="","",IF(Y8="W",0,IF(Y7=2,1,IF(Y7=1,2,IF(Y7=0,2)))))</f>
        <v/>
      </c>
      <c r="H19" s="1235"/>
      <c r="I19" s="1236"/>
      <c r="J19" s="1234" t="str">
        <f>IF(Y9="","",IF(Y10="W",0,IF(Y9=2,1,IF(Y9=1,2,IF(Y9=0,2)))))</f>
        <v/>
      </c>
      <c r="K19" s="1235"/>
      <c r="L19" s="1236"/>
      <c r="M19" s="1234" t="str">
        <f>IF(Y11="","",IF(Y12="W",0,IF(Y11=2,1,IF(Y11=1,2,IF(Y11=0,2)))))</f>
        <v/>
      </c>
      <c r="N19" s="1235"/>
      <c r="O19" s="1236"/>
      <c r="P19" s="1234" t="str">
        <f>IF(Y13="","",IF(Y14="W",0,IF(Y13=2,1,IF(Y13=1,2,IF(Y13=0,2)))))</f>
        <v/>
      </c>
      <c r="Q19" s="1235"/>
      <c r="R19" s="1236"/>
      <c r="S19" s="1234" t="str">
        <f>IF(Y15="","",IF(Y16="W",0,IF(Y15=2,1,IF(Y15=1,2,IF(Y15=0,2)))))</f>
        <v/>
      </c>
      <c r="T19" s="1235"/>
      <c r="U19" s="1236"/>
      <c r="V19" s="1234" t="str">
        <f>IF(Y17="","",IF(Y18="W",0,IF(Y17=2,1,IF(Y17=1,2,IF(Y17=0,2)))))</f>
        <v/>
      </c>
      <c r="W19" s="1235"/>
      <c r="X19" s="1236"/>
      <c r="Y19" s="1228"/>
      <c r="Z19" s="1229"/>
      <c r="AA19" s="1230"/>
      <c r="AB19" s="1239" t="str">
        <f>IF('св.прот 4ф'!H12="","",IF(AB20="L",0,IF(AB20&gt;AD20,2,1)))</f>
        <v/>
      </c>
      <c r="AC19" s="1240"/>
      <c r="AD19" s="1241"/>
      <c r="AE19" s="1239" t="str">
        <f>IF('св.прот 4ф'!H62="","",IF(AE20="L",0,IF(AE20&gt;AG20,2,1)))</f>
        <v/>
      </c>
      <c r="AF19" s="1240"/>
      <c r="AG19" s="1241"/>
      <c r="AH19" s="1239" t="str">
        <f>IF('св.прот 4ф'!H123="","",IF(AH20="L",0,IF(AH20&gt;AJ20,2,1)))</f>
        <v/>
      </c>
      <c r="AI19" s="1240"/>
      <c r="AJ19" s="1241"/>
      <c r="AK19" s="1239" t="str">
        <f>IF('св.прот 4ф'!H55="","",IF(AK20="L",0,IF(AK20&gt;AM20,2,1)))</f>
        <v/>
      </c>
      <c r="AL19" s="1240"/>
      <c r="AM19" s="1241"/>
      <c r="AN19" s="1239" t="str">
        <f>IF('св.прот 4ф'!H114="","",IF(AN20="L",0,IF(AN20&gt;AP20,2,1)))</f>
        <v/>
      </c>
      <c r="AO19" s="1240"/>
      <c r="AP19" s="1241"/>
      <c r="AQ19" s="1239" t="str">
        <f>IF('св.прот 4ф'!H48="","",IF(AQ20="L",0,IF(AQ20&gt;AS20,2,1)))</f>
        <v/>
      </c>
      <c r="AR19" s="1240"/>
      <c r="AS19" s="1241"/>
      <c r="AT19" s="1239" t="str">
        <f>IF('св.прот 4ф'!H105="","",IF(AT20="L",0,IF(AT20&gt;AV20,2,1)))</f>
        <v/>
      </c>
      <c r="AU19" s="1240"/>
      <c r="AV19" s="1241"/>
      <c r="AW19" s="1239" t="str">
        <f>IF('св.прот 4ф'!H41="","",IF(AW20="L",0,IF(AW20&gt;AY20,2,1)))</f>
        <v/>
      </c>
      <c r="AX19" s="1240"/>
      <c r="AY19" s="1241"/>
      <c r="AZ19" s="1242" t="str">
        <f t="shared" ref="AZ19" si="6">IF(B19="","",SUM(G19,J19,M19,P19,S19,V19,Y19,AB19,AE19,AH19,AK19,AN19,AQ19,AT19,AW19,D19))</f>
        <v/>
      </c>
      <c r="BA19" s="1243"/>
      <c r="BB19" s="1220"/>
      <c r="BC19" s="1222" t="str">
        <f>IF(B19="","",RANK(AZ19,Ф4Оч)+48)</f>
        <v/>
      </c>
    </row>
    <row r="20" spans="1:55" ht="15.75" customHeight="1" x14ac:dyDescent="0.25">
      <c r="A20" s="1176"/>
      <c r="B20" s="1224"/>
      <c r="C20" s="134" t="str">
        <f>IF(B19="","",VLOOKUP(B19,'Списки участников'!A:H,6,FALSE))</f>
        <v/>
      </c>
      <c r="D20" s="141" t="str">
        <f>IF(Y5="","",AA6)</f>
        <v/>
      </c>
      <c r="E20" s="136" t="str">
        <f>IF(Z6="","",":")</f>
        <v/>
      </c>
      <c r="F20" s="142" t="str">
        <f>IF(AA6="","",Y6)</f>
        <v/>
      </c>
      <c r="G20" s="141" t="str">
        <f>IF(Y7="","",AA8)</f>
        <v/>
      </c>
      <c r="H20" s="136" t="str">
        <f>IF(Z8="","",":")</f>
        <v/>
      </c>
      <c r="I20" s="142" t="str">
        <f>IF(AA8="","",Y8)</f>
        <v/>
      </c>
      <c r="J20" s="141" t="str">
        <f>IF(Y9="","",AA10)</f>
        <v/>
      </c>
      <c r="K20" s="136" t="str">
        <f>IF(Z10="","",":")</f>
        <v/>
      </c>
      <c r="L20" s="142" t="str">
        <f>IF(AA10="","",Y10)</f>
        <v/>
      </c>
      <c r="M20" s="141" t="str">
        <f>IF(Y11="","",AA12)</f>
        <v/>
      </c>
      <c r="N20" s="136" t="str">
        <f>IF(Z12="","",":")</f>
        <v/>
      </c>
      <c r="O20" s="142" t="str">
        <f>IF(AA12="","",Y12)</f>
        <v/>
      </c>
      <c r="P20" s="141" t="str">
        <f>IF(Y13="","",AA14)</f>
        <v/>
      </c>
      <c r="Q20" s="136" t="str">
        <f>IF(Z14="","",":")</f>
        <v/>
      </c>
      <c r="R20" s="142" t="str">
        <f>IF(AA14="","",Y14)</f>
        <v/>
      </c>
      <c r="S20" s="141" t="str">
        <f>IF(Y15="","",AA16)</f>
        <v/>
      </c>
      <c r="T20" s="136" t="str">
        <f>IF(Z16="","",":")</f>
        <v/>
      </c>
      <c r="U20" s="142" t="str">
        <f>IF(AA16="","",Y16)</f>
        <v/>
      </c>
      <c r="V20" s="141" t="str">
        <f>IF(Y17="","",AA18)</f>
        <v/>
      </c>
      <c r="W20" s="136" t="str">
        <f>IF(Z18="","",":")</f>
        <v/>
      </c>
      <c r="X20" s="142" t="str">
        <f>IF(AA18="","",Y18)</f>
        <v/>
      </c>
      <c r="Y20" s="1231"/>
      <c r="Z20" s="1232"/>
      <c r="AA20" s="1233"/>
      <c r="AB20" s="926" t="str">
        <f>IF('св.прот 4ф'!H12="","",IF('св.прот 4ф'!D12='св.прот 4ф'!H12,'св.прот 4ф'!O12,'св.прот 4ф'!P12))</f>
        <v/>
      </c>
      <c r="AC20" s="927" t="str">
        <f>IF(AB19="","",":")</f>
        <v/>
      </c>
      <c r="AD20" s="928" t="str">
        <f>IF('св.прот 4ф'!H12="","",IF('св.прот 4ф'!D12='св.прот 4ф'!H12,'св.прот 4ф'!P12,'св.прот 4ф'!O12))</f>
        <v/>
      </c>
      <c r="AE20" s="926" t="str">
        <f>IF('св.прот 4ф'!H62="","",IF('св.прот 4ф'!D62='св.прот 4ф'!H62,'св.прот 4ф'!O19,'св.прот 4ф'!P62))</f>
        <v/>
      </c>
      <c r="AF20" s="927" t="str">
        <f>IF(AE19="","",":")</f>
        <v/>
      </c>
      <c r="AG20" s="928" t="str">
        <f>IF('св.прот 4ф'!H62="","",IF('св.прот 4ф'!D62='св.прот 4ф'!H62,'св.прот 4ф'!P62,'св.прот 4ф'!O62))</f>
        <v/>
      </c>
      <c r="AH20" s="926" t="str">
        <f>IF('св.прот 4ф'!H123="","",IF('св.прот 4ф'!D123='св.прот 4ф'!H123,'св.прот 4ф'!O123,'св.прот 4ф'!P123))</f>
        <v/>
      </c>
      <c r="AI20" s="927" t="str">
        <f>IF(AH19="","",":")</f>
        <v/>
      </c>
      <c r="AJ20" s="928" t="str">
        <f>IF('св.прот 4ф'!H123="","",IF('св.прот 4ф'!D123='св.прот 4ф'!H123,'св.прот 4ф'!P123,'св.прот 4ф'!O123))</f>
        <v/>
      </c>
      <c r="AK20" s="926" t="str">
        <f>IF('св.прот 4ф'!H55="","",IF('св.прот 4ф'!D55='св.прот 4ф'!H55,'св.прот 4ф'!O55,'св.прот 4ф'!P55))</f>
        <v/>
      </c>
      <c r="AL20" s="927" t="str">
        <f>IF(AK19="","",":")</f>
        <v/>
      </c>
      <c r="AM20" s="928" t="str">
        <f>IF('св.прот 4ф'!H55="","",IF('св.прот 4ф'!D55='св.прот 4ф'!H55,'св.прот 4ф'!P55,'св.прот 4ф'!O55))</f>
        <v/>
      </c>
      <c r="AN20" s="926" t="str">
        <f>IF('св.прот 4ф'!H114="","",IF('св.прот 4ф'!D114='св.прот 4ф'!H114,'св.прот 4ф'!O114,'св.прот 4ф'!P114))</f>
        <v/>
      </c>
      <c r="AO20" s="927" t="str">
        <f>IF(AN19="","",":")</f>
        <v/>
      </c>
      <c r="AP20" s="928" t="str">
        <f>IF('св.прот 4ф'!H114="","",IF('св.прот 4ф'!D114='св.прот 4ф'!H114,'св.прот 4ф'!P114,'св.прот 4ф'!O114))</f>
        <v/>
      </c>
      <c r="AQ20" s="926" t="str">
        <f>IF('св.прот 4ф'!H48="","",IF('св.прот 4ф'!D48='св.прот 4ф'!H48,'св.прот 4ф'!O48,'св.прот 4ф'!P48))</f>
        <v/>
      </c>
      <c r="AR20" s="927" t="str">
        <f>IF(AQ19="","",":")</f>
        <v/>
      </c>
      <c r="AS20" s="928" t="str">
        <f>IF('св.прот 4ф'!H48="","",IF('св.прот 4ф'!D48='св.прот 4ф'!H48,'св.прот 4ф'!P48,'св.прот 4ф'!O48))</f>
        <v/>
      </c>
      <c r="AT20" s="926" t="str">
        <f>IF('св.прот 4ф'!H105="","",IF('св.прот 4ф'!D105='св.прот 4ф'!H105,'св.прот 4ф'!O105,'св.прот 4ф'!P105))</f>
        <v/>
      </c>
      <c r="AU20" s="927" t="str">
        <f>IF(AT19="","",":")</f>
        <v/>
      </c>
      <c r="AV20" s="928" t="str">
        <f>IF('св.прот 4ф'!H105="","",IF('св.прот 4ф'!D105='св.прот 4ф'!H105,'св.прот 4ф'!P105,'св.прот 4ф'!O105))</f>
        <v/>
      </c>
      <c r="AW20" s="926" t="str">
        <f>IF('св.прот 4ф'!H41="","",IF('св.прот 4ф'!D41='св.прот 4ф'!H41,'св.прот 4ф'!O41,'св.прот 4ф'!P41))</f>
        <v/>
      </c>
      <c r="AX20" s="927" t="str">
        <f>IF(AW19="","",":")</f>
        <v/>
      </c>
      <c r="AY20" s="928" t="str">
        <f>IF('св.прот 4ф'!H41="","",IF('св.прот 4ф'!D41='св.прот 4ф'!H41,'св.прот 4ф'!P41,'св.прот 4ф'!O41))</f>
        <v/>
      </c>
      <c r="AZ20" s="1244"/>
      <c r="BA20" s="1245"/>
      <c r="BB20" s="1221"/>
      <c r="BC20" s="1222"/>
    </row>
    <row r="21" spans="1:55" ht="15.75" customHeight="1" x14ac:dyDescent="0.25">
      <c r="A21" s="1175">
        <v>9</v>
      </c>
      <c r="B21" s="1237"/>
      <c r="C21" s="133" t="str">
        <f>IF(B21="","",VLOOKUP(B21,'Списки участников'!A:H,3,FALSE))</f>
        <v/>
      </c>
      <c r="D21" s="1234" t="str">
        <f>IF(AB5="","",IF(AB6="W",0,IF(AB5=2,1,IF(AB5=1,2,IF(AB5=0,2)))))</f>
        <v/>
      </c>
      <c r="E21" s="1235"/>
      <c r="F21" s="1236"/>
      <c r="G21" s="1234" t="str">
        <f>IF(AB7="","",IF(AB8="W",0,IF(AB7=2,1,IF(AB7=1,2,IF(AB7=0,2)))))</f>
        <v/>
      </c>
      <c r="H21" s="1235"/>
      <c r="I21" s="1236"/>
      <c r="J21" s="1234" t="str">
        <f>IF(AB9="","",IF(AB10="W",0,IF(AB9=2,1,IF(AB9=1,2,IF(AB9=0,2)))))</f>
        <v/>
      </c>
      <c r="K21" s="1235"/>
      <c r="L21" s="1236"/>
      <c r="M21" s="1234" t="str">
        <f>IF(AB11="","",IF(AB12="W",0,IF(AB11=2,1,IF(AB11=1,2,IF(AB11=0,2)))))</f>
        <v/>
      </c>
      <c r="N21" s="1235"/>
      <c r="O21" s="1236"/>
      <c r="P21" s="1234" t="str">
        <f>IF(AB13="","",IF(AB14="W",0,IF(AB13=2,1,IF(AB13=1,2,IF(AB13=0,2)))))</f>
        <v/>
      </c>
      <c r="Q21" s="1235"/>
      <c r="R21" s="1236"/>
      <c r="S21" s="1234" t="str">
        <f>IF(AB15="","",IF(AB16="W",0,IF(AB15=2,1,IF(AB15=1,2,IF(AB15=0,2)))))</f>
        <v/>
      </c>
      <c r="T21" s="1235"/>
      <c r="U21" s="1236"/>
      <c r="V21" s="1234" t="str">
        <f>IF(AB17="","",IF(AB18="W",0,IF(AB17=2,1,IF(AB17=1,2,IF(AB17=0,2)))))</f>
        <v/>
      </c>
      <c r="W21" s="1235"/>
      <c r="X21" s="1236"/>
      <c r="Y21" s="1234" t="str">
        <f>IF(AB19="","",IF(AB20="W",0,IF(AB19=2,1,IF(AB19=1,2,IF(AB19=0,2)))))</f>
        <v/>
      </c>
      <c r="Z21" s="1235"/>
      <c r="AA21" s="1236"/>
      <c r="AB21" s="1249"/>
      <c r="AC21" s="1246"/>
      <c r="AD21" s="1247"/>
      <c r="AE21" s="1239" t="str">
        <f>IF('св.прот 4ф'!H124="","",IF(AE22="L",0,IF(AE22&gt;AG22,2,1)))</f>
        <v/>
      </c>
      <c r="AF21" s="1240"/>
      <c r="AG21" s="1241"/>
      <c r="AH21" s="1239" t="str">
        <f>IF('св.прот 4ф'!H54="","",IF(AH22="L",0,IF(AH22&gt;AJ22,2,1)))</f>
        <v/>
      </c>
      <c r="AI21" s="1240"/>
      <c r="AJ21" s="1241"/>
      <c r="AK21" s="1239" t="str">
        <f>IF('св.прот 4ф'!H115="","",IF(AK22="L",0,IF(AK22&gt;AM22,2,1)))</f>
        <v/>
      </c>
      <c r="AL21" s="1240"/>
      <c r="AM21" s="1241"/>
      <c r="AN21" s="1239" t="str">
        <f>IF('св.прот 4ф'!H47="","",IF(AN22="L",0,IF(AN22&gt;AP22,2,1)))</f>
        <v/>
      </c>
      <c r="AO21" s="1240"/>
      <c r="AP21" s="1241"/>
      <c r="AQ21" s="1239" t="str">
        <f>IF('св.прот 4ф'!H106="","",IF(AQ22="L",0,IF(AQ22&gt;AS22,2,1)))</f>
        <v/>
      </c>
      <c r="AR21" s="1240"/>
      <c r="AS21" s="1241"/>
      <c r="AT21" s="1239" t="str">
        <f>IF('св.прот 4ф'!H40="","",IF(AT22="L",0,IF(AT22&gt;AV22,2,1)))</f>
        <v/>
      </c>
      <c r="AU21" s="1240"/>
      <c r="AV21" s="1241"/>
      <c r="AW21" s="1239" t="str">
        <f>IF('св.прот 4ф'!H97="","",IF(AW22="L",0,IF(AW22&gt;AY22,2,1)))</f>
        <v/>
      </c>
      <c r="AX21" s="1240"/>
      <c r="AY21" s="1241"/>
      <c r="AZ21" s="1242" t="str">
        <f t="shared" ref="AZ21" si="7">IF(B21="","",SUM(G21,J21,M21,P21,S21,V21,Y21,AB21,AE21,AH21,AK21,AN21,AQ21,AT21,AW21,D21))</f>
        <v/>
      </c>
      <c r="BA21" s="1243"/>
      <c r="BB21" s="1220"/>
      <c r="BC21" s="1222" t="str">
        <f>IF(B21="","",RANK(AZ21,Ф4Оч)+48)</f>
        <v/>
      </c>
    </row>
    <row r="22" spans="1:55" ht="15.75" customHeight="1" x14ac:dyDescent="0.25">
      <c r="A22" s="1176"/>
      <c r="B22" s="1238"/>
      <c r="C22" s="134" t="str">
        <f>IF(B21="","",VLOOKUP(B21,'Списки участников'!A:H,6,FALSE))</f>
        <v/>
      </c>
      <c r="D22" s="141" t="str">
        <f>IF(AB5="","",AD6)</f>
        <v/>
      </c>
      <c r="E22" s="136" t="str">
        <f>IF(AC6="","",":")</f>
        <v/>
      </c>
      <c r="F22" s="142" t="str">
        <f>IF(AD6="","",AB6)</f>
        <v/>
      </c>
      <c r="G22" s="141" t="str">
        <f>IF(AB7="","",AD8)</f>
        <v/>
      </c>
      <c r="H22" s="136" t="str">
        <f>IF(AC8="","",":")</f>
        <v/>
      </c>
      <c r="I22" s="142" t="str">
        <f>IF(AD8="","",AB8)</f>
        <v/>
      </c>
      <c r="J22" s="141" t="str">
        <f>IF(AB9="","",AD10)</f>
        <v/>
      </c>
      <c r="K22" s="136" t="str">
        <f>IF(AC10="","",":")</f>
        <v/>
      </c>
      <c r="L22" s="142" t="str">
        <f>IF(AD10="","",AB10)</f>
        <v/>
      </c>
      <c r="M22" s="141" t="str">
        <f>IF(AB11="","",AD12)</f>
        <v/>
      </c>
      <c r="N22" s="136" t="str">
        <f>IF(AC12="","",":")</f>
        <v/>
      </c>
      <c r="O22" s="142" t="str">
        <f>IF(AD12="","",AB12)</f>
        <v/>
      </c>
      <c r="P22" s="141" t="str">
        <f>IF(AB13="","",AD14)</f>
        <v/>
      </c>
      <c r="Q22" s="136" t="str">
        <f>IF(AC14="","",":")</f>
        <v/>
      </c>
      <c r="R22" s="142" t="str">
        <f>IF(AD14="","",AB14)</f>
        <v/>
      </c>
      <c r="S22" s="141" t="str">
        <f>IF(AB15="","",AD16)</f>
        <v/>
      </c>
      <c r="T22" s="136" t="str">
        <f>IF(AC16="","",":")</f>
        <v/>
      </c>
      <c r="U22" s="142" t="str">
        <f>IF(AD16="","",AB16)</f>
        <v/>
      </c>
      <c r="V22" s="141" t="str">
        <f>IF(AB17="","",AD18)</f>
        <v/>
      </c>
      <c r="W22" s="136" t="str">
        <f>IF(AC18="","",":")</f>
        <v/>
      </c>
      <c r="X22" s="142" t="str">
        <f>IF(AD18="","",AB18)</f>
        <v/>
      </c>
      <c r="Y22" s="141" t="str">
        <f>IF(AB19="","",AD20)</f>
        <v/>
      </c>
      <c r="Z22" s="136" t="str">
        <f>IF(AC20="","",":")</f>
        <v/>
      </c>
      <c r="AA22" s="142" t="str">
        <f>IF(AD20="","",AB20)</f>
        <v/>
      </c>
      <c r="AB22" s="1231"/>
      <c r="AC22" s="1232"/>
      <c r="AD22" s="1233"/>
      <c r="AE22" s="926" t="str">
        <f>IF('св.прот 4ф'!H124="","",IF('св.прот 4ф'!D124='св.прот 4ф'!H124,'св.прот 4ф'!O21,'св.прот 4ф'!P124))</f>
        <v/>
      </c>
      <c r="AF22" s="927" t="str">
        <f>IF(AE21="","",":")</f>
        <v/>
      </c>
      <c r="AG22" s="928" t="str">
        <f>IF('св.прот 4ф'!H124="","",IF('св.прот 4ф'!D124='св.прот 4ф'!H124,'св.прот 4ф'!P124,'св.прот 4ф'!O124))</f>
        <v/>
      </c>
      <c r="AH22" s="926" t="str">
        <f>IF('св.прот 4ф'!H54="","",IF('св.прот 4ф'!D54='св.прот 4ф'!H54,'св.прот 4ф'!O54,'св.прот 4ф'!P54))</f>
        <v/>
      </c>
      <c r="AI22" s="927" t="str">
        <f>IF(AH21="","",":")</f>
        <v/>
      </c>
      <c r="AJ22" s="928" t="str">
        <f>IF('св.прот 4ф'!H54="","",IF('св.прот 4ф'!D54='св.прот 4ф'!H54,'св.прот 4ф'!P54,'св.прот 4ф'!O54))</f>
        <v/>
      </c>
      <c r="AK22" s="926" t="str">
        <f>IF('св.прот 4ф'!H115="","",IF('св.прот 4ф'!D115='св.прот 4ф'!H115,'св.прот 4ф'!O115,'св.прот 4ф'!P115))</f>
        <v/>
      </c>
      <c r="AL22" s="927" t="str">
        <f>IF(AK21="","",":")</f>
        <v/>
      </c>
      <c r="AM22" s="928" t="str">
        <f>IF('св.прот 4ф'!H115="","",IF('св.прот 4ф'!D115='св.прот 4ф'!H115,'св.прот 4ф'!P115,'св.прот 4ф'!O115))</f>
        <v/>
      </c>
      <c r="AN22" s="926" t="str">
        <f>IF('св.прот 4ф'!H47="","",IF('св.прот 4ф'!D47='св.прот 4ф'!H47,'св.прот 4ф'!O47,'св.прот 4ф'!P47))</f>
        <v/>
      </c>
      <c r="AO22" s="927" t="str">
        <f>IF(AN21="","",":")</f>
        <v/>
      </c>
      <c r="AP22" s="928" t="str">
        <f>IF('св.прот 4ф'!H47="","",IF('св.прот 4ф'!D47='св.прот 4ф'!H47,'св.прот 4ф'!P47,'св.прот 4ф'!O47))</f>
        <v/>
      </c>
      <c r="AQ22" s="926" t="str">
        <f>IF('св.прот 4ф'!H106="","",IF('св.прот 4ф'!D106='св.прот 4ф'!H106,'св.прот 4ф'!O106,'св.прот 4ф'!P106))</f>
        <v/>
      </c>
      <c r="AR22" s="927" t="str">
        <f>IF(AQ21="","",":")</f>
        <v/>
      </c>
      <c r="AS22" s="928" t="str">
        <f>IF('св.прот 4ф'!H106="","",IF('св.прот 4ф'!D106='св.прот 4ф'!H106,'св.прот 4ф'!P106,'св.прот 4ф'!O106))</f>
        <v/>
      </c>
      <c r="AT22" s="926" t="str">
        <f>IF('св.прот 4ф'!H40="","",IF('св.прот 4ф'!D40='св.прот 4ф'!H40,'св.прот 4ф'!O40,'св.прот 4ф'!P40))</f>
        <v/>
      </c>
      <c r="AU22" s="927" t="str">
        <f>IF(AT21="","",":")</f>
        <v/>
      </c>
      <c r="AV22" s="928" t="str">
        <f>IF('св.прот 4ф'!H40="","",IF('св.прот 4ф'!D40='св.прот 4ф'!H40,'св.прот 4ф'!P40,'св.прот 4ф'!O40))</f>
        <v/>
      </c>
      <c r="AW22" s="926" t="str">
        <f>IF('св.прот 4ф'!H97="","",IF('св.прот 4ф'!D97='св.прот 4ф'!H97,'св.прот 4ф'!O97,'св.прот 4ф'!P97))</f>
        <v/>
      </c>
      <c r="AX22" s="927" t="str">
        <f>IF(AW21="","",":")</f>
        <v/>
      </c>
      <c r="AY22" s="928" t="str">
        <f>IF('св.прот 4ф'!H97="","",IF('св.прот 4ф'!D97='св.прот 4ф'!H97,'св.прот 4ф'!P97,'св.прот 4ф'!O97))</f>
        <v/>
      </c>
      <c r="AZ22" s="1244"/>
      <c r="BA22" s="1245"/>
      <c r="BB22" s="1221"/>
      <c r="BC22" s="1222"/>
    </row>
    <row r="23" spans="1:55" ht="15.75" customHeight="1" x14ac:dyDescent="0.25">
      <c r="A23" s="1175">
        <v>10</v>
      </c>
      <c r="B23" s="1223"/>
      <c r="C23" s="133" t="str">
        <f>IF(B23="","",VLOOKUP(B23,'Списки участников'!A:H,3,FALSE))</f>
        <v/>
      </c>
      <c r="D23" s="1234" t="str">
        <f>IF(AE5="","",IF(AE6="W",0,IF(AE5=2,1,IF(AE5=1,2,IF(AE5=0,2)))))</f>
        <v/>
      </c>
      <c r="E23" s="1235"/>
      <c r="F23" s="1236"/>
      <c r="G23" s="1234" t="str">
        <f>IF(AE7="","",IF(AE8="W",0,IF(AE7=2,1,IF(AE7=1,2,IF(AE7=0,2)))))</f>
        <v/>
      </c>
      <c r="H23" s="1235"/>
      <c r="I23" s="1236"/>
      <c r="J23" s="1234" t="str">
        <f>IF(AE9="","",IF(AE10="W",0,IF(AE9=2,1,IF(AE9=1,2,IF(AE9=0,2)))))</f>
        <v/>
      </c>
      <c r="K23" s="1235"/>
      <c r="L23" s="1236"/>
      <c r="M23" s="1234" t="str">
        <f>IF(AE11="","",IF(AE12="W",0,IF(AE11=2,1,IF(AE11=1,2,IF(AE11=0,2)))))</f>
        <v/>
      </c>
      <c r="N23" s="1235"/>
      <c r="O23" s="1236"/>
      <c r="P23" s="1234" t="str">
        <f>IF(AE13="","",IF(AE14="W",0,IF(AE13=2,1,IF(AE13=1,2,IF(AE13=0,2)))))</f>
        <v/>
      </c>
      <c r="Q23" s="1235"/>
      <c r="R23" s="1236"/>
      <c r="S23" s="1234" t="str">
        <f>IF(AE15="","",IF(AE16="W",0,IF(AE15=2,1,IF(AE15=1,2,IF(AE15=0,2)))))</f>
        <v/>
      </c>
      <c r="T23" s="1235"/>
      <c r="U23" s="1236"/>
      <c r="V23" s="1234" t="str">
        <f>IF(AE17="","",IF(AE18="W",0,IF(AE17=2,1,IF(AE17=1,2,IF(AE17=0,2)))))</f>
        <v/>
      </c>
      <c r="W23" s="1235"/>
      <c r="X23" s="1236"/>
      <c r="Y23" s="1234" t="str">
        <f>IF(AE19="","",IF(AE20="W",0,IF(AE19=2,1,IF(AE19=1,2,IF(AE19=0,2)))))</f>
        <v/>
      </c>
      <c r="Z23" s="1235"/>
      <c r="AA23" s="1236"/>
      <c r="AB23" s="1234" t="str">
        <f>IF(AE21="","",IF(AE22="W",0,IF(AE21=2,1,IF(AE21=1,2,IF(AE21=0,2)))))</f>
        <v/>
      </c>
      <c r="AC23" s="1235"/>
      <c r="AD23" s="1236"/>
      <c r="AE23" s="1228"/>
      <c r="AF23" s="1229"/>
      <c r="AG23" s="1230"/>
      <c r="AH23" s="1239" t="str">
        <f>IF('св.прот 4ф'!H116="","",IF(AH24="L",0,IF(AH24&gt;AJ24,2,1)))</f>
        <v/>
      </c>
      <c r="AI23" s="1240"/>
      <c r="AJ23" s="1241"/>
      <c r="AK23" s="1239" t="str">
        <f>IF('св.прот 4ф'!H46="","",IF(AK24="L",0,IF(AK24&gt;AM24,2,1)))</f>
        <v/>
      </c>
      <c r="AL23" s="1240"/>
      <c r="AM23" s="1241"/>
      <c r="AN23" s="1239" t="str">
        <f>IF('св.прот 4ф'!H107="","",IF(AN24="L",0,IF(AN24&gt;AP24,2,1)))</f>
        <v/>
      </c>
      <c r="AO23" s="1240"/>
      <c r="AP23" s="1241"/>
      <c r="AQ23" s="1239" t="str">
        <f>IF('св.прот 4ф'!H39="","",IF(AQ24="L",0,IF(AQ24&gt;AS24,2,1)))</f>
        <v/>
      </c>
      <c r="AR23" s="1240"/>
      <c r="AS23" s="1241"/>
      <c r="AT23" s="1239" t="str">
        <f>IF('св.прот 4ф'!H98="","",IF(AT24="L",0,IF(AT24&gt;AV24,2,1)))</f>
        <v/>
      </c>
      <c r="AU23" s="1240"/>
      <c r="AV23" s="1241"/>
      <c r="AW23" s="1239" t="str">
        <f>IF('св.прот 4ф'!H32="","",IF(AW24="L",0,IF(AW24&gt;AY24,2,1)))</f>
        <v/>
      </c>
      <c r="AX23" s="1240"/>
      <c r="AY23" s="1241"/>
      <c r="AZ23" s="1242" t="str">
        <f t="shared" ref="AZ23" si="8">IF(B23="","",SUM(G23,J23,M23,P23,S23,V23,Y23,AB23,AE23,AH23,AK23,AN23,AQ23,AT23,AW23,D23))</f>
        <v/>
      </c>
      <c r="BA23" s="1243"/>
      <c r="BB23" s="1220"/>
      <c r="BC23" s="1222" t="str">
        <f>IF(B23="","",RANK(AZ23,Ф4Оч)+48)</f>
        <v/>
      </c>
    </row>
    <row r="24" spans="1:55" ht="15.75" customHeight="1" x14ac:dyDescent="0.25">
      <c r="A24" s="1176"/>
      <c r="B24" s="1224"/>
      <c r="C24" s="134" t="str">
        <f>IF(B23="","",VLOOKUP(B23,'Списки участников'!A:H,6,FALSE))</f>
        <v/>
      </c>
      <c r="D24" s="141" t="str">
        <f>IF(AE5="","",AG6)</f>
        <v/>
      </c>
      <c r="E24" s="136" t="str">
        <f>IF(AF6="","",":")</f>
        <v/>
      </c>
      <c r="F24" s="142" t="str">
        <f>IF(AG6="","",AE6)</f>
        <v/>
      </c>
      <c r="G24" s="141" t="str">
        <f>IF(AE7="","",AG8)</f>
        <v/>
      </c>
      <c r="H24" s="136" t="str">
        <f>IF(AF8="","",":")</f>
        <v/>
      </c>
      <c r="I24" s="142" t="str">
        <f>IF(AG8="","",AE8)</f>
        <v/>
      </c>
      <c r="J24" s="141" t="str">
        <f>IF(AE9="","",AG10)</f>
        <v/>
      </c>
      <c r="K24" s="136" t="str">
        <f>IF(AF10="","",":")</f>
        <v/>
      </c>
      <c r="L24" s="142" t="str">
        <f>IF(AG10="","",AE10)</f>
        <v/>
      </c>
      <c r="M24" s="141" t="str">
        <f>IF(AE11="","",AG12)</f>
        <v/>
      </c>
      <c r="N24" s="136" t="str">
        <f>IF(AF12="","",":")</f>
        <v/>
      </c>
      <c r="O24" s="142" t="str">
        <f>IF(AG12="","",AE12)</f>
        <v/>
      </c>
      <c r="P24" s="141" t="str">
        <f>IF(AE13="","",AG14)</f>
        <v/>
      </c>
      <c r="Q24" s="136" t="str">
        <f>IF(AF14="","",":")</f>
        <v/>
      </c>
      <c r="R24" s="142" t="str">
        <f>IF(AG14="","",AE14)</f>
        <v/>
      </c>
      <c r="S24" s="141" t="str">
        <f>IF(AE15="","",AG16)</f>
        <v/>
      </c>
      <c r="T24" s="136" t="str">
        <f>IF(AF16="","",":")</f>
        <v/>
      </c>
      <c r="U24" s="142" t="str">
        <f>IF(AG16="","",AE16)</f>
        <v/>
      </c>
      <c r="V24" s="141" t="str">
        <f>IF(AE17="","",AG18)</f>
        <v/>
      </c>
      <c r="W24" s="136" t="str">
        <f>IF(AF18="","",":")</f>
        <v/>
      </c>
      <c r="X24" s="142" t="str">
        <f>IF(AG18="","",AE18)</f>
        <v/>
      </c>
      <c r="Y24" s="141" t="str">
        <f>IF(AE19="","",AG20)</f>
        <v/>
      </c>
      <c r="Z24" s="136" t="str">
        <f>IF(AF20="","",":")</f>
        <v/>
      </c>
      <c r="AA24" s="142" t="str">
        <f>IF(AG20="","",AE20)</f>
        <v/>
      </c>
      <c r="AB24" s="141" t="str">
        <f>IF(AE21="","",AG22)</f>
        <v/>
      </c>
      <c r="AC24" s="136" t="str">
        <f>IF(AE21="","",":")</f>
        <v/>
      </c>
      <c r="AD24" s="142" t="str">
        <f>IF(AG22="","",AE22)</f>
        <v/>
      </c>
      <c r="AE24" s="1231"/>
      <c r="AF24" s="1232"/>
      <c r="AG24" s="1233"/>
      <c r="AH24" s="926" t="str">
        <f>IF('св.прот 4ф'!H116="","",IF('св.прот 4ф'!D116='св.прот 4ф'!H116,'св.прот 4ф'!O116,'св.прот 4ф'!P116))</f>
        <v/>
      </c>
      <c r="AI24" s="927" t="str">
        <f>IF(AH23="","",":")</f>
        <v/>
      </c>
      <c r="AJ24" s="928" t="str">
        <f>IF('св.прот 4ф'!H116="","",IF('св.прот 4ф'!D116='св.прот 4ф'!H116,'св.прот 4ф'!P116,'св.прот 4ф'!O116))</f>
        <v/>
      </c>
      <c r="AK24" s="926" t="str">
        <f>IF('св.прот 4ф'!H46="","",IF('св.прот 4ф'!D46='св.прот 4ф'!H46,'св.прот 4ф'!O46,'св.прот 4ф'!P46))</f>
        <v/>
      </c>
      <c r="AL24" s="927" t="str">
        <f>IF(AK23="","",":")</f>
        <v/>
      </c>
      <c r="AM24" s="928" t="str">
        <f>IF('св.прот 4ф'!H46="","",IF('св.прот 4ф'!D46='св.прот 4ф'!H46,'св.прот 4ф'!P46,'св.прот 4ф'!O46))</f>
        <v/>
      </c>
      <c r="AN24" s="926" t="str">
        <f>IF('св.прот 4ф'!H107="","",IF('св.прот 4ф'!D107='св.прот 4ф'!H107,'св.прот 4ф'!O107,'св.прот 4ф'!P107))</f>
        <v/>
      </c>
      <c r="AO24" s="927" t="str">
        <f>IF(AN23="","",":")</f>
        <v/>
      </c>
      <c r="AP24" s="928" t="str">
        <f>IF('св.прот 4ф'!H107="","",IF('св.прот 4ф'!D107='св.прот 4ф'!H107,'св.прот 4ф'!P107,'св.прот 4ф'!O107))</f>
        <v/>
      </c>
      <c r="AQ24" s="926" t="str">
        <f>IF('св.прот 4ф'!H39="","",IF('св.прот 4ф'!D39='св.прот 4ф'!H39,'св.прот 4ф'!O39,'св.прот 4ф'!P39))</f>
        <v/>
      </c>
      <c r="AR24" s="927" t="str">
        <f>IF(AQ23="","",":")</f>
        <v/>
      </c>
      <c r="AS24" s="928" t="str">
        <f>IF('св.прот 4ф'!H39="","",IF('св.прот 4ф'!D39='св.прот 4ф'!H39,'св.прот 4ф'!P39,'св.прот 4ф'!O39))</f>
        <v/>
      </c>
      <c r="AT24" s="926" t="str">
        <f>IF('св.прот 4ф'!H98="","",IF('св.прот 4ф'!D98='св.прот 4ф'!H98,'св.прот 4ф'!O98,'св.прот 4ф'!P98))</f>
        <v/>
      </c>
      <c r="AU24" s="927" t="str">
        <f>IF(AT23="","",":")</f>
        <v/>
      </c>
      <c r="AV24" s="928" t="str">
        <f>IF('св.прот 4ф'!H98="","",IF('св.прот 4ф'!D98='св.прот 4ф'!H98,'св.прот 4ф'!P98,'св.прот 4ф'!O98))</f>
        <v/>
      </c>
      <c r="AW24" s="926" t="str">
        <f>IF('св.прот 4ф'!H32="","",IF('св.прот 4ф'!D32='св.прот 4ф'!H32,'св.прот 4ф'!O32,'св.прот 4ф'!P32))</f>
        <v/>
      </c>
      <c r="AX24" s="927" t="str">
        <f>IF(AW23="","",":")</f>
        <v/>
      </c>
      <c r="AY24" s="928" t="str">
        <f>IF('св.прот 4ф'!H32="","",IF('св.прот 4ф'!D32='св.прот 4ф'!H32,'св.прот 4ф'!P32,'св.прот 4ф'!O32))</f>
        <v/>
      </c>
      <c r="AZ24" s="1244"/>
      <c r="BA24" s="1245"/>
      <c r="BB24" s="1221"/>
      <c r="BC24" s="1222"/>
    </row>
    <row r="25" spans="1:55" ht="15.75" customHeight="1" x14ac:dyDescent="0.25">
      <c r="A25" s="1175">
        <v>11</v>
      </c>
      <c r="B25" s="1237"/>
      <c r="C25" s="133" t="str">
        <f>IF(B25="","",VLOOKUP(B25,'Списки участников'!A:H,3,FALSE))</f>
        <v/>
      </c>
      <c r="D25" s="1234" t="str">
        <f>IF(AH5="","",IF(AH6="W",0,IF(AH5=2,1,IF(AH5=1,2,IF(AH5=0,2)))))</f>
        <v/>
      </c>
      <c r="E25" s="1235"/>
      <c r="F25" s="1236"/>
      <c r="G25" s="1234" t="str">
        <f>IF(AH7="","",IF(AH8="W",0,IF(AH7=2,1,IF(AH7=1,2,IF(AH7=0,2)))))</f>
        <v/>
      </c>
      <c r="H25" s="1235"/>
      <c r="I25" s="1236"/>
      <c r="J25" s="1234" t="str">
        <f>IF(AH9="","",IF(AH10="W",0,IF(AH9=2,1,IF(AH9=1,2,IF(AH9=0,2)))))</f>
        <v/>
      </c>
      <c r="K25" s="1235"/>
      <c r="L25" s="1236"/>
      <c r="M25" s="1234" t="str">
        <f>IF(AH11="","",IF(AH12="W",0,IF(AH11=2,1,IF(AH11=1,2,IF(AH11=0,2)))))</f>
        <v/>
      </c>
      <c r="N25" s="1235"/>
      <c r="O25" s="1236"/>
      <c r="P25" s="1234" t="str">
        <f>IF(AH13="","",IF(AH14="W",0,IF(AH13=2,1,IF(AH13=1,2,IF(AH13=0,2)))))</f>
        <v/>
      </c>
      <c r="Q25" s="1235"/>
      <c r="R25" s="1236"/>
      <c r="S25" s="1234" t="str">
        <f>IF(AH15="","",IF(AH16="W",0,IF(AH15=2,1,IF(AH15=1,2,IF(AH15=0,2)))))</f>
        <v/>
      </c>
      <c r="T25" s="1235"/>
      <c r="U25" s="1236"/>
      <c r="V25" s="1234" t="str">
        <f>IF(AH17="","",IF(AH18="W",0,IF(AH17=2,1,IF(AH17=1,2,IF(AH17=0,2)))))</f>
        <v/>
      </c>
      <c r="W25" s="1235"/>
      <c r="X25" s="1236"/>
      <c r="Y25" s="1234" t="str">
        <f>IF(AH19="","",IF(AH20="W",0,IF(AH19=2,1,IF(AH19=1,2,IF(AH19=0,2)))))</f>
        <v/>
      </c>
      <c r="Z25" s="1235"/>
      <c r="AA25" s="1236"/>
      <c r="AB25" s="1234" t="str">
        <f>IF(AH21="","",IF(AH22="W",0,IF(AH21=2,1,IF(AH21=1,2,IF(AH21=0,2)))))</f>
        <v/>
      </c>
      <c r="AC25" s="1235"/>
      <c r="AD25" s="1236"/>
      <c r="AE25" s="1234" t="str">
        <f>IF(AH23="","",IF(AH24="W",0,IF(AH23=2,1,IF(AH23=1,2,IF(AH23=0,2)))))</f>
        <v/>
      </c>
      <c r="AF25" s="1235"/>
      <c r="AG25" s="1236"/>
      <c r="AH25" s="1228"/>
      <c r="AI25" s="1229"/>
      <c r="AJ25" s="1230"/>
      <c r="AK25" s="1239" t="str">
        <f>IF('св.прот 4ф'!H108="","",IF(AK26="L",0,IF(AK26&gt;AM26,2,1)))</f>
        <v/>
      </c>
      <c r="AL25" s="1240"/>
      <c r="AM25" s="1241"/>
      <c r="AN25" s="1239" t="str">
        <f>IF('св.прот 4ф'!H37="","",IF(AN26="L",0,IF(AN26&gt;AP26,2,1)))</f>
        <v/>
      </c>
      <c r="AO25" s="1240"/>
      <c r="AP25" s="1241"/>
      <c r="AQ25" s="1239" t="str">
        <f>IF('св.прот 4ф'!H99="","",IF(AQ26="L",0,IF(AQ26&gt;AS26,2,1)))</f>
        <v/>
      </c>
      <c r="AR25" s="1240"/>
      <c r="AS25" s="1241"/>
      <c r="AT25" s="1239" t="str">
        <f>IF('св.прот 4ф'!H31="","",IF(AT26="L",0,IF(AT26&gt;AV26,2,1)))</f>
        <v/>
      </c>
      <c r="AU25" s="1240"/>
      <c r="AV25" s="1241"/>
      <c r="AW25" s="1239" t="str">
        <f>IF('св.прот 4ф'!H90="","",IF(AW26="L",0,IF(AW26&gt;AY26,2,1)))</f>
        <v/>
      </c>
      <c r="AX25" s="1240"/>
      <c r="AY25" s="1241"/>
      <c r="AZ25" s="1242" t="str">
        <f t="shared" ref="AZ25" si="9">IF(B25="","",SUM(G25,J25,M25,P25,S25,V25,Y25,AB25,AE25,AH25,AK25,AN25,AQ25,AT25,AW25,D25))</f>
        <v/>
      </c>
      <c r="BA25" s="1243"/>
      <c r="BB25" s="1220"/>
      <c r="BC25" s="1222" t="str">
        <f>IF(B25="","",RANK(AZ25,Ф4Оч)+48)</f>
        <v/>
      </c>
    </row>
    <row r="26" spans="1:55" ht="15.75" customHeight="1" x14ac:dyDescent="0.25">
      <c r="A26" s="1176"/>
      <c r="B26" s="1238"/>
      <c r="C26" s="134" t="str">
        <f>IF(B25="","",VLOOKUP(B25,'Списки участников'!A:H,6,FALSE))</f>
        <v/>
      </c>
      <c r="D26" s="141" t="str">
        <f>IF(AH5="","",AJ6)</f>
        <v/>
      </c>
      <c r="E26" s="136" t="str">
        <f>IF(AI6="","",":")</f>
        <v/>
      </c>
      <c r="F26" s="142" t="str">
        <f>IF(AJ6="","",AH6)</f>
        <v/>
      </c>
      <c r="G26" s="141" t="str">
        <f>IF(AH7="","",AJ8)</f>
        <v/>
      </c>
      <c r="H26" s="136" t="str">
        <f>IF(AI8="","",":")</f>
        <v/>
      </c>
      <c r="I26" s="142" t="str">
        <f>IF(AJ8="","",AH8)</f>
        <v/>
      </c>
      <c r="J26" s="141" t="str">
        <f>IF(AH9="","",AJ10)</f>
        <v/>
      </c>
      <c r="K26" s="136" t="str">
        <f>IF(AI10="","",":")</f>
        <v/>
      </c>
      <c r="L26" s="142" t="str">
        <f>IF(AJ10="","",AH10)</f>
        <v/>
      </c>
      <c r="M26" s="141" t="str">
        <f>IF(AH11="","",AJ12)</f>
        <v/>
      </c>
      <c r="N26" s="136" t="str">
        <f>IF(AI12="","",":")</f>
        <v/>
      </c>
      <c r="O26" s="142" t="str">
        <f>IF(AJ12="","",AH12)</f>
        <v/>
      </c>
      <c r="P26" s="141" t="str">
        <f>IF(AH13="","",AJ14)</f>
        <v/>
      </c>
      <c r="Q26" s="136" t="str">
        <f>IF(AI14="","",":")</f>
        <v/>
      </c>
      <c r="R26" s="142" t="str">
        <f>IF(AJ14="","",AH14)</f>
        <v/>
      </c>
      <c r="S26" s="141" t="str">
        <f>IF(AH15="","",AJ16)</f>
        <v/>
      </c>
      <c r="T26" s="136" t="str">
        <f>IF(AI16="","",":")</f>
        <v/>
      </c>
      <c r="U26" s="142" t="str">
        <f>IF(AJ16="","",AH16)</f>
        <v/>
      </c>
      <c r="V26" s="141" t="str">
        <f>IF(AH17="","",AJ18)</f>
        <v/>
      </c>
      <c r="W26" s="136" t="str">
        <f>IF(AI18="","",":")</f>
        <v/>
      </c>
      <c r="X26" s="142" t="str">
        <f>IF(AJ18="","",AH18)</f>
        <v/>
      </c>
      <c r="Y26" s="141" t="str">
        <f>IF(AH19="","",AJ20)</f>
        <v/>
      </c>
      <c r="Z26" s="136" t="str">
        <f>IF(AI20="","",":")</f>
        <v/>
      </c>
      <c r="AA26" s="142" t="str">
        <f>IF(AJ20="","",AH20)</f>
        <v/>
      </c>
      <c r="AB26" s="141" t="str">
        <f>IF(AH21="","",AJ22)</f>
        <v/>
      </c>
      <c r="AC26" s="136" t="str">
        <f>IF(AI22="","",":")</f>
        <v/>
      </c>
      <c r="AD26" s="142" t="str">
        <f>IF(AJ22="","",AH22)</f>
        <v/>
      </c>
      <c r="AE26" s="141" t="str">
        <f>IF(AH23="","",AJ24)</f>
        <v/>
      </c>
      <c r="AF26" s="136" t="str">
        <f>IF(AI24="","",":")</f>
        <v/>
      </c>
      <c r="AG26" s="142" t="str">
        <f>IF(AJ24="","",AH24)</f>
        <v/>
      </c>
      <c r="AH26" s="1231"/>
      <c r="AI26" s="1232"/>
      <c r="AJ26" s="1233"/>
      <c r="AK26" s="926" t="str">
        <f>IF('св.прот 4ф'!H108="","",IF('св.прот 4ф'!D108='св.прот 4ф'!H108,'св.прот 4ф'!O108,'св.прот 4ф'!P108))</f>
        <v/>
      </c>
      <c r="AL26" s="927" t="str">
        <f>IF(AK25="","",":")</f>
        <v/>
      </c>
      <c r="AM26" s="928" t="str">
        <f>IF('св.прот 4ф'!H108="","",IF('св.прот 4ф'!D108='св.прот 4ф'!H108,'св.прот 4ф'!P108,'св.прот 4ф'!O108))</f>
        <v/>
      </c>
      <c r="AN26" s="926" t="str">
        <f>IF('св.прот 4ф'!H38="","",IF('св.прот 4ф'!D38='св.прот 4ф'!H38,'св.прот 4ф'!O38,'св.прот 4ф'!P38))</f>
        <v/>
      </c>
      <c r="AO26" s="927" t="str">
        <f>IF(AN25="","",":")</f>
        <v/>
      </c>
      <c r="AP26" s="928" t="str">
        <f>IF('св.прот 4ф'!H38="","",IF('св.прот 4ф'!D38='св.прот 4ф'!H38,'св.прот 4ф'!P38,'св.прот 4ф'!O38))</f>
        <v/>
      </c>
      <c r="AQ26" s="926" t="str">
        <f>IF('св.прот 4ф'!H99="","",IF('св.прот 4ф'!D99='св.прот 4ф'!H99,'св.прот 4ф'!O99,'св.прот 4ф'!P99))</f>
        <v/>
      </c>
      <c r="AR26" s="927" t="str">
        <f>IF(AQ25="","",":")</f>
        <v/>
      </c>
      <c r="AS26" s="928" t="str">
        <f>IF('св.прот 4ф'!H99="","",IF('св.прот 4ф'!D99='св.прот 4ф'!H99,'св.прот 4ф'!P99,'св.прот 4ф'!O99))</f>
        <v/>
      </c>
      <c r="AT26" s="926" t="str">
        <f>IF('св.прот 4ф'!H31="","",IF('св.прот 4ф'!D31='св.прот 4ф'!H31,'св.прот 4ф'!O31,'св.прот 4ф'!P31))</f>
        <v/>
      </c>
      <c r="AU26" s="927" t="str">
        <f>IF(AT25="","",":")</f>
        <v/>
      </c>
      <c r="AV26" s="928" t="str">
        <f>IF('св.прот 4ф'!H31="","",IF('св.прот 4ф'!D31='св.прот 4ф'!H31,'св.прот 4ф'!P31,'св.прот 4ф'!O31))</f>
        <v/>
      </c>
      <c r="AW26" s="926" t="str">
        <f>IF('св.прот 4ф'!H90="","",IF('св.прот 4ф'!D90='св.прот 4ф'!H90,'св.прот 4ф'!O90,'св.прот 4ф'!P90))</f>
        <v/>
      </c>
      <c r="AX26" s="927" t="str">
        <f>IF(AW25="","",":")</f>
        <v/>
      </c>
      <c r="AY26" s="928" t="str">
        <f>IF('св.прот 4ф'!H90="","",IF('св.прот 4ф'!D90='св.прот 4ф'!H90,'св.прот 4ф'!P90,'св.прот 4ф'!O90))</f>
        <v/>
      </c>
      <c r="AZ26" s="1244"/>
      <c r="BA26" s="1245"/>
      <c r="BB26" s="1221"/>
      <c r="BC26" s="1222"/>
    </row>
    <row r="27" spans="1:55" ht="15.75" customHeight="1" x14ac:dyDescent="0.25">
      <c r="A27" s="1175">
        <v>12</v>
      </c>
      <c r="B27" s="1223"/>
      <c r="C27" s="133" t="str">
        <f>IF(B27="","",VLOOKUP(B27,'Списки участников'!A:H,3,FALSE))</f>
        <v/>
      </c>
      <c r="D27" s="1234" t="str">
        <f>IF(AK5="","",IF(AK6="W",0,IF(AK5=2,1,IF(AK5=1,2,IF(AK5=0,2)))))</f>
        <v/>
      </c>
      <c r="E27" s="1235"/>
      <c r="F27" s="1236"/>
      <c r="G27" s="1234" t="str">
        <f>IF(AK7="","",IF(AK8="W",0,IF(AK7=2,1,IF(AK7=1,2,IF(AK7=0,2)))))</f>
        <v/>
      </c>
      <c r="H27" s="1235"/>
      <c r="I27" s="1236"/>
      <c r="J27" s="1234" t="str">
        <f>IF(AK9="","",IF(AK10="W",0,IF(AK9=2,1,IF(AK9=1,2,IF(AK9=0,2)))))</f>
        <v/>
      </c>
      <c r="K27" s="1235"/>
      <c r="L27" s="1236"/>
      <c r="M27" s="1234" t="str">
        <f>IF(AK11="","",IF(AK12="W",0,IF(AK11=2,1,IF(AK11=1,2,IF(AK11=0,2)))))</f>
        <v/>
      </c>
      <c r="N27" s="1235"/>
      <c r="O27" s="1236"/>
      <c r="P27" s="1234" t="str">
        <f>IF(AK13="","",IF(AK14="W",0,IF(AK13=2,1,IF(AK13=1,2,IF(AK13=0,2)))))</f>
        <v/>
      </c>
      <c r="Q27" s="1235"/>
      <c r="R27" s="1236"/>
      <c r="S27" s="1234" t="str">
        <f>IF(AK15="","",IF(AK16="W",0,IF(AK15=2,1,IF(AK15=1,2,IF(AK15=0,2)))))</f>
        <v/>
      </c>
      <c r="T27" s="1235"/>
      <c r="U27" s="1236"/>
      <c r="V27" s="1234" t="str">
        <f>IF(AK17="","",IF(AK18="W",0,IF(AK17=2,1,IF(AK17=1,2,IF(AK17=0,2)))))</f>
        <v/>
      </c>
      <c r="W27" s="1235"/>
      <c r="X27" s="1236"/>
      <c r="Y27" s="1234" t="str">
        <f>IF(AK19="","",IF(AK20="W",0,IF(AK19=2,1,IF(AK19=1,2,IF(AK19=0,2)))))</f>
        <v/>
      </c>
      <c r="Z27" s="1235"/>
      <c r="AA27" s="1236"/>
      <c r="AB27" s="1234" t="str">
        <f>IF(AK21="","",IF(AK22="W",0,IF(AK21=2,1,IF(AK21=1,2,IF(AK21=0,2)))))</f>
        <v/>
      </c>
      <c r="AC27" s="1235"/>
      <c r="AD27" s="1236"/>
      <c r="AE27" s="1234" t="str">
        <f>IF(AK23="","",IF(AK24="W",0,IF(AK23=2,1,IF(AK23=1,2,IF(AK23=0,2)))))</f>
        <v/>
      </c>
      <c r="AF27" s="1235"/>
      <c r="AG27" s="1236"/>
      <c r="AH27" s="1234" t="str">
        <f>IF(AK25="","",IF(AK26="W",0,IF(AK25=2,1,IF(AK25=1,2,IF(AK25=0,2)))))</f>
        <v/>
      </c>
      <c r="AI27" s="1235"/>
      <c r="AJ27" s="1236"/>
      <c r="AK27" s="1228"/>
      <c r="AL27" s="1229"/>
      <c r="AM27" s="1230"/>
      <c r="AN27" s="1239" t="str">
        <f>IF('св.прот 4ф'!H100="","",IF(AN28="L",0,IF(AN28&gt;AP28,2,1)))</f>
        <v/>
      </c>
      <c r="AO27" s="1240"/>
      <c r="AP27" s="1241"/>
      <c r="AQ27" s="1239" t="str">
        <f>IF('св.прот 4ф'!H30="","",IF(AQ28="L",0,IF(AQ28&gt;AS28,2,1)))</f>
        <v/>
      </c>
      <c r="AR27" s="1240"/>
      <c r="AS27" s="1241"/>
      <c r="AT27" s="1239" t="str">
        <f>IF('св.прот 4ф'!H91="","",IF(AT28="L",0,IF(AT28&gt;AV28,2,1)))</f>
        <v/>
      </c>
      <c r="AU27" s="1240"/>
      <c r="AV27" s="1241"/>
      <c r="AW27" s="1239" t="str">
        <f>IF('св.прот 4ф'!H23="","",IF(AW28="L",0,IF(AW28&gt;AY28,2,1)))</f>
        <v/>
      </c>
      <c r="AX27" s="1240"/>
      <c r="AY27" s="1241"/>
      <c r="AZ27" s="1242" t="str">
        <f t="shared" ref="AZ27" si="10">IF(B27="","",SUM(G27,J27,M27,P27,S27,V27,Y27,AB27,AE27,AH27,AK27,AN27,AQ27,AT27,AW27,D27))</f>
        <v/>
      </c>
      <c r="BA27" s="1243"/>
      <c r="BB27" s="1220"/>
      <c r="BC27" s="1222" t="str">
        <f>IF(B27="","",RANK(AZ27,Ф4Оч)+48)</f>
        <v/>
      </c>
    </row>
    <row r="28" spans="1:55" ht="15.75" customHeight="1" x14ac:dyDescent="0.25">
      <c r="A28" s="1176"/>
      <c r="B28" s="1224"/>
      <c r="C28" s="134" t="str">
        <f>IF(B27="","",VLOOKUP(B27,'Списки участников'!A:H,6,FALSE))</f>
        <v/>
      </c>
      <c r="D28" s="141" t="str">
        <f>IF(AK5="","",AM6)</f>
        <v/>
      </c>
      <c r="E28" s="136" t="str">
        <f>IF(AL6="","",":")</f>
        <v/>
      </c>
      <c r="F28" s="142" t="str">
        <f>IF(AM6="","",AK6)</f>
        <v/>
      </c>
      <c r="G28" s="141" t="str">
        <f>IF(AK7="","",AM8)</f>
        <v/>
      </c>
      <c r="H28" s="136" t="str">
        <f>IF(AL8="","",":")</f>
        <v/>
      </c>
      <c r="I28" s="142" t="str">
        <f>IF(AM8="","",AK8)</f>
        <v/>
      </c>
      <c r="J28" s="141" t="str">
        <f>IF(AK9="","",AM10)</f>
        <v/>
      </c>
      <c r="K28" s="136" t="str">
        <f>IF(AL10="","",":")</f>
        <v/>
      </c>
      <c r="L28" s="142" t="str">
        <f>IF(AM10="","",AK10)</f>
        <v/>
      </c>
      <c r="M28" s="141" t="str">
        <f>IF(AK11="","",AM12)</f>
        <v/>
      </c>
      <c r="N28" s="136" t="str">
        <f>IF(AL12="","",":")</f>
        <v/>
      </c>
      <c r="O28" s="142" t="str">
        <f>IF(AM12="","",AK12)</f>
        <v/>
      </c>
      <c r="P28" s="141" t="str">
        <f>IF(AK13="","",AM14)</f>
        <v/>
      </c>
      <c r="Q28" s="136" t="str">
        <f>IF(AL14="","",":")</f>
        <v/>
      </c>
      <c r="R28" s="142" t="str">
        <f>IF(AM14="","",AK14)</f>
        <v/>
      </c>
      <c r="S28" s="141" t="str">
        <f>IF(AK15="","",AM16)</f>
        <v/>
      </c>
      <c r="T28" s="136" t="str">
        <f>IF(AL16="","",":")</f>
        <v/>
      </c>
      <c r="U28" s="142" t="str">
        <f>IF(AM16="","",AK16)</f>
        <v/>
      </c>
      <c r="V28" s="141" t="str">
        <f>IF(AK17="","",AM18)</f>
        <v/>
      </c>
      <c r="W28" s="136" t="str">
        <f>IF(AL18="","",":")</f>
        <v/>
      </c>
      <c r="X28" s="142" t="str">
        <f>IF(AM18="","",AK18)</f>
        <v/>
      </c>
      <c r="Y28" s="141" t="str">
        <f>IF(AK19="","",AM20)</f>
        <v/>
      </c>
      <c r="Z28" s="136" t="str">
        <f>IF(AL20="","",":")</f>
        <v/>
      </c>
      <c r="AA28" s="142" t="str">
        <f>IF(AM20="","",AK20)</f>
        <v/>
      </c>
      <c r="AB28" s="141" t="str">
        <f>IF(AK21="","",AM22)</f>
        <v/>
      </c>
      <c r="AC28" s="136" t="str">
        <f>IF(AL22="","",":")</f>
        <v/>
      </c>
      <c r="AD28" s="142" t="str">
        <f>IF(AM22="","",AK22)</f>
        <v/>
      </c>
      <c r="AE28" s="141" t="str">
        <f>IF(AK23="","",AM24)</f>
        <v/>
      </c>
      <c r="AF28" s="136" t="str">
        <f>IF(AL24="","",":")</f>
        <v/>
      </c>
      <c r="AG28" s="142" t="str">
        <f>IF(AM24="","",AK24)</f>
        <v/>
      </c>
      <c r="AH28" s="141" t="str">
        <f>IF(AK25="","",AM26)</f>
        <v/>
      </c>
      <c r="AI28" s="136" t="str">
        <f>IF(AL26="","",":")</f>
        <v/>
      </c>
      <c r="AJ28" s="142" t="str">
        <f>IF(AM26="","",AK26)</f>
        <v/>
      </c>
      <c r="AK28" s="1231"/>
      <c r="AL28" s="1232"/>
      <c r="AM28" s="1233"/>
      <c r="AN28" s="926" t="str">
        <f>IF('св.прот 4ф'!H100="","",IF('св.прот 4ф'!D100='св.прот 4ф'!H100,'св.прот 4ф'!O100,'св.прот 4ф'!P100))</f>
        <v/>
      </c>
      <c r="AO28" s="927" t="str">
        <f>IF(AN27="","",":")</f>
        <v/>
      </c>
      <c r="AP28" s="928" t="str">
        <f>IF('св.прот 4ф'!H100="","",IF('св.прот 4ф'!D100='св.прот 4ф'!H100,'св.прот 4ф'!P100,'св.прот 4ф'!O100))</f>
        <v/>
      </c>
      <c r="AQ28" s="926" t="str">
        <f>IF('св.прот 4ф'!H30="","",IF('св.прот 4ф'!D30='св.прот 4ф'!H30,'св.прот 4ф'!O30,'св.прот 4ф'!P30))</f>
        <v/>
      </c>
      <c r="AR28" s="927" t="str">
        <f>IF(AQ27="","",":")</f>
        <v/>
      </c>
      <c r="AS28" s="928" t="str">
        <f>IF('св.прот 4ф'!H30="","",IF('св.прот 4ф'!D30='св.прот 4ф'!H30,'св.прот 4ф'!P30,'св.прот 4ф'!O30))</f>
        <v/>
      </c>
      <c r="AT28" s="926" t="str">
        <f>IF('св.прот 4ф'!H91="","",IF('св.прот 4ф'!D91='св.прот 4ф'!H91,'св.прот 4ф'!O91,'св.прот 4ф'!P91))</f>
        <v/>
      </c>
      <c r="AU28" s="927" t="str">
        <f>IF(AT27="","",":")</f>
        <v/>
      </c>
      <c r="AV28" s="928" t="str">
        <f>IF('св.прот 4ф'!H91="","",IF('св.прот 4ф'!D91='св.прот 4ф'!H91,'св.прот 4ф'!P91,'св.прот 4ф'!O91))</f>
        <v/>
      </c>
      <c r="AW28" s="926" t="str">
        <f>IF('св.прот 4ф'!H23="","",IF('св.прот 4ф'!D23='св.прот 4ф'!H23,'св.прот 4ф'!O23,'св.прот 4ф'!P23))</f>
        <v/>
      </c>
      <c r="AX28" s="927" t="str">
        <f>IF(AW27="","",":")</f>
        <v/>
      </c>
      <c r="AY28" s="928" t="str">
        <f>IF('св.прот 4ф'!H23="","",IF('св.прот 4ф'!D23='св.прот 4ф'!H23,'св.прот 4ф'!P23,'св.прот 4ф'!O23))</f>
        <v/>
      </c>
      <c r="AZ28" s="1244"/>
      <c r="BA28" s="1245"/>
      <c r="BB28" s="1221"/>
      <c r="BC28" s="1222"/>
    </row>
    <row r="29" spans="1:55" ht="15.75" customHeight="1" x14ac:dyDescent="0.25">
      <c r="A29" s="1175">
        <v>13</v>
      </c>
      <c r="B29" s="1237"/>
      <c r="C29" s="133" t="str">
        <f>IF(B29="","",VLOOKUP(B29,'Списки участников'!A:H,3,FALSE))</f>
        <v/>
      </c>
      <c r="D29" s="1234" t="str">
        <f>IF(AN5="","",IF(AN6="W",0,IF(AN5=2,1,IF(AN5=1,2,IF(AN5=0,2)))))</f>
        <v/>
      </c>
      <c r="E29" s="1235"/>
      <c r="F29" s="1236"/>
      <c r="G29" s="1234" t="str">
        <f>IF(AN7="","",IF(AN8="W",0,IF(AN7=2,1,IF(AN7=1,2,IF(AN7=0,2)))))</f>
        <v/>
      </c>
      <c r="H29" s="1235"/>
      <c r="I29" s="1236"/>
      <c r="J29" s="1234" t="str">
        <f>IF(AN9="","",IF(AN10="W",0,IF(AN9=2,1,IF(AN9=1,2,IF(AN9=0,2)))))</f>
        <v/>
      </c>
      <c r="K29" s="1235"/>
      <c r="L29" s="1236"/>
      <c r="M29" s="1234" t="str">
        <f>IF(AN11="","",IF(AN12="W",0,IF(AN11=2,1,IF(AN11=1,2,IF(AN11=0,2)))))</f>
        <v/>
      </c>
      <c r="N29" s="1235"/>
      <c r="O29" s="1236"/>
      <c r="P29" s="1234" t="str">
        <f>IF(AN13="","",IF(AN14="W",0,IF(AN13=2,1,IF(AN13=1,2,IF(AN13=0,2)))))</f>
        <v/>
      </c>
      <c r="Q29" s="1235"/>
      <c r="R29" s="1236"/>
      <c r="S29" s="1234" t="str">
        <f>IF(AN15="","",IF(AN16="W",0,IF(AN15=2,1,IF(AN15=1,2,IF(AN15=0,2)))))</f>
        <v/>
      </c>
      <c r="T29" s="1235"/>
      <c r="U29" s="1236"/>
      <c r="V29" s="1234" t="str">
        <f>IF(AN17="","",IF(AN18="W",0,IF(AN17=2,1,IF(AN17=1,2,IF(AN17=0,2)))))</f>
        <v/>
      </c>
      <c r="W29" s="1235"/>
      <c r="X29" s="1236"/>
      <c r="Y29" s="1234" t="str">
        <f>IF(AN19="","",IF(AN20="W",0,IF(AN19=2,1,IF(AN19=1,2,IF(AN19=0,2)))))</f>
        <v/>
      </c>
      <c r="Z29" s="1235"/>
      <c r="AA29" s="1236"/>
      <c r="AB29" s="1234" t="str">
        <f>IF(AN21="","",IF(AN22="W",0,IF(AN21=2,1,IF(AN21=1,2,IF(AN21=0,2)))))</f>
        <v/>
      </c>
      <c r="AC29" s="1235"/>
      <c r="AD29" s="1236"/>
      <c r="AE29" s="1234" t="str">
        <f>IF(AN23="","",IF(AN24="W",0,IF(AN23=2,1,IF(AN23=1,2,IF(AN23=0,2)))))</f>
        <v/>
      </c>
      <c r="AF29" s="1235"/>
      <c r="AG29" s="1236"/>
      <c r="AH29" s="1234" t="str">
        <f>IF(AN25="","",IF(AN26="W",0,IF(AN25=2,1,IF(AN25=1,2,IF(AN25=0,2)))))</f>
        <v/>
      </c>
      <c r="AI29" s="1235"/>
      <c r="AJ29" s="1236"/>
      <c r="AK29" s="1234" t="str">
        <f>IF(AN27="","",IF(AN28="W",0,IF(AN27=2,1,IF(AN27=1,2,IF(AN27=0,2)))))</f>
        <v/>
      </c>
      <c r="AL29" s="1235"/>
      <c r="AM29" s="1236"/>
      <c r="AN29" s="1228"/>
      <c r="AO29" s="1229"/>
      <c r="AP29" s="1230"/>
      <c r="AQ29" s="1239" t="str">
        <f>IF('св.прот 4ф'!H92="","",IF(AQ30="L",0,IF(AQ30&gt;AS30,2,1)))</f>
        <v/>
      </c>
      <c r="AR29" s="1240"/>
      <c r="AS29" s="1241"/>
      <c r="AT29" s="1239" t="str">
        <f>IF('св.прот 4ф'!H22="","",IF(AT30="L",0,IF(AT30&gt;AV30,2,1)))</f>
        <v/>
      </c>
      <c r="AU29" s="1240"/>
      <c r="AV29" s="1241"/>
      <c r="AW29" s="1239" t="str">
        <f>IF('св.прот 4ф'!H83="","",IF(AW30="L",0,IF(AW30&gt;AY30,2,1)))</f>
        <v/>
      </c>
      <c r="AX29" s="1240"/>
      <c r="AY29" s="1241"/>
      <c r="AZ29" s="1242" t="str">
        <f t="shared" ref="AZ29" si="11">IF(B29="","",SUM(G29,J29,M29,P29,S29,V29,Y29,AB29,AE29,AH29,AK29,AN29,AQ29,AT29,AW29,D29))</f>
        <v/>
      </c>
      <c r="BA29" s="1243"/>
      <c r="BB29" s="1220"/>
      <c r="BC29" s="1222" t="str">
        <f>IF(B29="","",RANK(AZ29,Ф4Оч)+48)</f>
        <v/>
      </c>
    </row>
    <row r="30" spans="1:55" ht="15.75" customHeight="1" x14ac:dyDescent="0.25">
      <c r="A30" s="1176"/>
      <c r="B30" s="1238"/>
      <c r="C30" s="134" t="str">
        <f>IF(B29="","",VLOOKUP(B29,'Списки участников'!A:H,6,FALSE))</f>
        <v/>
      </c>
      <c r="D30" s="141" t="str">
        <f>IF(AN5="","",AP6)</f>
        <v/>
      </c>
      <c r="E30" s="136" t="str">
        <f>IF(AO6="","",":")</f>
        <v/>
      </c>
      <c r="F30" s="142" t="str">
        <f>IF(AP6="","",AN6)</f>
        <v/>
      </c>
      <c r="G30" s="141" t="str">
        <f>IF(AN7="","",AP8)</f>
        <v/>
      </c>
      <c r="H30" s="136" t="str">
        <f>IF(AO8="","",":")</f>
        <v/>
      </c>
      <c r="I30" s="142" t="str">
        <f>IF(AP8="","",AN8)</f>
        <v/>
      </c>
      <c r="J30" s="141" t="str">
        <f>IF(AN9="","",AP10)</f>
        <v/>
      </c>
      <c r="K30" s="136" t="str">
        <f>IF(AO10="","",":")</f>
        <v/>
      </c>
      <c r="L30" s="142" t="str">
        <f>IF(AP10="","",AN10)</f>
        <v/>
      </c>
      <c r="M30" s="141" t="str">
        <f>IF(AN11="","",AP12)</f>
        <v/>
      </c>
      <c r="N30" s="136" t="str">
        <f>IF(AO12="","",":")</f>
        <v/>
      </c>
      <c r="O30" s="142" t="str">
        <f>IF(AP12="","",AN12)</f>
        <v/>
      </c>
      <c r="P30" s="141" t="str">
        <f>IF(AN13="","",AP14)</f>
        <v/>
      </c>
      <c r="Q30" s="136" t="str">
        <f>IF(AO14="","",":")</f>
        <v/>
      </c>
      <c r="R30" s="142" t="str">
        <f>IF(AP14="","",AN14)</f>
        <v/>
      </c>
      <c r="S30" s="141" t="str">
        <f>IF(AN15="","",AP16)</f>
        <v/>
      </c>
      <c r="T30" s="136" t="str">
        <f>IF(AO16="","",":")</f>
        <v/>
      </c>
      <c r="U30" s="142" t="str">
        <f>IF(AP16="","",AN16)</f>
        <v/>
      </c>
      <c r="V30" s="141" t="str">
        <f>IF(AN17="","",AP18)</f>
        <v/>
      </c>
      <c r="W30" s="136" t="str">
        <f>IF(AO18="","",":")</f>
        <v/>
      </c>
      <c r="X30" s="142" t="str">
        <f>IF(AP18="","",AN18)</f>
        <v/>
      </c>
      <c r="Y30" s="141" t="str">
        <f>IF(AN19="","",AP20)</f>
        <v/>
      </c>
      <c r="Z30" s="136" t="str">
        <f>IF(AO20="","",":")</f>
        <v/>
      </c>
      <c r="AA30" s="142" t="str">
        <f>IF(AP20="","",AN20)</f>
        <v/>
      </c>
      <c r="AB30" s="141" t="str">
        <f>IF(AN21="","",AP22)</f>
        <v/>
      </c>
      <c r="AC30" s="136" t="str">
        <f>IF(AO22="","",":")</f>
        <v/>
      </c>
      <c r="AD30" s="142" t="str">
        <f>IF(AP22="","",AN22)</f>
        <v/>
      </c>
      <c r="AE30" s="141" t="str">
        <f>IF(AN23="","",AP24)</f>
        <v/>
      </c>
      <c r="AF30" s="136" t="str">
        <f>IF(AO24="","",":")</f>
        <v/>
      </c>
      <c r="AG30" s="142" t="str">
        <f>IF(AP24="","",AN24)</f>
        <v/>
      </c>
      <c r="AH30" s="141" t="str">
        <f>IF(AN25="","",AP26)</f>
        <v/>
      </c>
      <c r="AI30" s="136" t="str">
        <f>IF(AO26="","",":")</f>
        <v/>
      </c>
      <c r="AJ30" s="142" t="str">
        <f>IF(AP26="","",AN26)</f>
        <v/>
      </c>
      <c r="AK30" s="141" t="str">
        <f>IF(AN27="","",AP28)</f>
        <v/>
      </c>
      <c r="AL30" s="136" t="str">
        <f>IF(AO28="","",":")</f>
        <v/>
      </c>
      <c r="AM30" s="142" t="str">
        <f>IF(AP28="","",AN28)</f>
        <v/>
      </c>
      <c r="AN30" s="1231"/>
      <c r="AO30" s="1232"/>
      <c r="AP30" s="1233"/>
      <c r="AQ30" s="926" t="str">
        <f>IF('св.прот 4ф'!H92="","",IF('св.прот 4ф'!D92='св.прот 4ф'!H92,'св.прот 4ф'!O92,'св.прот 4ф'!P92))</f>
        <v/>
      </c>
      <c r="AR30" s="927" t="str">
        <f>IF(AQ29="","",":")</f>
        <v/>
      </c>
      <c r="AS30" s="928" t="str">
        <f>IF('св.прот 4ф'!H92="","",IF('св.прот 4ф'!D92='св.прот 4ф'!H92,'св.прот 4ф'!P92,'св.прот 4ф'!O92))</f>
        <v/>
      </c>
      <c r="AT30" s="926" t="str">
        <f>IF('св.прот 4ф'!H22="","",IF('св.прот 4ф'!D22='св.прот 4ф'!H22,'св.прот 4ф'!O22,'св.прот 4ф'!P22))</f>
        <v/>
      </c>
      <c r="AU30" s="927" t="str">
        <f>IF(AT29="","",":")</f>
        <v/>
      </c>
      <c r="AV30" s="928" t="str">
        <f>IF('св.прот 4ф'!H22="","",IF('св.прот 4ф'!D22='св.прот 4ф'!H22,'св.прот 4ф'!P22,'св.прот 4ф'!O22))</f>
        <v/>
      </c>
      <c r="AW30" s="926" t="str">
        <f>IF('св.прот 4ф'!H83="","",IF('св.прот 4ф'!D83='св.прот 4ф'!H83,'св.прот 4ф'!O83,'св.прот 4ф'!P83))</f>
        <v/>
      </c>
      <c r="AX30" s="927" t="str">
        <f>IF(AW29="","",":")</f>
        <v/>
      </c>
      <c r="AY30" s="928" t="str">
        <f>IF('св.прот 4ф'!H83="","",IF('св.прот 4ф'!D83='св.прот 4ф'!H83,'св.прот 4ф'!P83,'св.прот 4ф'!O83))</f>
        <v/>
      </c>
      <c r="AZ30" s="1244"/>
      <c r="BA30" s="1245"/>
      <c r="BB30" s="1221"/>
      <c r="BC30" s="1222"/>
    </row>
    <row r="31" spans="1:55" ht="15.75" customHeight="1" x14ac:dyDescent="0.25">
      <c r="A31" s="1175">
        <v>14</v>
      </c>
      <c r="B31" s="1223"/>
      <c r="C31" s="133" t="str">
        <f>IF(B31="","",VLOOKUP(B31,'Списки участников'!A:H,3,FALSE))</f>
        <v/>
      </c>
      <c r="D31" s="1234" t="str">
        <f>IF(AQ5="","",IF(AQ6="W",0,IF(AQ5=2,1,IF(AQ5=1,2,IF(AQ5=0,2)))))</f>
        <v/>
      </c>
      <c r="E31" s="1235"/>
      <c r="F31" s="1236"/>
      <c r="G31" s="1234" t="str">
        <f>IF(AQ7="","",IF(AQ8="W",0,IF(AQ7=2,1,IF(AQ7=1,2,IF(AQ7=0,2)))))</f>
        <v/>
      </c>
      <c r="H31" s="1235"/>
      <c r="I31" s="1236"/>
      <c r="J31" s="1234" t="str">
        <f>IF(AQ9="","",IF(AQ10="W",0,IF(AQ9=2,1,IF(AQ9=1,2,IF(AQ9=0,2)))))</f>
        <v/>
      </c>
      <c r="K31" s="1235"/>
      <c r="L31" s="1236"/>
      <c r="M31" s="1234" t="str">
        <f>IF(AQ11="","",IF(AQ12="W",0,IF(AQ11=2,1,IF(AQ11=1,2,IF(AQ11=0,2)))))</f>
        <v/>
      </c>
      <c r="N31" s="1235"/>
      <c r="O31" s="1236"/>
      <c r="P31" s="1234" t="str">
        <f>IF(AQ13="","",IF(AQ14="W",0,IF(AQ13=2,1,IF(AQ13=1,2,IF(AQ13=0,2)))))</f>
        <v/>
      </c>
      <c r="Q31" s="1235"/>
      <c r="R31" s="1236"/>
      <c r="S31" s="1234" t="str">
        <f>IF(AQ15="","",IF(AQ16="W",0,IF(AQ15=2,1,IF(AQ15=1,2,IF(AQ15=0,2)))))</f>
        <v/>
      </c>
      <c r="T31" s="1235"/>
      <c r="U31" s="1236"/>
      <c r="V31" s="1234" t="str">
        <f>IF(AQ17="","",IF(AQ18="W",0,IF(AQ17=2,1,IF(AQ17=1,2,IF(AQ17=0,2)))))</f>
        <v/>
      </c>
      <c r="W31" s="1235"/>
      <c r="X31" s="1236"/>
      <c r="Y31" s="1234" t="str">
        <f>IF(AQ19="","",IF(AQ20="W",0,IF(AQ19=2,1,IF(AQ19=1,2,IF(AQ19=0,2)))))</f>
        <v/>
      </c>
      <c r="Z31" s="1235"/>
      <c r="AA31" s="1236"/>
      <c r="AB31" s="1234" t="str">
        <f>IF(AQ21="","",IF(AQ22="W",0,IF(AQ21=2,1,IF(AQ21=1,2,IF(AQ21=0,2)))))</f>
        <v/>
      </c>
      <c r="AC31" s="1235"/>
      <c r="AD31" s="1236"/>
      <c r="AE31" s="1234" t="str">
        <f>IF(AQ23="","",IF(AQ24="W",0,IF(AQ23=2,1,IF(AQ23=1,2,IF(AQ23=0,2)))))</f>
        <v/>
      </c>
      <c r="AF31" s="1235"/>
      <c r="AG31" s="1236"/>
      <c r="AH31" s="1234" t="str">
        <f>IF(AQ25="","",IF(AQ26="W",0,IF(AQ25=2,1,IF(AQ25=1,2,IF(AQ25=0,2)))))</f>
        <v/>
      </c>
      <c r="AI31" s="1235"/>
      <c r="AJ31" s="1236"/>
      <c r="AK31" s="1234" t="str">
        <f>IF(AQ27="","",IF(AQ28="W",0,IF(AQ27=2,1,IF(AQ27=1,2,IF(AQ27=0,2)))))</f>
        <v/>
      </c>
      <c r="AL31" s="1235"/>
      <c r="AM31" s="1236"/>
      <c r="AN31" s="1234" t="str">
        <f>IF(AQ29="","",IF(AQ30="W",0,IF(AQ29=2,1,IF(AQ29=1,2,IF(AQ29=0,2)))))</f>
        <v/>
      </c>
      <c r="AO31" s="1235"/>
      <c r="AP31" s="1236"/>
      <c r="AQ31" s="1228"/>
      <c r="AR31" s="1229"/>
      <c r="AS31" s="1230"/>
      <c r="AT31" s="1239" t="str">
        <f>IF('св.прот 4ф'!H84="","",IF(AT32="L",0,IF(AT32&gt;AV32,2,1)))</f>
        <v/>
      </c>
      <c r="AU31" s="1240"/>
      <c r="AV31" s="1241"/>
      <c r="AW31" s="1239" t="str">
        <f>IF('св.прот 4ф'!H14="","",IF(AW32="L",0,IF(AW32&gt;AY32,2,1)))</f>
        <v/>
      </c>
      <c r="AX31" s="1240"/>
      <c r="AY31" s="1241"/>
      <c r="AZ31" s="1242" t="str">
        <f t="shared" ref="AZ31" si="12">IF(B31="","",SUM(G31,J31,M31,P31,S31,V31,Y31,AB31,AE31,AH31,AK31,AN31,AQ31,AT31,AW31,D31))</f>
        <v/>
      </c>
      <c r="BA31" s="1243"/>
      <c r="BB31" s="1220"/>
      <c r="BC31" s="1222" t="str">
        <f>IF(B31="","",RANK(AZ31,Ф4Оч)+48)</f>
        <v/>
      </c>
    </row>
    <row r="32" spans="1:55" ht="15.75" customHeight="1" x14ac:dyDescent="0.25">
      <c r="A32" s="1176"/>
      <c r="B32" s="1224"/>
      <c r="C32" s="134" t="str">
        <f>IF(B31="","",VLOOKUP(B31,'Списки участников'!A:H,6,FALSE))</f>
        <v/>
      </c>
      <c r="D32" s="141" t="str">
        <f>IF(AQ5="","",AS6)</f>
        <v/>
      </c>
      <c r="E32" s="136" t="str">
        <f>IF(AR6="","",":")</f>
        <v/>
      </c>
      <c r="F32" s="142" t="str">
        <f>IF(AS6="","",AQ6)</f>
        <v/>
      </c>
      <c r="G32" s="141" t="str">
        <f>IF(AQ7="","",AS8)</f>
        <v/>
      </c>
      <c r="H32" s="136" t="str">
        <f>IF(AR8="","",":")</f>
        <v/>
      </c>
      <c r="I32" s="142" t="str">
        <f>IF(AS8="","",AQ8)</f>
        <v/>
      </c>
      <c r="J32" s="141" t="str">
        <f>IF(AQ9="","",AS10)</f>
        <v/>
      </c>
      <c r="K32" s="136" t="str">
        <f>IF(AR10="","",":")</f>
        <v/>
      </c>
      <c r="L32" s="142" t="str">
        <f>IF(AS10="","",AQ10)</f>
        <v/>
      </c>
      <c r="M32" s="141" t="str">
        <f>IF(AQ11="","",AS12)</f>
        <v/>
      </c>
      <c r="N32" s="136" t="str">
        <f>IF(AR12="","",":")</f>
        <v/>
      </c>
      <c r="O32" s="142" t="str">
        <f>IF(AS12="","",AQ12)</f>
        <v/>
      </c>
      <c r="P32" s="141" t="str">
        <f>IF(AQ13="","",AS14)</f>
        <v/>
      </c>
      <c r="Q32" s="136" t="str">
        <f>IF(AR14="","",":")</f>
        <v/>
      </c>
      <c r="R32" s="142" t="str">
        <f>IF(AS14="","",AQ14)</f>
        <v/>
      </c>
      <c r="S32" s="141" t="str">
        <f>IF(AQ15="","",AS16)</f>
        <v/>
      </c>
      <c r="T32" s="136" t="str">
        <f>IF(AR16="","",":")</f>
        <v/>
      </c>
      <c r="U32" s="142" t="str">
        <f>IF(AS16="","",AQ16)</f>
        <v/>
      </c>
      <c r="V32" s="141" t="str">
        <f>IF(AQ17="","",AS18)</f>
        <v/>
      </c>
      <c r="W32" s="136" t="str">
        <f>IF(AR18="","",":")</f>
        <v/>
      </c>
      <c r="X32" s="142" t="str">
        <f>IF(AS18="","",AQ18)</f>
        <v/>
      </c>
      <c r="Y32" s="141" t="str">
        <f>IF(AQ19="","",AS20)</f>
        <v/>
      </c>
      <c r="Z32" s="136" t="str">
        <f>IF(AR20="","",":")</f>
        <v/>
      </c>
      <c r="AA32" s="142" t="str">
        <f>IF(AS20="","",AQ20)</f>
        <v/>
      </c>
      <c r="AB32" s="141" t="str">
        <f>IF(AQ21="","",AS22)</f>
        <v/>
      </c>
      <c r="AC32" s="136" t="str">
        <f>IF(AR22="","",":")</f>
        <v/>
      </c>
      <c r="AD32" s="142" t="str">
        <f>IF(AS22="","",AQ22)</f>
        <v/>
      </c>
      <c r="AE32" s="141" t="str">
        <f>IF(AQ23="","",AS24)</f>
        <v/>
      </c>
      <c r="AF32" s="136" t="str">
        <f>IF(AR24="","",":")</f>
        <v/>
      </c>
      <c r="AG32" s="142" t="str">
        <f>IF(AS24="","",AQ24)</f>
        <v/>
      </c>
      <c r="AH32" s="141" t="str">
        <f>IF(AQ25="","",AS26)</f>
        <v/>
      </c>
      <c r="AI32" s="136" t="str">
        <f>IF(AR26="","",":")</f>
        <v/>
      </c>
      <c r="AJ32" s="142" t="str">
        <f>IF(AS26="","",AQ26)</f>
        <v/>
      </c>
      <c r="AK32" s="141" t="str">
        <f>IF(AQ27="","",AS28)</f>
        <v/>
      </c>
      <c r="AL32" s="136" t="str">
        <f>IF(AR28="","",":")</f>
        <v/>
      </c>
      <c r="AM32" s="142" t="str">
        <f>IF(AS28="","",AQ28)</f>
        <v/>
      </c>
      <c r="AN32" s="141" t="str">
        <f>IF(AQ29="","",AS30)</f>
        <v/>
      </c>
      <c r="AO32" s="136" t="str">
        <f>IF(AR30="","",":")</f>
        <v/>
      </c>
      <c r="AP32" s="142" t="str">
        <f>IF(AS30="","",AQ30)</f>
        <v/>
      </c>
      <c r="AQ32" s="1231"/>
      <c r="AR32" s="1232"/>
      <c r="AS32" s="1233"/>
      <c r="AT32" s="926" t="str">
        <f>IF('св.прот 4ф'!H84="","",IF('св.прот 4ф'!D84='св.прот 4ф'!H84,'св.прот 4ф'!O84,'св.прот 4ф'!P84))</f>
        <v/>
      </c>
      <c r="AU32" s="927" t="str">
        <f>IF(AT31="","",":")</f>
        <v/>
      </c>
      <c r="AV32" s="928" t="str">
        <f>IF('св.прот 4ф'!H84="","",IF('св.прот 4ф'!D84='св.прот 4ф'!H84,'св.прот 4ф'!P84,'св.прот 4ф'!O84))</f>
        <v/>
      </c>
      <c r="AW32" s="926" t="str">
        <f>IF('св.прот 4ф'!H14="","",IF('св.прот 4ф'!D14='св.прот 4ф'!H14,'св.прот 4ф'!O13,'св.прот 4ф'!P14))</f>
        <v/>
      </c>
      <c r="AX32" s="927" t="str">
        <f>IF(AW31="","",":")</f>
        <v/>
      </c>
      <c r="AY32" s="928" t="str">
        <f>IF('св.прот 4ф'!H14="","",IF('св.прот 4ф'!D14='св.прот 4ф'!H14,'св.прот 4ф'!P14,'св.прот 4ф'!O14))</f>
        <v/>
      </c>
      <c r="AZ32" s="1244"/>
      <c r="BA32" s="1245"/>
      <c r="BB32" s="1221"/>
      <c r="BC32" s="1222"/>
    </row>
    <row r="33" spans="1:55" ht="15.75" customHeight="1" x14ac:dyDescent="0.25">
      <c r="A33" s="1250">
        <v>15</v>
      </c>
      <c r="B33" s="1237"/>
      <c r="C33" s="133" t="str">
        <f>IF(B33="","",VLOOKUP(B33,'Списки участников'!A:H,3,FALSE))</f>
        <v/>
      </c>
      <c r="D33" s="1234" t="str">
        <f>IF(AT5="","",IF(AT6="W",0,IF(AT5=2,1,IF(AT5=1,2,IF(AT5=0,2)))))</f>
        <v/>
      </c>
      <c r="E33" s="1235"/>
      <c r="F33" s="1236"/>
      <c r="G33" s="1234" t="str">
        <f>IF(AT7="","",IF(AT8="W",0,IF(AT7=2,1,IF(AT7=1,2,IF(AT7=0,2)))))</f>
        <v/>
      </c>
      <c r="H33" s="1235"/>
      <c r="I33" s="1236"/>
      <c r="J33" s="1234" t="str">
        <f>IF(AT9="","",IF(AT10="W",0,IF(AT9=2,1,IF(AT9=1,2,IF(AT9=0,2)))))</f>
        <v/>
      </c>
      <c r="K33" s="1235"/>
      <c r="L33" s="1236"/>
      <c r="M33" s="1234" t="str">
        <f>IF(AT11="","",IF(AT12="W",0,IF(AT11=2,1,IF(AT11=1,2,IF(AT11=0,2)))))</f>
        <v/>
      </c>
      <c r="N33" s="1235"/>
      <c r="O33" s="1236"/>
      <c r="P33" s="1234" t="str">
        <f>IF(AT13="","",IF(AT14="W",0,IF(AT13=2,1,IF(AT13=1,2,IF(AT13=0,2)))))</f>
        <v/>
      </c>
      <c r="Q33" s="1235"/>
      <c r="R33" s="1236"/>
      <c r="S33" s="1234" t="str">
        <f>IF(AT15="","",IF(AT16="W",0,IF(AT15=2,1,IF(AT15=1,2,IF(AT15=0,2)))))</f>
        <v/>
      </c>
      <c r="T33" s="1235"/>
      <c r="U33" s="1236"/>
      <c r="V33" s="1234" t="str">
        <f>IF(AT17="","",IF(AT18="W",0,IF(AT17=2,1,IF(AT17=1,2,IF(AT17=0,2)))))</f>
        <v/>
      </c>
      <c r="W33" s="1235"/>
      <c r="X33" s="1236"/>
      <c r="Y33" s="1234" t="str">
        <f>IF(AT19="","",IF(AT20="W",0,IF(AT19=2,1,IF(AT19=1,2,IF(AT19=0,2)))))</f>
        <v/>
      </c>
      <c r="Z33" s="1235"/>
      <c r="AA33" s="1236"/>
      <c r="AB33" s="1234" t="str">
        <f>IF(AT21="","",IF(AT22="W",0,IF(AT21=2,1,IF(AT21=1,2,IF(AT21=0,2)))))</f>
        <v/>
      </c>
      <c r="AC33" s="1235"/>
      <c r="AD33" s="1236"/>
      <c r="AE33" s="1234" t="str">
        <f>IF(AT23="","",IF(AT24="W",0,IF(AT23=2,1,IF(AT23=1,2,IF(AT23=0,2)))))</f>
        <v/>
      </c>
      <c r="AF33" s="1235"/>
      <c r="AG33" s="1236"/>
      <c r="AH33" s="1234" t="str">
        <f>IF(AT25="","",IF(AT26="W",0,IF(AT25=2,1,IF(AT25=1,2,IF(AT25=0,2)))))</f>
        <v/>
      </c>
      <c r="AI33" s="1235"/>
      <c r="AJ33" s="1236"/>
      <c r="AK33" s="1234" t="str">
        <f>IF(AT27="","",IF(AT28="W",0,IF(AT27=2,1,IF(AT27=1,2,IF(AT27=0,2)))))</f>
        <v/>
      </c>
      <c r="AL33" s="1235"/>
      <c r="AM33" s="1236"/>
      <c r="AN33" s="1234" t="str">
        <f>IF(AT29="","",IF(AT30="W",0,IF(AT29=2,1,IF(AT29=1,2,IF(AT29=0,2)))))</f>
        <v/>
      </c>
      <c r="AO33" s="1235"/>
      <c r="AP33" s="1236"/>
      <c r="AQ33" s="1234" t="str">
        <f>IF(AT31="","",IF(AT32="W",0,IF(AT31=2,1,IF(AT31=1,2,IF(AT31=0,2)))))</f>
        <v/>
      </c>
      <c r="AR33" s="1235"/>
      <c r="AS33" s="1236"/>
      <c r="AT33" s="1249"/>
      <c r="AU33" s="1246"/>
      <c r="AV33" s="1247"/>
      <c r="AW33" s="1234" t="str">
        <f>IF('св.прот 4ф'!H76="","",IF(AW34="L",0,IF(AW34&gt;AY34,2,1)))</f>
        <v/>
      </c>
      <c r="AX33" s="1235"/>
      <c r="AY33" s="1236"/>
      <c r="AZ33" s="1242" t="str">
        <f t="shared" ref="AZ33" si="13">IF(B33="","",SUM(G33,J33,M33,P33,S33,V33,Y33,AB33,AE33,AH33,AK33,AN33,AQ33,AT33,AW33,D33))</f>
        <v/>
      </c>
      <c r="BA33" s="1243"/>
      <c r="BB33" s="1220"/>
      <c r="BC33" s="1222" t="str">
        <f>IF(B33="","",RANK(AZ33,Ф4Оч)+48)</f>
        <v/>
      </c>
    </row>
    <row r="34" spans="1:55" ht="15.75" customHeight="1" x14ac:dyDescent="0.25">
      <c r="A34" s="1251"/>
      <c r="B34" s="1238"/>
      <c r="C34" s="134" t="str">
        <f>IF(B33="","",VLOOKUP(B33,'Списки участников'!A:H,6,FALSE))</f>
        <v/>
      </c>
      <c r="D34" s="141" t="str">
        <f>IF(AT5="","",AV6)</f>
        <v/>
      </c>
      <c r="E34" s="136" t="str">
        <f>IF(AU6="","",":")</f>
        <v/>
      </c>
      <c r="F34" s="142" t="str">
        <f>IF(AV6="","",AT6)</f>
        <v/>
      </c>
      <c r="G34" s="141" t="str">
        <f>IF(AT7="","",AV8)</f>
        <v/>
      </c>
      <c r="H34" s="136" t="str">
        <f>IF(AU8="","",":")</f>
        <v/>
      </c>
      <c r="I34" s="142" t="str">
        <f>IF(AV8="","",AT8)</f>
        <v/>
      </c>
      <c r="J34" s="141" t="str">
        <f>IF(AT10="","",IF(AV10="l","W",AV10))</f>
        <v/>
      </c>
      <c r="K34" s="136" t="str">
        <f>IF(AU10="","",":")</f>
        <v/>
      </c>
      <c r="L34" s="142" t="str">
        <f>IF(AV10="","",AT10)</f>
        <v/>
      </c>
      <c r="M34" s="141" t="str">
        <f>IF(AT11="","",AV12)</f>
        <v/>
      </c>
      <c r="N34" s="136" t="str">
        <f>IF(AU12="","",":")</f>
        <v/>
      </c>
      <c r="O34" s="142" t="str">
        <f>IF(AV12="","",AT12)</f>
        <v/>
      </c>
      <c r="P34" s="141" t="str">
        <f>IF(AT13="","",AV14)</f>
        <v/>
      </c>
      <c r="Q34" s="136" t="str">
        <f>IF(AU14="","",":")</f>
        <v/>
      </c>
      <c r="R34" s="142" t="str">
        <f>IF(AV14="","",AT14)</f>
        <v/>
      </c>
      <c r="S34" s="141" t="str">
        <f>IF(AT15="","",AV16)</f>
        <v/>
      </c>
      <c r="T34" s="136" t="str">
        <f>IF(AU16="","",":")</f>
        <v/>
      </c>
      <c r="U34" s="142" t="str">
        <f>IF(AV16="","",AT16)</f>
        <v/>
      </c>
      <c r="V34" s="141" t="str">
        <f>IF(AT17="","",AV18)</f>
        <v/>
      </c>
      <c r="W34" s="136" t="str">
        <f>IF(AU18="","",":")</f>
        <v/>
      </c>
      <c r="X34" s="142" t="str">
        <f>IF(AV18="","",AT18)</f>
        <v/>
      </c>
      <c r="Y34" s="141" t="str">
        <f>IF(AT19="","",AV20)</f>
        <v/>
      </c>
      <c r="Z34" s="136" t="str">
        <f>IF(AU20="","",":")</f>
        <v/>
      </c>
      <c r="AA34" s="142" t="str">
        <f>IF(AV20="","",AT20)</f>
        <v/>
      </c>
      <c r="AB34" s="141" t="str">
        <f>IF(AT21="","",AV22)</f>
        <v/>
      </c>
      <c r="AC34" s="136" t="str">
        <f>IF(AU22="","",":")</f>
        <v/>
      </c>
      <c r="AD34" s="142" t="str">
        <f>IF(AV22="","",AT22)</f>
        <v/>
      </c>
      <c r="AE34" s="141" t="str">
        <f>IF(AT23="","",AV24)</f>
        <v/>
      </c>
      <c r="AF34" s="136" t="str">
        <f>IF(AU24="","",":")</f>
        <v/>
      </c>
      <c r="AG34" s="142" t="str">
        <f>IF(AV24="","",AT24)</f>
        <v/>
      </c>
      <c r="AH34" s="141" t="str">
        <f>IF(AT25="","",AV26)</f>
        <v/>
      </c>
      <c r="AI34" s="136" t="str">
        <f>IF(AU26="","",":")</f>
        <v/>
      </c>
      <c r="AJ34" s="142" t="str">
        <f>IF(AV26="","",AT26)</f>
        <v/>
      </c>
      <c r="AK34" s="141" t="str">
        <f>IF(AT27="","",AV28)</f>
        <v/>
      </c>
      <c r="AL34" s="136" t="str">
        <f>IF(AU28="","",":")</f>
        <v/>
      </c>
      <c r="AM34" s="142" t="str">
        <f>IF(AV28="","",AT28)</f>
        <v/>
      </c>
      <c r="AN34" s="141" t="str">
        <f>IF(AT29="","",AV30)</f>
        <v/>
      </c>
      <c r="AO34" s="136" t="str">
        <f>IF(AU30="","",":")</f>
        <v/>
      </c>
      <c r="AP34" s="142" t="str">
        <f>IF(AV30="","",AT30)</f>
        <v/>
      </c>
      <c r="AQ34" s="141" t="str">
        <f>IF(AT31="","",AV32)</f>
        <v/>
      </c>
      <c r="AR34" s="136" t="str">
        <f>IF(AU32="","",":")</f>
        <v/>
      </c>
      <c r="AS34" s="142" t="str">
        <f>IF(AV32="","",AT32)</f>
        <v/>
      </c>
      <c r="AT34" s="1231"/>
      <c r="AU34" s="1232"/>
      <c r="AV34" s="1233"/>
      <c r="AW34" s="135" t="str">
        <f>IF('св.прот 4ф'!H76="","",IF('св.прот 4ф'!D76='св.прот 4ф'!H76,'св.прот 4ф'!O76,'св.прот 4ф'!P76))</f>
        <v/>
      </c>
      <c r="AX34" s="136" t="str">
        <f>IF(AW33="","",":")</f>
        <v/>
      </c>
      <c r="AY34" s="137" t="str">
        <f>IF('св.прот 4ф'!H76="","",IF('св.прот 4ф'!D76='св.прот 4ф'!H76,'св.прот 4ф'!P76,'св.прот 4ф'!O76))</f>
        <v/>
      </c>
      <c r="AZ34" s="1244"/>
      <c r="BA34" s="1245"/>
      <c r="BB34" s="1221"/>
      <c r="BC34" s="1222"/>
    </row>
    <row r="35" spans="1:55" ht="15.75" customHeight="1" x14ac:dyDescent="0.25">
      <c r="A35" s="1250">
        <v>16</v>
      </c>
      <c r="B35" s="1223"/>
      <c r="C35" s="133" t="str">
        <f>IF(B35="","",VLOOKUP(B35,'Списки участников'!A:H,3,FALSE))</f>
        <v/>
      </c>
      <c r="D35" s="1234" t="str">
        <f>IF(AW5="","",IF(AW6="W",0,IF(AW5=2,1,IF(AW5=1,2,IF(AW5=0,2)))))</f>
        <v/>
      </c>
      <c r="E35" s="1235"/>
      <c r="F35" s="1236"/>
      <c r="G35" s="1234" t="str">
        <f>IF(AW7="","",IF(AW8="W",0,IF(AW7=2,1,IF(AW7=1,2,IF(AW7=0,2)))))</f>
        <v/>
      </c>
      <c r="H35" s="1235"/>
      <c r="I35" s="1236"/>
      <c r="J35" s="1234" t="str">
        <f>IF(AW9="","",IF(AW10="W",0,IF(AW9=2,1,IF(AW9=1,2,IF(AW9=0,2)))))</f>
        <v/>
      </c>
      <c r="K35" s="1235"/>
      <c r="L35" s="1236"/>
      <c r="M35" s="1234" t="str">
        <f>IF(AW11="","",IF(AW12="W",0,IF(AW11=2,1,IF(AW11=1,2,IF(AW11=0,2)))))</f>
        <v/>
      </c>
      <c r="N35" s="1235"/>
      <c r="O35" s="1236"/>
      <c r="P35" s="1234" t="str">
        <f>IF(AW13="","",IF(AW14="W",0,IF(AW13=2,1,IF(AW13=1,2,IF(AW13=0,2)))))</f>
        <v/>
      </c>
      <c r="Q35" s="1235"/>
      <c r="R35" s="1236"/>
      <c r="S35" s="1234" t="str">
        <f>IF(AW15="","",IF(AW16="W",0,IF(AW15=2,1,IF(AW15=1,2,IF(AW15=0,2)))))</f>
        <v/>
      </c>
      <c r="T35" s="1235"/>
      <c r="U35" s="1236"/>
      <c r="V35" s="1234" t="str">
        <f>IF(AW17="","",IF(AW18="W",0,IF(AW17=2,1,IF(AW17=1,2,IF(AW17=0,2)))))</f>
        <v/>
      </c>
      <c r="W35" s="1235"/>
      <c r="X35" s="1236"/>
      <c r="Y35" s="1234" t="str">
        <f>IF(AW19="","",IF(AW20="W",0,IF(AW19=2,1,IF(AW19=1,2,IF(AW19=0,2)))))</f>
        <v/>
      </c>
      <c r="Z35" s="1235"/>
      <c r="AA35" s="1236"/>
      <c r="AB35" s="1234" t="str">
        <f>IF(AW21="","",IF(AW22="W",0,IF(AW21=2,1,IF(AW21=1,2,IF(AW21=0,2)))))</f>
        <v/>
      </c>
      <c r="AC35" s="1235"/>
      <c r="AD35" s="1236"/>
      <c r="AE35" s="1234" t="str">
        <f>IF(AW23="","",IF(AW24="W",0,IF(AW23=2,1,IF(AW23=1,2,IF(AW23=0,2)))))</f>
        <v/>
      </c>
      <c r="AF35" s="1235"/>
      <c r="AG35" s="1236"/>
      <c r="AH35" s="1234" t="str">
        <f>IF(AW25="","",IF(AW26="W",0,IF(AW25=2,1,IF(AW25=1,2,IF(AW25=0,2)))))</f>
        <v/>
      </c>
      <c r="AI35" s="1235"/>
      <c r="AJ35" s="1236"/>
      <c r="AK35" s="1234" t="str">
        <f>IF(AW27="","",IF(AW28="W",0,IF(AW27=2,1,IF(AW27=1,2,IF(AW27=0,2)))))</f>
        <v/>
      </c>
      <c r="AL35" s="1235"/>
      <c r="AM35" s="1236"/>
      <c r="AN35" s="1234" t="str">
        <f>IF(AW29="","",IF(AW30="W",0,IF(AW29=2,1,IF(AW29=1,2,IF(AW29=0,2)))))</f>
        <v/>
      </c>
      <c r="AO35" s="1235"/>
      <c r="AP35" s="1236"/>
      <c r="AQ35" s="1234" t="str">
        <f>IF(AW31="","",IF(AW32="W",0,IF(AW31=2,1,IF(AW31=1,2,IF(AW31=0,2)))))</f>
        <v/>
      </c>
      <c r="AR35" s="1235"/>
      <c r="AS35" s="1236"/>
      <c r="AT35" s="1234" t="str">
        <f>IF(AW33="","",IF(AW34="W",0,IF(AW33=2,1,IF(AW33=1,2,IF(AW33=0,2)))))</f>
        <v/>
      </c>
      <c r="AU35" s="1235"/>
      <c r="AV35" s="1236"/>
      <c r="AW35" s="1228"/>
      <c r="AX35" s="1229"/>
      <c r="AY35" s="1230"/>
      <c r="AZ35" s="1242" t="str">
        <f t="shared" ref="AZ35" si="14">IF(B35="","",SUM(G35,J35,M35,P35,S35,V35,Y35,AB35,AE35,AH35,AK35,AN35,AQ35,AT35,AW35,D35))</f>
        <v/>
      </c>
      <c r="BA35" s="1243"/>
      <c r="BB35" s="1220"/>
      <c r="BC35" s="1222" t="str">
        <f>IF(B35="","",RANK(AZ35,Ф4Оч)+48)</f>
        <v/>
      </c>
    </row>
    <row r="36" spans="1:55" ht="15.75" customHeight="1" x14ac:dyDescent="0.25">
      <c r="A36" s="1251"/>
      <c r="B36" s="1224"/>
      <c r="C36" s="134" t="str">
        <f>IF(B35="","",VLOOKUP(B35,'Списки участников'!A:H,6,FALSE))</f>
        <v/>
      </c>
      <c r="D36" s="141" t="str">
        <f>IF(AW5="","",AY6)</f>
        <v/>
      </c>
      <c r="E36" s="136" t="str">
        <f>IF(AX6="","",":")</f>
        <v/>
      </c>
      <c r="F36" s="142" t="str">
        <f>IF(AY6="","",AW6)</f>
        <v/>
      </c>
      <c r="G36" s="141" t="str">
        <f>IF(AW7="","",AY8)</f>
        <v/>
      </c>
      <c r="H36" s="136" t="str">
        <f>IF(AX8="","",":")</f>
        <v/>
      </c>
      <c r="I36" s="142" t="str">
        <f>IF(AY8="","",AW8)</f>
        <v/>
      </c>
      <c r="J36" s="141" t="str">
        <f>IF(AW10="","",IF(AY10="l","W",AY10))</f>
        <v/>
      </c>
      <c r="K36" s="136" t="str">
        <f>IF(AX10="","",":")</f>
        <v/>
      </c>
      <c r="L36" s="142" t="str">
        <f>IF(AY10="","",AW10)</f>
        <v/>
      </c>
      <c r="M36" s="141" t="str">
        <f>IF(AW11="","",AY12)</f>
        <v/>
      </c>
      <c r="N36" s="136" t="str">
        <f>IF(AX12="","",":")</f>
        <v/>
      </c>
      <c r="O36" s="142" t="str">
        <f>IF(AY12="","",AW12)</f>
        <v/>
      </c>
      <c r="P36" s="141" t="str">
        <f>IF(AW13="","",AY14)</f>
        <v/>
      </c>
      <c r="Q36" s="136" t="str">
        <f>IF(AX14="","",":")</f>
        <v/>
      </c>
      <c r="R36" s="142" t="str">
        <f>IF(AY14="","",AW14)</f>
        <v/>
      </c>
      <c r="S36" s="141" t="str">
        <f>IF(AW15="","",AY16)</f>
        <v/>
      </c>
      <c r="T36" s="136" t="str">
        <f>IF(AX16="","",":")</f>
        <v/>
      </c>
      <c r="U36" s="142" t="str">
        <f>IF(AY16="","",AW16)</f>
        <v/>
      </c>
      <c r="V36" s="141" t="str">
        <f>IF(AW17="","",AY18)</f>
        <v/>
      </c>
      <c r="W36" s="136" t="str">
        <f>IF(AX18="","",":")</f>
        <v/>
      </c>
      <c r="X36" s="142" t="str">
        <f>IF(AY18="","",AW18)</f>
        <v/>
      </c>
      <c r="Y36" s="141" t="str">
        <f>IF(AW19="","",AY20)</f>
        <v/>
      </c>
      <c r="Z36" s="136" t="str">
        <f>IF(AX20="","",":")</f>
        <v/>
      </c>
      <c r="AA36" s="142" t="str">
        <f>IF(AY20="","",AW20)</f>
        <v/>
      </c>
      <c r="AB36" s="141" t="str">
        <f>IF(AW21="","",AY22)</f>
        <v/>
      </c>
      <c r="AC36" s="136" t="str">
        <f>IF(AX22="","",":")</f>
        <v/>
      </c>
      <c r="AD36" s="142" t="str">
        <f>IF(AY22="","",AW22)</f>
        <v/>
      </c>
      <c r="AE36" s="141" t="str">
        <f>IF(AW23="","",AY24)</f>
        <v/>
      </c>
      <c r="AF36" s="136" t="str">
        <f>IF(AX24="","",":")</f>
        <v/>
      </c>
      <c r="AG36" s="142" t="str">
        <f>IF(AY24="","",AW24)</f>
        <v/>
      </c>
      <c r="AH36" s="141" t="str">
        <f>IF(AW25="","",AY26)</f>
        <v/>
      </c>
      <c r="AI36" s="136" t="str">
        <f>IF(AX26="","",":")</f>
        <v/>
      </c>
      <c r="AJ36" s="142" t="str">
        <f>IF(AY26="","",AW26)</f>
        <v/>
      </c>
      <c r="AK36" s="141" t="str">
        <f>IF(AW27="","",AY28)</f>
        <v/>
      </c>
      <c r="AL36" s="136" t="str">
        <f>IF(AX28="","",":")</f>
        <v/>
      </c>
      <c r="AM36" s="142" t="str">
        <f>IF(AY28="","",AW28)</f>
        <v/>
      </c>
      <c r="AN36" s="141" t="str">
        <f>IF(AW29="","",AY30)</f>
        <v/>
      </c>
      <c r="AO36" s="136" t="str">
        <f>IF(AX30="","",":")</f>
        <v/>
      </c>
      <c r="AP36" s="142" t="str">
        <f>IF(AY30="","",AW30)</f>
        <v/>
      </c>
      <c r="AQ36" s="141" t="str">
        <f>IF(AW31="","",AY32)</f>
        <v/>
      </c>
      <c r="AR36" s="136" t="str">
        <f>IF(AX32="","",":")</f>
        <v/>
      </c>
      <c r="AS36" s="142" t="str">
        <f>IF(AY32="","",AW32)</f>
        <v/>
      </c>
      <c r="AT36" s="141" t="str">
        <f>IF(AW33="","",AY34)</f>
        <v/>
      </c>
      <c r="AU36" s="136" t="str">
        <f>IF(AX34="","",":")</f>
        <v/>
      </c>
      <c r="AV36" s="142" t="str">
        <f>IF(AY34="","",AW34)</f>
        <v/>
      </c>
      <c r="AW36" s="1231"/>
      <c r="AX36" s="1232"/>
      <c r="AY36" s="1233"/>
      <c r="AZ36" s="1244"/>
      <c r="BA36" s="1245"/>
      <c r="BB36" s="1221"/>
      <c r="BC36" s="1222"/>
    </row>
    <row r="38" spans="1:55" ht="18.75" x14ac:dyDescent="0.3">
      <c r="C38" s="143" t="s">
        <v>760</v>
      </c>
      <c r="D38" s="143"/>
      <c r="E38" s="1252" t="str">
        <f>'Списки участников'!H47</f>
        <v>Винокуров А.К</v>
      </c>
      <c r="F38" s="1252"/>
      <c r="G38" s="1252"/>
      <c r="H38" s="1252"/>
      <c r="I38" s="1252"/>
      <c r="J38" s="1252"/>
      <c r="K38" s="1252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253" t="s">
        <v>761</v>
      </c>
      <c r="X38" s="1253"/>
      <c r="Y38" s="1253"/>
      <c r="Z38" s="1253"/>
      <c r="AA38" s="1253"/>
      <c r="AB38" s="1253"/>
      <c r="AC38" s="1253"/>
      <c r="AD38" s="1253"/>
      <c r="AE38" s="1253"/>
      <c r="AF38" s="1253"/>
      <c r="AG38" s="1253"/>
      <c r="AH38" s="1253"/>
      <c r="AI38" s="143"/>
      <c r="AJ38" s="143"/>
      <c r="AK38" s="143"/>
      <c r="AL38" s="1253" t="str">
        <f>'Списки участников'!H48</f>
        <v>Брусин С.Б., Кашулина А.И.</v>
      </c>
      <c r="AM38" s="1253"/>
      <c r="AN38" s="1253"/>
      <c r="AO38" s="1253"/>
      <c r="AP38" s="1253"/>
      <c r="AQ38" s="1253"/>
      <c r="AR38" s="1253"/>
      <c r="AS38" s="1253"/>
      <c r="AT38" s="1253"/>
      <c r="AU38" s="1253"/>
      <c r="AV38" s="1253"/>
      <c r="AW38" s="1253"/>
      <c r="AX38" s="1253"/>
      <c r="AY38" s="1253"/>
      <c r="AZ38" s="1253"/>
      <c r="BA38" s="1253"/>
      <c r="BB38" s="1253"/>
      <c r="BC38" s="143"/>
    </row>
  </sheetData>
  <mergeCells count="362">
    <mergeCell ref="BC35:BC36"/>
    <mergeCell ref="E38:K38"/>
    <mergeCell ref="W38:AH38"/>
    <mergeCell ref="AL38:BB38"/>
    <mergeCell ref="AN35:AP35"/>
    <mergeCell ref="AQ35:AS35"/>
    <mergeCell ref="AT35:AV35"/>
    <mergeCell ref="AW35:AY36"/>
    <mergeCell ref="AZ35:BA36"/>
    <mergeCell ref="BB35:BB36"/>
    <mergeCell ref="V35:X35"/>
    <mergeCell ref="Y35:AA35"/>
    <mergeCell ref="AB35:AD35"/>
    <mergeCell ref="AE35:AG35"/>
    <mergeCell ref="AH35:AJ35"/>
    <mergeCell ref="AK35:AM35"/>
    <mergeCell ref="AN33:AP33"/>
    <mergeCell ref="AQ33:AS33"/>
    <mergeCell ref="AT33:AV34"/>
    <mergeCell ref="AW33:AY33"/>
    <mergeCell ref="AZ33:BA34"/>
    <mergeCell ref="S33:U33"/>
    <mergeCell ref="V33:X33"/>
    <mergeCell ref="Y33:AA33"/>
    <mergeCell ref="AB33:AD33"/>
    <mergeCell ref="AE33:AG33"/>
    <mergeCell ref="AH33:AJ33"/>
    <mergeCell ref="A35:A36"/>
    <mergeCell ref="B35:B36"/>
    <mergeCell ref="D35:F35"/>
    <mergeCell ref="G35:I35"/>
    <mergeCell ref="J35:L35"/>
    <mergeCell ref="M35:O35"/>
    <mergeCell ref="P35:R35"/>
    <mergeCell ref="S35:U35"/>
    <mergeCell ref="AK33:AM33"/>
    <mergeCell ref="BC31:BC32"/>
    <mergeCell ref="A33:A34"/>
    <mergeCell ref="B33:B34"/>
    <mergeCell ref="D33:F33"/>
    <mergeCell ref="G33:I33"/>
    <mergeCell ref="J33:L33"/>
    <mergeCell ref="M33:O33"/>
    <mergeCell ref="P33:R33"/>
    <mergeCell ref="AH31:AJ31"/>
    <mergeCell ref="AK31:AM31"/>
    <mergeCell ref="AN31:AP31"/>
    <mergeCell ref="AQ31:AS32"/>
    <mergeCell ref="AT31:AV31"/>
    <mergeCell ref="AW31:AY31"/>
    <mergeCell ref="P31:R31"/>
    <mergeCell ref="S31:U31"/>
    <mergeCell ref="V31:X31"/>
    <mergeCell ref="Y31:AA31"/>
    <mergeCell ref="AB31:AD31"/>
    <mergeCell ref="AE31:AG31"/>
    <mergeCell ref="A31:A32"/>
    <mergeCell ref="B31:B32"/>
    <mergeCell ref="BB33:BB34"/>
    <mergeCell ref="BC33:BC34"/>
    <mergeCell ref="D31:F31"/>
    <mergeCell ref="G31:I31"/>
    <mergeCell ref="J31:L31"/>
    <mergeCell ref="M31:O31"/>
    <mergeCell ref="AQ29:AS29"/>
    <mergeCell ref="AT29:AV29"/>
    <mergeCell ref="AW29:AY29"/>
    <mergeCell ref="AZ29:BA30"/>
    <mergeCell ref="BB29:BB30"/>
    <mergeCell ref="AZ31:BA32"/>
    <mergeCell ref="BB31:BB32"/>
    <mergeCell ref="BC29:BC30"/>
    <mergeCell ref="Y29:AA29"/>
    <mergeCell ref="AB29:AD29"/>
    <mergeCell ref="AE29:AG29"/>
    <mergeCell ref="AH29:AJ29"/>
    <mergeCell ref="AK29:AM29"/>
    <mergeCell ref="AN29:AP30"/>
    <mergeCell ref="BC27:BC28"/>
    <mergeCell ref="A29:A30"/>
    <mergeCell ref="B29:B30"/>
    <mergeCell ref="D29:F29"/>
    <mergeCell ref="G29:I29"/>
    <mergeCell ref="J29:L29"/>
    <mergeCell ref="M29:O29"/>
    <mergeCell ref="P29:R29"/>
    <mergeCell ref="S29:U29"/>
    <mergeCell ref="V29:X29"/>
    <mergeCell ref="AN27:AP27"/>
    <mergeCell ref="AQ27:AS27"/>
    <mergeCell ref="AT27:AV27"/>
    <mergeCell ref="AW27:AY27"/>
    <mergeCell ref="AZ27:BA28"/>
    <mergeCell ref="BB27:BB28"/>
    <mergeCell ref="V27:X27"/>
    <mergeCell ref="BB25:BB26"/>
    <mergeCell ref="BC25:BC26"/>
    <mergeCell ref="A27:A28"/>
    <mergeCell ref="B27:B28"/>
    <mergeCell ref="D27:F27"/>
    <mergeCell ref="G27:I27"/>
    <mergeCell ref="J27:L27"/>
    <mergeCell ref="M27:O27"/>
    <mergeCell ref="P27:R27"/>
    <mergeCell ref="S27:U27"/>
    <mergeCell ref="AK25:AM25"/>
    <mergeCell ref="AN25:AP25"/>
    <mergeCell ref="AQ25:AS25"/>
    <mergeCell ref="AT25:AV25"/>
    <mergeCell ref="AW25:AY25"/>
    <mergeCell ref="AZ25:BA26"/>
    <mergeCell ref="S25:U25"/>
    <mergeCell ref="V25:X25"/>
    <mergeCell ref="Y25:AA25"/>
    <mergeCell ref="S23:U23"/>
    <mergeCell ref="V23:X23"/>
    <mergeCell ref="Y23:AA23"/>
    <mergeCell ref="AB23:AD23"/>
    <mergeCell ref="Y27:AA27"/>
    <mergeCell ref="AB27:AD27"/>
    <mergeCell ref="AE27:AG27"/>
    <mergeCell ref="AH27:AJ27"/>
    <mergeCell ref="AK27:AM28"/>
    <mergeCell ref="A23:A24"/>
    <mergeCell ref="B23:B24"/>
    <mergeCell ref="D23:F23"/>
    <mergeCell ref="G23:I23"/>
    <mergeCell ref="J23:L23"/>
    <mergeCell ref="M23:O23"/>
    <mergeCell ref="AQ21:AS21"/>
    <mergeCell ref="AT21:AV21"/>
    <mergeCell ref="AB25:AD25"/>
    <mergeCell ref="AE25:AG25"/>
    <mergeCell ref="AH25:AJ26"/>
    <mergeCell ref="A25:A26"/>
    <mergeCell ref="B25:B26"/>
    <mergeCell ref="D25:F25"/>
    <mergeCell ref="G25:I25"/>
    <mergeCell ref="J25:L25"/>
    <mergeCell ref="M25:O25"/>
    <mergeCell ref="P25:R25"/>
    <mergeCell ref="AH23:AJ23"/>
    <mergeCell ref="AK23:AM23"/>
    <mergeCell ref="AN23:AP23"/>
    <mergeCell ref="AQ23:AS23"/>
    <mergeCell ref="AT23:AV23"/>
    <mergeCell ref="P23:R23"/>
    <mergeCell ref="BB21:BB22"/>
    <mergeCell ref="BC21:BC22"/>
    <mergeCell ref="Y21:AA21"/>
    <mergeCell ref="AB21:AD22"/>
    <mergeCell ref="AE21:AG21"/>
    <mergeCell ref="AH21:AJ21"/>
    <mergeCell ref="AK21:AM21"/>
    <mergeCell ref="AN21:AP21"/>
    <mergeCell ref="AE23:AG24"/>
    <mergeCell ref="AZ23:BA24"/>
    <mergeCell ref="BB23:BB24"/>
    <mergeCell ref="BC23:BC24"/>
    <mergeCell ref="AW23:AY23"/>
    <mergeCell ref="BC19:BC20"/>
    <mergeCell ref="A21:A22"/>
    <mergeCell ref="B21:B22"/>
    <mergeCell ref="D21:F21"/>
    <mergeCell ref="G21:I21"/>
    <mergeCell ref="J21:L21"/>
    <mergeCell ref="M21:O21"/>
    <mergeCell ref="P21:R21"/>
    <mergeCell ref="S21:U21"/>
    <mergeCell ref="V21:X21"/>
    <mergeCell ref="AN19:AP19"/>
    <mergeCell ref="AQ19:AS19"/>
    <mergeCell ref="AT19:AV19"/>
    <mergeCell ref="AW19:AY19"/>
    <mergeCell ref="AZ19:BA20"/>
    <mergeCell ref="BB19:BB20"/>
    <mergeCell ref="V19:X19"/>
    <mergeCell ref="Y19:AA20"/>
    <mergeCell ref="AB19:AD19"/>
    <mergeCell ref="AE19:AG19"/>
    <mergeCell ref="AH19:AJ19"/>
    <mergeCell ref="AK19:AM19"/>
    <mergeCell ref="AW21:AY21"/>
    <mergeCell ref="AZ21:BA22"/>
    <mergeCell ref="AN17:AP17"/>
    <mergeCell ref="AQ17:AS17"/>
    <mergeCell ref="AT17:AV17"/>
    <mergeCell ref="AW17:AY17"/>
    <mergeCell ref="AZ17:BA18"/>
    <mergeCell ref="S17:U17"/>
    <mergeCell ref="V17:X18"/>
    <mergeCell ref="Y17:AA17"/>
    <mergeCell ref="AB17:AD17"/>
    <mergeCell ref="AE17:AG17"/>
    <mergeCell ref="AH17:AJ17"/>
    <mergeCell ref="A19:A20"/>
    <mergeCell ref="B19:B20"/>
    <mergeCell ref="D19:F19"/>
    <mergeCell ref="G19:I19"/>
    <mergeCell ref="J19:L19"/>
    <mergeCell ref="M19:O19"/>
    <mergeCell ref="P19:R19"/>
    <mergeCell ref="S19:U19"/>
    <mergeCell ref="AK17:AM17"/>
    <mergeCell ref="BC15:BC16"/>
    <mergeCell ref="A17:A18"/>
    <mergeCell ref="B17:B18"/>
    <mergeCell ref="D17:F17"/>
    <mergeCell ref="G17:I17"/>
    <mergeCell ref="J17:L17"/>
    <mergeCell ref="M17:O17"/>
    <mergeCell ref="P17:R17"/>
    <mergeCell ref="AH15:AJ15"/>
    <mergeCell ref="AK15:AM15"/>
    <mergeCell ref="AN15:AP15"/>
    <mergeCell ref="AQ15:AS15"/>
    <mergeCell ref="AT15:AV15"/>
    <mergeCell ref="AW15:AY15"/>
    <mergeCell ref="P15:R15"/>
    <mergeCell ref="S15:U16"/>
    <mergeCell ref="V15:X15"/>
    <mergeCell ref="Y15:AA15"/>
    <mergeCell ref="AB15:AD15"/>
    <mergeCell ref="AE15:AG15"/>
    <mergeCell ref="A15:A16"/>
    <mergeCell ref="B15:B16"/>
    <mergeCell ref="BB17:BB18"/>
    <mergeCell ref="BC17:BC18"/>
    <mergeCell ref="D15:F15"/>
    <mergeCell ref="G15:I15"/>
    <mergeCell ref="J15:L15"/>
    <mergeCell ref="M15:O15"/>
    <mergeCell ref="AQ13:AS13"/>
    <mergeCell ref="AT13:AV13"/>
    <mergeCell ref="AW13:AY13"/>
    <mergeCell ref="AZ13:BA14"/>
    <mergeCell ref="BB13:BB14"/>
    <mergeCell ref="AZ15:BA16"/>
    <mergeCell ref="BB15:BB16"/>
    <mergeCell ref="BC13:BC14"/>
    <mergeCell ref="Y13:AA13"/>
    <mergeCell ref="AB13:AD13"/>
    <mergeCell ref="AE13:AG13"/>
    <mergeCell ref="AH13:AJ13"/>
    <mergeCell ref="AK13:AM13"/>
    <mergeCell ref="AN13:AP13"/>
    <mergeCell ref="BC11:BC12"/>
    <mergeCell ref="A13:A14"/>
    <mergeCell ref="B13:B14"/>
    <mergeCell ref="D13:F13"/>
    <mergeCell ref="G13:I13"/>
    <mergeCell ref="J13:L13"/>
    <mergeCell ref="M13:O13"/>
    <mergeCell ref="P13:R14"/>
    <mergeCell ref="S13:U13"/>
    <mergeCell ref="V13:X13"/>
    <mergeCell ref="AN11:AP11"/>
    <mergeCell ref="AQ11:AS11"/>
    <mergeCell ref="AT11:AV11"/>
    <mergeCell ref="AW11:AY11"/>
    <mergeCell ref="AZ11:BA12"/>
    <mergeCell ref="BB11:BB12"/>
    <mergeCell ref="V11:X11"/>
    <mergeCell ref="Y11:AA11"/>
    <mergeCell ref="AB11:AD11"/>
    <mergeCell ref="AE11:AG11"/>
    <mergeCell ref="AH11:AJ11"/>
    <mergeCell ref="AK11:AM11"/>
    <mergeCell ref="BC9:BC10"/>
    <mergeCell ref="BE10:BL10"/>
    <mergeCell ref="A11:A12"/>
    <mergeCell ref="B11:B12"/>
    <mergeCell ref="D11:F11"/>
    <mergeCell ref="G11:I11"/>
    <mergeCell ref="J11:L11"/>
    <mergeCell ref="M11:O12"/>
    <mergeCell ref="P11:R11"/>
    <mergeCell ref="S11:U11"/>
    <mergeCell ref="AN9:AP9"/>
    <mergeCell ref="AQ9:AS9"/>
    <mergeCell ref="AT9:AV9"/>
    <mergeCell ref="AW9:AY9"/>
    <mergeCell ref="AZ9:BA10"/>
    <mergeCell ref="BB9:BB10"/>
    <mergeCell ref="V9:X9"/>
    <mergeCell ref="Y9:AA9"/>
    <mergeCell ref="AB9:AD9"/>
    <mergeCell ref="AE9:AG9"/>
    <mergeCell ref="AH9:AJ9"/>
    <mergeCell ref="AK9:AM9"/>
    <mergeCell ref="BB7:BB8"/>
    <mergeCell ref="BC7:BC8"/>
    <mergeCell ref="A9:A10"/>
    <mergeCell ref="B9:B10"/>
    <mergeCell ref="D9:F9"/>
    <mergeCell ref="G9:I9"/>
    <mergeCell ref="J9:L10"/>
    <mergeCell ref="M9:O9"/>
    <mergeCell ref="P9:R9"/>
    <mergeCell ref="S9:U9"/>
    <mergeCell ref="AK7:AM7"/>
    <mergeCell ref="AN7:AP7"/>
    <mergeCell ref="AQ7:AS7"/>
    <mergeCell ref="AT7:AV7"/>
    <mergeCell ref="AW7:AY7"/>
    <mergeCell ref="AZ7:BA8"/>
    <mergeCell ref="S7:U7"/>
    <mergeCell ref="V7:X7"/>
    <mergeCell ref="Y7:AA7"/>
    <mergeCell ref="AB7:AD7"/>
    <mergeCell ref="AE7:AG7"/>
    <mergeCell ref="AH7:AJ7"/>
    <mergeCell ref="AZ5:BA6"/>
    <mergeCell ref="BB5:BB6"/>
    <mergeCell ref="BC5:BC6"/>
    <mergeCell ref="A7:A8"/>
    <mergeCell ref="B7:B8"/>
    <mergeCell ref="D7:F7"/>
    <mergeCell ref="G7:I8"/>
    <mergeCell ref="J7:L7"/>
    <mergeCell ref="M7:O7"/>
    <mergeCell ref="P7:R7"/>
    <mergeCell ref="AH5:AJ5"/>
    <mergeCell ref="AK5:AM5"/>
    <mergeCell ref="AN5:AP5"/>
    <mergeCell ref="AQ5:AS5"/>
    <mergeCell ref="AT5:AV5"/>
    <mergeCell ref="AW5:AY5"/>
    <mergeCell ref="P5:R5"/>
    <mergeCell ref="S5:U5"/>
    <mergeCell ref="V5:X5"/>
    <mergeCell ref="Y5:AA5"/>
    <mergeCell ref="AB5:AD5"/>
    <mergeCell ref="AE5:AG5"/>
    <mergeCell ref="A5:A6"/>
    <mergeCell ref="B5:B6"/>
    <mergeCell ref="D5:F6"/>
    <mergeCell ref="G5:I5"/>
    <mergeCell ref="J5:L5"/>
    <mergeCell ref="M5:O5"/>
    <mergeCell ref="AK4:AM4"/>
    <mergeCell ref="AN4:AP4"/>
    <mergeCell ref="AQ4:AS4"/>
    <mergeCell ref="AT4:AV4"/>
    <mergeCell ref="AW4:AY4"/>
    <mergeCell ref="AZ4:BA4"/>
    <mergeCell ref="S4:U4"/>
    <mergeCell ref="V4:X4"/>
    <mergeCell ref="Y4:AA4"/>
    <mergeCell ref="AB4:AD4"/>
    <mergeCell ref="AE4:AG4"/>
    <mergeCell ref="AH4:AJ4"/>
    <mergeCell ref="A1:BA1"/>
    <mergeCell ref="C2:F2"/>
    <mergeCell ref="I2:AH2"/>
    <mergeCell ref="AK2:BB2"/>
    <mergeCell ref="D3:O3"/>
    <mergeCell ref="D4:F4"/>
    <mergeCell ref="G4:I4"/>
    <mergeCell ref="J4:L4"/>
    <mergeCell ref="M4:O4"/>
    <mergeCell ref="P4:R4"/>
  </mergeCells>
  <conditionalFormatting sqref="BC5:BC36">
    <cfRule type="duplicateValues" dxfId="9" priority="1"/>
    <cfRule type="duplicateValues" dxfId="8" priority="2"/>
    <cfRule type="duplicateValues" dxfId="7" priority="3"/>
  </conditionalFormatting>
  <pageMargins left="0.51181102362204722" right="0.51181102362204722" top="0.74803149606299213" bottom="0.74803149606299213" header="0.31496062992125984" footer="0.31496062992125984"/>
  <pageSetup paperSize="9" scale="79" orientation="landscape" r:id="rId1"/>
  <colBreaks count="1" manualBreakCount="1">
    <brk id="55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E72"/>
  <sheetViews>
    <sheetView showZeros="0" view="pageBreakPreview" topLeftCell="A10" zoomScale="90" zoomScaleNormal="100" zoomScaleSheetLayoutView="90" workbookViewId="0">
      <selection activeCell="B7" sqref="B7:B69"/>
    </sheetView>
  </sheetViews>
  <sheetFormatPr defaultColWidth="10.6640625" defaultRowHeight="12.75" outlineLevelCol="1" x14ac:dyDescent="0.2"/>
  <cols>
    <col min="1" max="1" width="3.83203125" style="202" customWidth="1"/>
    <col min="2" max="2" width="4.6640625" style="202" hidden="1" customWidth="1" outlineLevel="1"/>
    <col min="3" max="3" width="14.83203125" style="202" customWidth="1" collapsed="1"/>
    <col min="4" max="4" width="3.83203125" style="205" customWidth="1"/>
    <col min="5" max="5" width="4.5" style="202" hidden="1" customWidth="1" outlineLevel="1"/>
    <col min="6" max="6" width="14.83203125" style="202" customWidth="1" collapsed="1"/>
    <col min="7" max="7" width="3.83203125" style="202" customWidth="1"/>
    <col min="8" max="8" width="3" style="202" hidden="1" customWidth="1" outlineLevel="1"/>
    <col min="9" max="9" width="14.83203125" style="202" customWidth="1" collapsed="1"/>
    <col min="10" max="10" width="3.83203125" style="202" customWidth="1"/>
    <col min="11" max="11" width="2.83203125" style="202" hidden="1" customWidth="1" outlineLevel="1"/>
    <col min="12" max="12" width="14.83203125" style="202" customWidth="1" collapsed="1"/>
    <col min="13" max="13" width="4.5" style="202" customWidth="1"/>
    <col min="14" max="14" width="2.83203125" style="202" hidden="1" customWidth="1" outlineLevel="1"/>
    <col min="15" max="15" width="14.83203125" style="202" customWidth="1" collapsed="1"/>
    <col min="16" max="16" width="3.83203125" style="202" customWidth="1"/>
    <col min="17" max="17" width="2.83203125" style="202" hidden="1" customWidth="1" outlineLevel="1"/>
    <col min="18" max="18" width="20.83203125" style="202" customWidth="1" collapsed="1"/>
    <col min="19" max="19" width="3.83203125" style="2" customWidth="1"/>
    <col min="20" max="20" width="3.33203125" style="5" hidden="1" customWidth="1" outlineLevel="1"/>
    <col min="21" max="21" width="13.1640625" style="2" customWidth="1" collapsed="1"/>
    <col min="22" max="22" width="3.83203125" style="2" customWidth="1"/>
    <col min="23" max="23" width="3.6640625" style="5" hidden="1" customWidth="1" outlineLevel="1"/>
    <col min="24" max="24" width="13.1640625" style="2" customWidth="1" collapsed="1"/>
    <col min="25" max="25" width="3.83203125" style="5" customWidth="1"/>
    <col min="26" max="26" width="4.1640625" style="5" hidden="1" customWidth="1" outlineLevel="1"/>
    <col min="27" max="27" width="13.1640625" style="2" customWidth="1" collapsed="1"/>
    <col min="28" max="28" width="3.83203125" style="2" customWidth="1"/>
    <col min="29" max="29" width="3.6640625" style="5" hidden="1" customWidth="1" outlineLevel="1"/>
    <col min="30" max="30" width="13.1640625" style="2" customWidth="1" collapsed="1"/>
    <col min="31" max="31" width="3.83203125" style="2" customWidth="1"/>
    <col min="32" max="32" width="3.83203125" style="5" hidden="1" customWidth="1" outlineLevel="1"/>
    <col min="33" max="33" width="13.1640625" style="2" customWidth="1" collapsed="1"/>
    <col min="34" max="34" width="3.83203125" style="2" customWidth="1"/>
    <col min="35" max="35" width="3.6640625" style="5" hidden="1" customWidth="1" outlineLevel="1"/>
    <col min="36" max="36" width="13.1640625" style="2" customWidth="1" collapsed="1"/>
    <col min="37" max="37" width="3.83203125" style="90" customWidth="1"/>
    <col min="38" max="38" width="4.1640625" style="5" hidden="1" customWidth="1" outlineLevel="1"/>
    <col min="39" max="39" width="13.1640625" style="2" customWidth="1" collapsed="1"/>
    <col min="40" max="40" width="3.83203125" style="2" customWidth="1"/>
    <col min="41" max="41" width="4" style="2" hidden="1" customWidth="1" outlineLevel="1"/>
    <col min="42" max="42" width="16.1640625" style="2" customWidth="1" collapsed="1"/>
    <col min="43" max="43" width="3.83203125" style="88" customWidth="1"/>
    <col min="44" max="44" width="3.6640625" style="2" hidden="1" customWidth="1" outlineLevel="1"/>
    <col min="45" max="45" width="16.1640625" style="2" customWidth="1" collapsed="1"/>
    <col min="46" max="46" width="3.83203125" style="89" customWidth="1"/>
    <col min="47" max="47" width="2.83203125" style="2" hidden="1" customWidth="1" outlineLevel="1"/>
    <col min="48" max="48" width="16.1640625" style="2" customWidth="1" collapsed="1"/>
    <col min="49" max="49" width="3.83203125" style="89" customWidth="1"/>
    <col min="50" max="50" width="4.1640625" style="2" hidden="1" customWidth="1" outlineLevel="1"/>
    <col min="51" max="51" width="16.1640625" style="2" customWidth="1" collapsed="1"/>
    <col min="52" max="52" width="3.83203125" style="2" customWidth="1"/>
    <col min="53" max="53" width="4" style="2" hidden="1" customWidth="1" outlineLevel="1"/>
    <col min="54" max="54" width="15.6640625" style="2" customWidth="1" collapsed="1"/>
    <col min="55" max="55" width="3.5" style="89" customWidth="1"/>
    <col min="56" max="56" width="4.1640625" style="2" hidden="1" customWidth="1" outlineLevel="1"/>
    <col min="57" max="57" width="17.6640625" style="2" customWidth="1" collapsed="1"/>
    <col min="58" max="16384" width="10.6640625" style="2"/>
  </cols>
  <sheetData>
    <row r="1" spans="1:57" s="1" customFormat="1" ht="18.75" x14ac:dyDescent="0.2">
      <c r="A1" s="1134" t="str">
        <f>'Списки участников'!A1</f>
        <v xml:space="preserve">X Спартакиада
среди предприятий Нижегородской области ФСК "Профсоюзов",
под девизом "Будь спортивным - будь успешным!"
</v>
      </c>
      <c r="B1" s="1134"/>
      <c r="C1" s="1134"/>
      <c r="D1" s="1134"/>
      <c r="E1" s="1134"/>
      <c r="F1" s="1134"/>
      <c r="G1" s="1134"/>
      <c r="H1" s="1134"/>
      <c r="I1" s="1134"/>
      <c r="J1" s="1134"/>
      <c r="K1" s="1134"/>
      <c r="L1" s="1134"/>
      <c r="M1" s="1134"/>
      <c r="N1" s="1134"/>
      <c r="O1" s="1134"/>
      <c r="P1" s="1134"/>
      <c r="Q1" s="1134"/>
      <c r="R1" s="1134"/>
      <c r="S1" s="1257" t="str">
        <f>A1</f>
        <v xml:space="preserve">X Спартакиада
среди предприятий Нижегородской области ФСК "Профсоюзов",
под девизом "Будь спортивным - будь успешным!"
</v>
      </c>
      <c r="T1" s="1257"/>
      <c r="U1" s="1258"/>
      <c r="V1" s="1258"/>
      <c r="W1" s="1258"/>
      <c r="X1" s="1258"/>
      <c r="Y1" s="1258"/>
      <c r="Z1" s="1258"/>
      <c r="AA1" s="1258"/>
      <c r="AB1" s="1258"/>
      <c r="AC1" s="1258"/>
      <c r="AD1" s="1258"/>
      <c r="AE1" s="1258"/>
      <c r="AF1" s="1258"/>
      <c r="AG1" s="1258"/>
      <c r="AH1" s="1258"/>
      <c r="AI1" s="1258"/>
      <c r="AJ1" s="1258"/>
      <c r="AK1" s="1258"/>
      <c r="AL1" s="1258"/>
      <c r="AM1" s="1258"/>
      <c r="AN1" s="1257" t="str">
        <f>A1</f>
        <v xml:space="preserve">X Спартакиада
среди предприятий Нижегородской области ФСК "Профсоюзов",
под девизом "Будь спортивным - будь успешным!"
</v>
      </c>
      <c r="AO1" s="1257"/>
      <c r="AP1" s="1258"/>
      <c r="AQ1" s="1258"/>
      <c r="AR1" s="1258"/>
      <c r="AS1" s="1258"/>
      <c r="AT1" s="1258"/>
      <c r="AU1" s="1258"/>
      <c r="AV1" s="1258"/>
      <c r="AW1" s="1258"/>
      <c r="AX1" s="1258"/>
      <c r="AY1" s="1258"/>
      <c r="AZ1" s="1258"/>
      <c r="BA1" s="1258"/>
      <c r="BB1" s="1258"/>
      <c r="BC1" s="1258"/>
      <c r="BD1" s="1258"/>
      <c r="BE1" s="1258"/>
    </row>
    <row r="2" spans="1:57" ht="16.5" thickBot="1" x14ac:dyDescent="0.25">
      <c r="A2" s="1135" t="str">
        <f>'Списки участников'!A2</f>
        <v>Соревнования по настольному теннису</v>
      </c>
      <c r="B2" s="1135"/>
      <c r="C2" s="1135"/>
      <c r="D2" s="1135"/>
      <c r="E2" s="1135"/>
      <c r="F2" s="1135"/>
      <c r="G2" s="1135"/>
      <c r="H2" s="1135"/>
      <c r="I2" s="1135"/>
      <c r="J2" s="1135"/>
      <c r="K2" s="1135"/>
      <c r="L2" s="1135"/>
      <c r="M2" s="1135"/>
      <c r="N2" s="1135"/>
      <c r="O2" s="1135"/>
      <c r="P2" s="1135"/>
      <c r="Q2" s="1135"/>
      <c r="R2" s="1135"/>
      <c r="S2" s="1135" t="str">
        <f>A2</f>
        <v>Соревнования по настольному теннису</v>
      </c>
      <c r="T2" s="1135"/>
      <c r="U2" s="1135"/>
      <c r="V2" s="1135"/>
      <c r="W2" s="1135"/>
      <c r="X2" s="1135"/>
      <c r="Y2" s="1135"/>
      <c r="Z2" s="1135"/>
      <c r="AA2" s="1135"/>
      <c r="AB2" s="1135"/>
      <c r="AC2" s="1135"/>
      <c r="AD2" s="1135"/>
      <c r="AE2" s="1135"/>
      <c r="AF2" s="1135"/>
      <c r="AG2" s="1135"/>
      <c r="AH2" s="1135"/>
      <c r="AI2" s="1135"/>
      <c r="AJ2" s="1135"/>
      <c r="AK2" s="1135"/>
      <c r="AL2" s="1135"/>
      <c r="AM2" s="1135"/>
      <c r="AN2" s="1135" t="str">
        <f>A2</f>
        <v>Соревнования по настольному теннису</v>
      </c>
      <c r="AO2" s="1135"/>
      <c r="AP2" s="1135"/>
      <c r="AQ2" s="1135"/>
      <c r="AR2" s="1135"/>
      <c r="AS2" s="1135"/>
      <c r="AT2" s="1135"/>
      <c r="AU2" s="1135"/>
      <c r="AV2" s="1135"/>
      <c r="AW2" s="1135"/>
      <c r="AX2" s="1135"/>
      <c r="AY2" s="1135"/>
      <c r="AZ2" s="1135"/>
      <c r="BA2" s="1135"/>
      <c r="BB2" s="1135"/>
      <c r="BC2" s="1135"/>
      <c r="BD2" s="1135"/>
      <c r="BE2" s="1135"/>
    </row>
    <row r="3" spans="1:57" ht="15.75" x14ac:dyDescent="0.2">
      <c r="A3" s="1259" t="str">
        <f>'Списки участников'!C3</f>
        <v>22 октября 2016 г.</v>
      </c>
      <c r="B3" s="1259"/>
      <c r="C3" s="1259"/>
      <c r="D3" s="125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200">
        <f>'Списки участников'!H3</f>
        <v>0</v>
      </c>
      <c r="P3" s="189"/>
      <c r="Q3" s="189"/>
      <c r="R3" s="3" t="s">
        <v>89</v>
      </c>
      <c r="S3" s="189"/>
      <c r="T3" s="189"/>
      <c r="U3" s="4"/>
      <c r="V3" s="189"/>
      <c r="W3" s="189"/>
      <c r="X3" s="4"/>
      <c r="Y3" s="189"/>
      <c r="Z3" s="189"/>
      <c r="AA3" s="4"/>
      <c r="AB3" s="189"/>
      <c r="AC3" s="189"/>
      <c r="AD3" s="4"/>
      <c r="AE3" s="189"/>
      <c r="AF3" s="189"/>
      <c r="AG3" s="4"/>
      <c r="AH3" s="189"/>
      <c r="AI3" s="189"/>
      <c r="AJ3" s="4"/>
      <c r="AK3" s="189"/>
      <c r="AL3" s="189"/>
      <c r="AM3" s="201" t="s">
        <v>90</v>
      </c>
      <c r="AN3" s="189"/>
      <c r="AO3" s="189"/>
      <c r="AP3" s="4"/>
      <c r="AQ3" s="189"/>
      <c r="AR3" s="189"/>
      <c r="AS3" s="4"/>
      <c r="AT3" s="189"/>
      <c r="AU3" s="189"/>
      <c r="AV3" s="4"/>
      <c r="AW3" s="189"/>
      <c r="AX3" s="189"/>
      <c r="AY3" s="189"/>
      <c r="AZ3" s="189"/>
      <c r="BA3" s="189"/>
      <c r="BB3" s="4"/>
      <c r="BC3" s="189"/>
      <c r="BD3" s="189"/>
      <c r="BE3" s="201" t="s">
        <v>91</v>
      </c>
    </row>
    <row r="4" spans="1:57" ht="11.45" customHeight="1" x14ac:dyDescent="0.2">
      <c r="A4" s="788"/>
      <c r="B4" s="788"/>
      <c r="C4" s="788"/>
      <c r="D4" s="788"/>
      <c r="E4" s="788"/>
      <c r="F4" s="788"/>
      <c r="G4" s="788"/>
      <c r="H4" s="788"/>
      <c r="I4" s="789">
        <f>'Списки участников'!D6</f>
        <v>0</v>
      </c>
      <c r="J4" s="788"/>
      <c r="K4" s="788"/>
      <c r="L4" s="790" t="s">
        <v>2619</v>
      </c>
      <c r="M4" s="790">
        <v>12</v>
      </c>
      <c r="N4" s="788"/>
      <c r="O4" s="792" t="s">
        <v>2620</v>
      </c>
      <c r="P4" s="788"/>
      <c r="Q4" s="788"/>
      <c r="R4" s="788"/>
      <c r="S4" s="189"/>
      <c r="T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6">
        <v>-40</v>
      </c>
      <c r="AO4" s="7" t="str">
        <f>IF(Z7="","",IF(Z7=W6,W8,IF(Z7=W8,W6)))</f>
        <v/>
      </c>
      <c r="AP4" s="8" t="str">
        <f>IF(AO4="",AO4,VLOOKUP(AO4,'Списки участников'!A:K,12,FALSE))</f>
        <v/>
      </c>
      <c r="AQ4" s="9"/>
      <c r="AR4" s="10"/>
      <c r="AS4" s="10"/>
      <c r="AT4" s="11"/>
      <c r="AU4" s="10"/>
      <c r="AV4" s="10"/>
      <c r="AW4" s="11"/>
      <c r="AX4" s="10"/>
      <c r="AY4" s="10"/>
      <c r="AZ4" s="10"/>
      <c r="BA4" s="10"/>
      <c r="BB4" s="12"/>
      <c r="BC4" s="13"/>
      <c r="BD4" s="12"/>
    </row>
    <row r="5" spans="1:57" ht="11.45" customHeight="1" x14ac:dyDescent="0.2">
      <c r="A5" s="2"/>
      <c r="B5" s="2"/>
      <c r="C5" s="4"/>
      <c r="D5" s="2"/>
      <c r="E5" s="2"/>
      <c r="F5" s="4"/>
      <c r="I5" s="4"/>
      <c r="L5" s="4"/>
      <c r="O5" s="4"/>
      <c r="P5" s="2"/>
      <c r="Q5" s="2"/>
      <c r="R5" s="2"/>
      <c r="S5" s="10"/>
      <c r="T5" s="10"/>
      <c r="U5" s="10"/>
      <c r="V5" s="10"/>
      <c r="W5" s="10"/>
      <c r="X5" s="10"/>
      <c r="Y5" s="10"/>
      <c r="Z5" s="10"/>
      <c r="AA5" s="10"/>
      <c r="AB5" s="6" t="s">
        <v>58</v>
      </c>
      <c r="AC5" s="7" t="str">
        <f>IF('Протокол (-32)'!F29="","",IF(K30=H26,H34,IF(K30=H34,H26)))</f>
        <v/>
      </c>
      <c r="AD5" s="203" t="str">
        <f>IF(AC5="",AC5,VLOOKUP(AC5,'Списки участников'!A:K,12,FALSE))</f>
        <v/>
      </c>
      <c r="AE5" s="10"/>
      <c r="AF5" s="10"/>
      <c r="AG5" s="14"/>
      <c r="AH5" s="6">
        <v>-30</v>
      </c>
      <c r="AI5" s="7" t="str">
        <f>IF('Протокол (-32)'!F33="","",IF(N54=K46,K62,IF(N54=K62,K46)))</f>
        <v/>
      </c>
      <c r="AJ5" s="203" t="str">
        <f>IF(AI5="",AI5,VLOOKUP(AI5,'Списки участников'!A:K,12,FALSE))</f>
        <v/>
      </c>
      <c r="AK5" s="15"/>
      <c r="AL5" s="16"/>
      <c r="AM5" s="4"/>
      <c r="AN5" s="17"/>
      <c r="AO5" s="17"/>
      <c r="AP5" s="287"/>
      <c r="AQ5" s="204" t="s">
        <v>82</v>
      </c>
      <c r="AR5" s="18" t="str">
        <f>IF('Протокол (-32)'!F74="","",'Протокол (-32)'!F74)</f>
        <v/>
      </c>
      <c r="AS5" s="19" t="str">
        <f>IF(AR5="",AR5,VLOOKUP(AR5,'Списки участников'!A:K,12,FALSE))</f>
        <v/>
      </c>
      <c r="AT5" s="11"/>
      <c r="AU5" s="10"/>
      <c r="AV5" s="10"/>
      <c r="AW5" s="11"/>
      <c r="AX5" s="10"/>
      <c r="AY5" s="10"/>
      <c r="AZ5" s="10"/>
      <c r="BA5" s="10"/>
      <c r="BB5" s="10"/>
      <c r="BC5" s="11"/>
      <c r="BD5" s="10"/>
      <c r="BE5" s="20"/>
    </row>
    <row r="6" spans="1:57" ht="11.45" customHeight="1" x14ac:dyDescent="0.2">
      <c r="S6" s="10"/>
      <c r="T6" s="10"/>
      <c r="U6" s="10"/>
      <c r="V6" s="6">
        <v>-24</v>
      </c>
      <c r="W6" s="7" t="str">
        <f>IF('Протокол (-32)'!F27="","",IF(H66=E68,E64,IF(H66=E64,E68)))</f>
        <v/>
      </c>
      <c r="X6" s="203" t="str">
        <f>IF(W6="",W6,VLOOKUP(W6,'Списки участников'!A:K,12,FALSE))</f>
        <v/>
      </c>
      <c r="Y6" s="6"/>
      <c r="Z6" s="6"/>
      <c r="AA6" s="10"/>
      <c r="AB6" s="17"/>
      <c r="AC6" s="17"/>
      <c r="AD6" s="21"/>
      <c r="AE6" s="22"/>
      <c r="AF6" s="10"/>
      <c r="AG6" s="10"/>
      <c r="AH6" s="17"/>
      <c r="AI6" s="17"/>
      <c r="AJ6" s="21"/>
      <c r="AK6" s="23"/>
      <c r="AL6" s="16"/>
      <c r="AM6" s="10"/>
      <c r="AN6" s="24">
        <v>-41</v>
      </c>
      <c r="AO6" s="25" t="str">
        <f>IF(Z11="","",IF(Z11=W10,W12,IF(Z11=W12,W10)))</f>
        <v/>
      </c>
      <c r="AP6" s="206" t="str">
        <f>IF(AO6="",AO6,VLOOKUP(AO6,'Списки участников'!A:K,12,FALSE))</f>
        <v/>
      </c>
      <c r="AQ6" s="26"/>
      <c r="AR6" s="21"/>
      <c r="AS6" s="207" t="str">
        <f>'Протокол (-32)'!R74</f>
        <v/>
      </c>
      <c r="AT6" s="27"/>
      <c r="AU6" s="10"/>
      <c r="AV6" s="10"/>
      <c r="AW6" s="11"/>
      <c r="AX6" s="10"/>
      <c r="AY6" s="10"/>
      <c r="AZ6" s="10"/>
      <c r="BA6" s="10"/>
      <c r="BB6" s="10"/>
      <c r="BC6" s="11"/>
      <c r="BD6" s="10"/>
      <c r="BE6" s="10"/>
    </row>
    <row r="7" spans="1:57" ht="11.45" customHeight="1" x14ac:dyDescent="0.2">
      <c r="A7" s="208">
        <v>1</v>
      </c>
      <c r="B7" s="209"/>
      <c r="C7" s="210">
        <f>IF(B7="",B7,VLOOKUP(B7,'Списки участников'!A:K,12,FALSE))</f>
        <v>0</v>
      </c>
      <c r="D7" s="211">
        <f>IF(B7="",B7,VLOOKUP(B7,'Списки участников'!A:K,6,FALSE))</f>
        <v>0</v>
      </c>
      <c r="E7" s="212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4"/>
      <c r="Q7" s="214"/>
      <c r="R7" s="215"/>
      <c r="S7" s="6">
        <v>-1</v>
      </c>
      <c r="T7" s="7" t="str">
        <f>IF('Протокол (-32)'!F4="","",IF(E8=B9,B7,IF(E8=B7,B9)))</f>
        <v/>
      </c>
      <c r="U7" s="19" t="str">
        <f>IF(T7="",T7,VLOOKUP(T7,'Списки участников'!A:K,12,FALSE))</f>
        <v/>
      </c>
      <c r="V7" s="17"/>
      <c r="W7" s="17"/>
      <c r="X7" s="287"/>
      <c r="Y7" s="216">
        <v>40</v>
      </c>
      <c r="Z7" s="28" t="str">
        <f>IF('Протокол (-32)'!F43="","",'Протокол (-32)'!F43)</f>
        <v/>
      </c>
      <c r="AA7" s="203" t="str">
        <f>IF(Z7="",Z7,VLOOKUP(Z7,'Списки участников'!A:K,12,FALSE))</f>
        <v/>
      </c>
      <c r="AB7" s="29"/>
      <c r="AC7" s="29"/>
      <c r="AD7" s="1260"/>
      <c r="AE7" s="1261" t="s">
        <v>62</v>
      </c>
      <c r="AF7" s="18" t="str">
        <f>IF('Протокол (-32)'!F55="","",'Протокол (-32)'!F55)</f>
        <v/>
      </c>
      <c r="AG7" s="203" t="str">
        <f>IF(AF7="",AF7,VLOOKUP(AF7,'Списки участников'!A:K,12,FALSE))</f>
        <v/>
      </c>
      <c r="AH7" s="29"/>
      <c r="AI7" s="29"/>
      <c r="AJ7" s="30"/>
      <c r="AK7" s="31"/>
      <c r="AL7" s="16"/>
      <c r="AM7" s="10"/>
      <c r="AN7" s="6"/>
      <c r="AO7" s="6"/>
      <c r="AP7" s="10"/>
      <c r="AQ7" s="32"/>
      <c r="AR7" s="30"/>
      <c r="AS7" s="1260"/>
      <c r="AT7" s="1262">
        <v>75</v>
      </c>
      <c r="AU7" s="18" t="str">
        <f>IF('Протокол (-32)'!F78="","",'Протокол (-32)'!F78)</f>
        <v/>
      </c>
      <c r="AV7" s="19" t="str">
        <f>IF(AU7="",AU7,VLOOKUP(AU7,'Списки участников'!A:K,12,FALSE))</f>
        <v/>
      </c>
      <c r="AW7" s="33"/>
      <c r="AX7" s="34"/>
      <c r="AZ7" s="10"/>
      <c r="BA7" s="10"/>
      <c r="BB7" s="10"/>
      <c r="BC7" s="11"/>
      <c r="BD7" s="10"/>
      <c r="BE7" s="10"/>
    </row>
    <row r="8" spans="1:57" ht="11.45" customHeight="1" x14ac:dyDescent="0.2">
      <c r="A8" s="217"/>
      <c r="B8" s="217"/>
      <c r="C8" s="287"/>
      <c r="D8" s="218">
        <v>1</v>
      </c>
      <c r="E8" s="219">
        <f>'Протокол (-32)'!F4</f>
        <v>0</v>
      </c>
      <c r="F8" s="210">
        <f>IF('Протокол (-32)'!F4="",E8,VLOOKUP(E8,'Списки участников'!A:K,12,FALSE))</f>
        <v>0</v>
      </c>
      <c r="G8" s="220"/>
      <c r="H8" s="220"/>
      <c r="I8" s="213"/>
      <c r="J8" s="213"/>
      <c r="K8" s="213"/>
      <c r="L8" s="213"/>
      <c r="M8" s="213"/>
      <c r="N8" s="213"/>
      <c r="O8" s="213"/>
      <c r="P8" s="213"/>
      <c r="Q8" s="213"/>
      <c r="R8" s="221"/>
      <c r="S8" s="17"/>
      <c r="T8" s="17"/>
      <c r="U8" s="287"/>
      <c r="V8" s="38" t="s">
        <v>34</v>
      </c>
      <c r="W8" s="35" t="str">
        <f>IF('Протокол (-32)'!F35="","",'Протокол (-32)'!F35)</f>
        <v/>
      </c>
      <c r="X8" s="222" t="str">
        <f>IF(W8="",W8,VLOOKUP(W8,'Списки участников'!A:K,12,FALSE))</f>
        <v/>
      </c>
      <c r="Y8" s="36"/>
      <c r="Z8" s="37"/>
      <c r="AA8" s="17" t="str">
        <f>'Протокол (-32)'!R43</f>
        <v/>
      </c>
      <c r="AB8" s="38"/>
      <c r="AC8" s="29"/>
      <c r="AD8" s="1260"/>
      <c r="AE8" s="1261"/>
      <c r="AF8" s="39"/>
      <c r="AG8" s="275" t="str">
        <f>'Протокол (-32)'!R55</f>
        <v/>
      </c>
      <c r="AH8" s="38"/>
      <c r="AI8" s="29"/>
      <c r="AJ8" s="1260"/>
      <c r="AK8" s="1263">
        <v>58</v>
      </c>
      <c r="AL8" s="40" t="str">
        <f>IF('Протокол (-32)'!F61="","",'Протокол (-32)'!F61)</f>
        <v/>
      </c>
      <c r="AM8" s="203" t="str">
        <f>IF(AL8="",AL8,VLOOKUP(AL8,'Списки участников'!A:K,12,FALSE))</f>
        <v/>
      </c>
      <c r="AN8" s="6">
        <v>-42</v>
      </c>
      <c r="AO8" s="7" t="str">
        <f>IF(Z15="","",IF(Z15=W14,W16,IF(Z15=W16,W14)))</f>
        <v/>
      </c>
      <c r="AP8" s="8" t="str">
        <f>IF(AO8="",AO8,VLOOKUP(AO8,'Списки участников'!A:K,12,FALSE))</f>
        <v/>
      </c>
      <c r="AQ8" s="32"/>
      <c r="AR8" s="30"/>
      <c r="AS8" s="1260"/>
      <c r="AT8" s="1262"/>
      <c r="AU8" s="21"/>
      <c r="AV8" s="207" t="str">
        <f>'Протокол (-32)'!R78</f>
        <v/>
      </c>
      <c r="AW8" s="27"/>
      <c r="AX8" s="30"/>
      <c r="AY8" s="9"/>
      <c r="AZ8" s="10"/>
      <c r="BA8" s="10"/>
      <c r="BB8" s="10"/>
      <c r="BC8" s="11"/>
      <c r="BD8" s="10"/>
      <c r="BE8" s="10"/>
    </row>
    <row r="9" spans="1:57" ht="11.45" customHeight="1" x14ac:dyDescent="0.2">
      <c r="A9" s="223">
        <v>2</v>
      </c>
      <c r="B9" s="224"/>
      <c r="C9" s="225">
        <f>IF(B9="",B9,VLOOKUP(B9,'Списки участников'!A:K,12,FALSE))</f>
        <v>0</v>
      </c>
      <c r="D9" s="226">
        <f>IF(B9="",B9,VLOOKUP(B9,'Списки участников'!A:K,6,FALSE))</f>
        <v>0</v>
      </c>
      <c r="E9" s="227"/>
      <c r="F9" s="228">
        <f>'Протокол (-32)'!R4</f>
        <v>0</v>
      </c>
      <c r="G9" s="229"/>
      <c r="H9" s="230"/>
      <c r="I9" s="231"/>
      <c r="J9" s="231"/>
      <c r="K9" s="231"/>
      <c r="L9" s="231"/>
      <c r="M9" s="231"/>
      <c r="N9" s="231"/>
      <c r="O9" s="791"/>
      <c r="P9" s="231"/>
      <c r="Q9" s="231"/>
      <c r="R9" s="215"/>
      <c r="S9" s="24">
        <v>-2</v>
      </c>
      <c r="T9" s="25" t="str">
        <f>IF('Протокол (-32)'!F5="","",IF(E12=B11,B13,IF(E12=B13,B11)))</f>
        <v/>
      </c>
      <c r="U9" s="222" t="str">
        <f>IF(T9="",T9,VLOOKUP(T9,'Списки участников'!A:K,12,FALSE))</f>
        <v/>
      </c>
      <c r="V9" s="41"/>
      <c r="W9" s="6"/>
      <c r="X9" s="190">
        <f>'Протокол (-32)'!R35</f>
        <v>0</v>
      </c>
      <c r="Y9" s="9"/>
      <c r="Z9" s="9"/>
      <c r="AA9" s="1260"/>
      <c r="AB9" s="1261" t="s">
        <v>55</v>
      </c>
      <c r="AC9" s="35" t="str">
        <f>IF('Протокол (-32)'!F51="","",'Протокол (-32)'!F51)</f>
        <v/>
      </c>
      <c r="AD9" s="222" t="str">
        <f>IF(AC9="",AC9,VLOOKUP(AC9,'Списки участников'!A:K,12,FALSE))</f>
        <v/>
      </c>
      <c r="AE9" s="42"/>
      <c r="AF9" s="43"/>
      <c r="AG9" s="43"/>
      <c r="AH9" s="44"/>
      <c r="AI9" s="29"/>
      <c r="AJ9" s="1260"/>
      <c r="AK9" s="1263"/>
      <c r="AL9" s="16"/>
      <c r="AM9" s="276" t="str">
        <f>'Протокол (-32)'!R61</f>
        <v/>
      </c>
      <c r="AN9" s="17"/>
      <c r="AO9" s="17"/>
      <c r="AP9" s="287"/>
      <c r="AQ9" s="204" t="s">
        <v>86</v>
      </c>
      <c r="AR9" s="45" t="str">
        <f>IF('Протокол (-32)'!F75="","",'Протокол (-32)'!F75)</f>
        <v/>
      </c>
      <c r="AS9" s="232" t="str">
        <f>IF(AR9="",AR9,VLOOKUP(AR9,'Списки участников'!A:K,12,FALSE))</f>
        <v/>
      </c>
      <c r="AT9" s="46"/>
      <c r="AU9" s="30"/>
      <c r="AV9" s="30"/>
      <c r="AW9" s="47"/>
      <c r="AX9" s="30"/>
      <c r="AY9" s="868" t="str">
        <f>CONCATENATE(M4+16," ","место")</f>
        <v>28 место</v>
      </c>
      <c r="AZ9" s="10"/>
      <c r="BA9" s="10"/>
      <c r="BB9" s="10"/>
      <c r="BC9" s="11"/>
      <c r="BD9" s="10"/>
      <c r="BE9" s="10"/>
    </row>
    <row r="10" spans="1:57" ht="11.45" customHeight="1" x14ac:dyDescent="0.2">
      <c r="A10" s="208"/>
      <c r="B10" s="208"/>
      <c r="C10" s="213"/>
      <c r="D10" s="233"/>
      <c r="E10" s="231"/>
      <c r="F10" s="1260"/>
      <c r="G10" s="1137">
        <v>17</v>
      </c>
      <c r="H10" s="234">
        <f>'Протокол (-32)'!F20</f>
        <v>0</v>
      </c>
      <c r="I10" s="210">
        <f>IF('Протокол (-32)'!F20="",H10,VLOOKUP(H10,'Списки участников'!A:K,12,FALSE))</f>
        <v>0</v>
      </c>
      <c r="J10" s="220"/>
      <c r="K10" s="220"/>
      <c r="L10" s="231"/>
      <c r="M10" s="231"/>
      <c r="N10" s="231"/>
      <c r="O10" s="231"/>
      <c r="P10" s="231"/>
      <c r="Q10" s="231"/>
      <c r="R10" s="215"/>
      <c r="S10" s="6"/>
      <c r="T10" s="6"/>
      <c r="U10" s="14"/>
      <c r="V10" s="6">
        <v>-23</v>
      </c>
      <c r="W10" s="7" t="str">
        <f>IF('Протокол (-32)'!F26="","",IF(H58=E60,E56,IF(H58=E56,E60)))</f>
        <v/>
      </c>
      <c r="X10" s="203" t="str">
        <f>IF(W10="",W10,VLOOKUP(W10,'Списки участников'!A:K,12,FALSE))</f>
        <v/>
      </c>
      <c r="Y10" s="6"/>
      <c r="Z10" s="6"/>
      <c r="AA10" s="1260"/>
      <c r="AB10" s="1261"/>
      <c r="AC10" s="6"/>
      <c r="AD10" s="6" t="str">
        <f>'Протокол (-32)'!R51</f>
        <v/>
      </c>
      <c r="AE10" s="43"/>
      <c r="AF10" s="43"/>
      <c r="AG10" s="43"/>
      <c r="AH10" s="44"/>
      <c r="AI10" s="29"/>
      <c r="AJ10" s="43"/>
      <c r="AK10" s="31"/>
      <c r="AL10" s="16"/>
      <c r="AM10" s="48"/>
      <c r="AN10" s="24">
        <v>-43</v>
      </c>
      <c r="AO10" s="25" t="str">
        <f>IF(Z19="","",IF(Z19=W18,W20,IF(Z19=W20,W18)))</f>
        <v/>
      </c>
      <c r="AP10" s="206" t="str">
        <f>IF(AO10="",AO10,VLOOKUP(AO10,'Списки участников'!A:K,12,FALSE))</f>
        <v/>
      </c>
      <c r="AQ10" s="26"/>
      <c r="AR10" s="10"/>
      <c r="AS10" s="190" t="str">
        <f>'Протокол (-32)'!R75</f>
        <v/>
      </c>
      <c r="AT10" s="49"/>
      <c r="AU10" s="30"/>
      <c r="AV10" s="30"/>
      <c r="AW10" s="47"/>
      <c r="AX10" s="30"/>
      <c r="AY10" s="50" t="str">
        <f>IF(AX11="",AX11,VLOOKUP(AX11,'Списки участников'!A:K,6,FALSE))</f>
        <v/>
      </c>
      <c r="AZ10" s="10"/>
      <c r="BA10" s="10"/>
      <c r="BB10" s="10"/>
      <c r="BC10" s="11"/>
      <c r="BD10" s="10"/>
      <c r="BE10" s="10"/>
    </row>
    <row r="11" spans="1:57" ht="11.45" customHeight="1" x14ac:dyDescent="0.2">
      <c r="A11" s="208">
        <v>3</v>
      </c>
      <c r="B11" s="209"/>
      <c r="C11" s="235">
        <f>IF(B11="",B11,VLOOKUP(B11,'Списки участников'!A:K,12,FALSE))</f>
        <v>0</v>
      </c>
      <c r="D11" s="236">
        <f>IF(B11="",B11,VLOOKUP(B11,'Списки участников'!A:K,6,FALSE))</f>
        <v>0</v>
      </c>
      <c r="E11" s="212"/>
      <c r="F11" s="1260"/>
      <c r="G11" s="1137"/>
      <c r="H11" s="237"/>
      <c r="I11" s="277" t="str">
        <f>'Протокол (-32)'!R20</f>
        <v/>
      </c>
      <c r="J11" s="229"/>
      <c r="K11" s="230"/>
      <c r="L11" s="231"/>
      <c r="M11" s="231"/>
      <c r="N11" s="231"/>
      <c r="O11" s="231"/>
      <c r="P11" s="231"/>
      <c r="Q11" s="231"/>
      <c r="R11" s="215"/>
      <c r="S11" s="6">
        <v>-3</v>
      </c>
      <c r="T11" s="7" t="str">
        <f>IF('Протокол (-32)'!F6="","",IF(E16=B17,B15,IF(E16=B15,B17)))</f>
        <v/>
      </c>
      <c r="U11" s="203" t="str">
        <f>IF(T11="",T11,VLOOKUP(T11,'Списки участников'!A:K,12,FALSE))</f>
        <v/>
      </c>
      <c r="V11" s="17"/>
      <c r="W11" s="17"/>
      <c r="X11" s="287"/>
      <c r="Y11" s="216">
        <v>41</v>
      </c>
      <c r="Z11" s="51" t="str">
        <f>IF('Протокол (-32)'!F44="","",'Протокол (-32)'!F44)</f>
        <v/>
      </c>
      <c r="AA11" s="222" t="str">
        <f>IF(Z11="",Z11,VLOOKUP(Z11,'Списки участников'!A:K,12,FALSE))</f>
        <v/>
      </c>
      <c r="AB11" s="41"/>
      <c r="AC11" s="6"/>
      <c r="AD11" s="14"/>
      <c r="AE11" s="43"/>
      <c r="AF11" s="43"/>
      <c r="AG11" s="1260"/>
      <c r="AH11" s="1261" t="s">
        <v>66</v>
      </c>
      <c r="AI11" s="35" t="str">
        <f>IF('Протокол (-32)'!F59="","",'Протокол (-32)'!F59)</f>
        <v/>
      </c>
      <c r="AJ11" s="222" t="str">
        <f>IF(AI11="",AI11,VLOOKUP(AI11,'Списки участников'!A:K,12,FALSE))</f>
        <v/>
      </c>
      <c r="AK11" s="52"/>
      <c r="AL11" s="16"/>
      <c r="AM11" s="48"/>
      <c r="AN11" s="6"/>
      <c r="AO11" s="6"/>
      <c r="AP11" s="10"/>
      <c r="AQ11" s="9"/>
      <c r="AR11" s="10"/>
      <c r="AS11" s="10"/>
      <c r="AT11" s="49"/>
      <c r="AU11" s="30"/>
      <c r="AV11" s="1260"/>
      <c r="AW11" s="1262">
        <v>77</v>
      </c>
      <c r="AX11" s="53" t="str">
        <f>IF('Протокол (-32)'!F80="","",'Протокол (-32)'!F80)</f>
        <v/>
      </c>
      <c r="AY11" s="238" t="str">
        <f>IF(AX11="",AX11,VLOOKUP(AX11,'Списки участников'!A:K,12,FALSE))</f>
        <v/>
      </c>
      <c r="AZ11" s="10"/>
      <c r="BA11" s="10"/>
      <c r="BB11" s="10"/>
      <c r="BC11" s="11"/>
      <c r="BD11" s="10"/>
      <c r="BE11" s="10"/>
    </row>
    <row r="12" spans="1:57" ht="11.45" customHeight="1" x14ac:dyDescent="0.2">
      <c r="A12" s="217"/>
      <c r="B12" s="217"/>
      <c r="C12" s="287"/>
      <c r="D12" s="218">
        <v>2</v>
      </c>
      <c r="E12" s="278">
        <f>'Протокол (-32)'!F5</f>
        <v>0</v>
      </c>
      <c r="F12" s="239">
        <f>IF('Протокол (-32)'!F5="",E12,VLOOKUP(E12,'Списки участников'!A:K,12,FALSE))</f>
        <v>0</v>
      </c>
      <c r="G12" s="240"/>
      <c r="H12" s="241"/>
      <c r="I12" s="242"/>
      <c r="J12" s="243"/>
      <c r="K12" s="242"/>
      <c r="L12" s="231"/>
      <c r="M12" s="231"/>
      <c r="N12" s="231"/>
      <c r="O12" s="231"/>
      <c r="P12" s="231"/>
      <c r="Q12" s="231"/>
      <c r="R12" s="215"/>
      <c r="S12" s="17"/>
      <c r="T12" s="17"/>
      <c r="U12" s="287"/>
      <c r="V12" s="38" t="s">
        <v>24</v>
      </c>
      <c r="W12" s="35" t="str">
        <f>IF('Протокол (-32)'!F36="","",'Протокол (-32)'!F36)</f>
        <v/>
      </c>
      <c r="X12" s="222" t="str">
        <f>IF(W12="",W12,VLOOKUP(W12,'Списки участников'!A:K,12,FALSE))</f>
        <v/>
      </c>
      <c r="Y12" s="36"/>
      <c r="Z12" s="32"/>
      <c r="AA12" s="6">
        <f>'Протокол (-32)'!R44</f>
        <v>0</v>
      </c>
      <c r="AB12" s="6"/>
      <c r="AC12" s="6"/>
      <c r="AD12" s="14"/>
      <c r="AE12" s="43"/>
      <c r="AF12" s="43"/>
      <c r="AG12" s="1260"/>
      <c r="AH12" s="1261"/>
      <c r="AI12" s="6"/>
      <c r="AJ12" s="6" t="str">
        <f>'Протокол (-32)'!R59</f>
        <v/>
      </c>
      <c r="AK12" s="15"/>
      <c r="AL12" s="16"/>
      <c r="AM12" s="48"/>
      <c r="AN12" s="6">
        <v>-44</v>
      </c>
      <c r="AO12" s="7" t="str">
        <f>IF(Z23="","",IF(Z23=W22,W24,IF(Z23=W24,W22)))</f>
        <v/>
      </c>
      <c r="AP12" s="8" t="str">
        <f>IF(AO12="",AO12,VLOOKUP(AO12,'Списки участников'!A:K,12,FALSE))</f>
        <v/>
      </c>
      <c r="AQ12" s="9"/>
      <c r="AR12" s="10"/>
      <c r="AS12" s="10"/>
      <c r="AT12" s="49"/>
      <c r="AU12" s="30"/>
      <c r="AV12" s="1260"/>
      <c r="AW12" s="1262"/>
      <c r="AX12" s="54"/>
      <c r="AY12" s="191" t="str">
        <f>'Протокол (-32)'!R80</f>
        <v/>
      </c>
      <c r="AZ12" s="10"/>
      <c r="BA12" s="10"/>
      <c r="BB12" s="10"/>
      <c r="BC12" s="11"/>
      <c r="BD12" s="10"/>
      <c r="BE12" s="10"/>
    </row>
    <row r="13" spans="1:57" ht="11.45" customHeight="1" x14ac:dyDescent="0.2">
      <c r="A13" s="223">
        <v>4</v>
      </c>
      <c r="B13" s="224"/>
      <c r="C13" s="225">
        <f>IF(B13="",B13,VLOOKUP(B13,'Списки участников'!A:K,12,FALSE))</f>
        <v>0</v>
      </c>
      <c r="D13" s="226">
        <f>IF(B13="",B13,VLOOKUP(B13,'Списки участников'!A:K,6,FALSE))</f>
        <v>0</v>
      </c>
      <c r="E13" s="227"/>
      <c r="F13" s="244" t="str">
        <f>'Протокол (-32)'!R5</f>
        <v/>
      </c>
      <c r="G13" s="245"/>
      <c r="H13" s="245"/>
      <c r="I13" s="242"/>
      <c r="J13" s="243"/>
      <c r="K13" s="242"/>
      <c r="L13" s="231"/>
      <c r="M13" s="231"/>
      <c r="N13" s="231"/>
      <c r="O13" s="231"/>
      <c r="P13" s="231"/>
      <c r="Q13" s="231"/>
      <c r="R13" s="215"/>
      <c r="S13" s="24">
        <v>-4</v>
      </c>
      <c r="T13" s="25" t="str">
        <f>IF('Протокол (-32)'!F7="","",IF(E20=B21,B19,IF(E20=B19,B21)))</f>
        <v/>
      </c>
      <c r="U13" s="222" t="str">
        <f>IF(T13="",T13,VLOOKUP(T13,'Списки участников'!A:K,12,FALSE))</f>
        <v/>
      </c>
      <c r="V13" s="41"/>
      <c r="W13" s="6"/>
      <c r="X13" s="6">
        <f>'Протокол (-32)'!R36</f>
        <v>0</v>
      </c>
      <c r="Y13" s="9"/>
      <c r="Z13" s="9"/>
      <c r="AA13" s="14"/>
      <c r="AB13" s="6" t="s">
        <v>92</v>
      </c>
      <c r="AC13" s="7" t="str">
        <f>IF('Протокол (-32)'!F28="","",IF(K14=H10,H18,IF(K14=H18,H10)))</f>
        <v/>
      </c>
      <c r="AD13" s="203" t="str">
        <f>IF(AC13="",AC13,VLOOKUP(AC13,'Списки участников'!A:K,12,FALSE))</f>
        <v/>
      </c>
      <c r="AE13" s="43"/>
      <c r="AF13" s="43"/>
      <c r="AG13" s="43"/>
      <c r="AH13" s="44"/>
      <c r="AI13" s="6"/>
      <c r="AJ13" s="14"/>
      <c r="AK13" s="15"/>
      <c r="AL13" s="16"/>
      <c r="AM13" s="48"/>
      <c r="AN13" s="17"/>
      <c r="AO13" s="17"/>
      <c r="AP13" s="287"/>
      <c r="AQ13" s="204" t="s">
        <v>87</v>
      </c>
      <c r="AR13" s="18" t="str">
        <f>IF('Протокол (-32)'!F76="","",'Протокол (-32)'!F76)</f>
        <v/>
      </c>
      <c r="AS13" s="19" t="str">
        <f>IF(AR13="",AR13,VLOOKUP(AR13,'Списки участников'!A:K,12,FALSE))</f>
        <v/>
      </c>
      <c r="AT13" s="49"/>
      <c r="AU13" s="30"/>
      <c r="AV13" s="30"/>
      <c r="AW13" s="47"/>
      <c r="AX13" s="30"/>
      <c r="AY13" s="9"/>
      <c r="AZ13" s="10"/>
      <c r="BA13" s="10"/>
      <c r="BB13" s="10"/>
      <c r="BC13" s="11"/>
      <c r="BD13" s="10"/>
      <c r="BE13" s="10"/>
    </row>
    <row r="14" spans="1:57" ht="11.45" customHeight="1" x14ac:dyDescent="0.2">
      <c r="A14" s="208"/>
      <c r="B14" s="208"/>
      <c r="C14" s="213"/>
      <c r="D14" s="233"/>
      <c r="E14" s="231"/>
      <c r="F14" s="231"/>
      <c r="G14" s="231"/>
      <c r="H14" s="231"/>
      <c r="I14" s="1260"/>
      <c r="J14" s="1137">
        <v>25</v>
      </c>
      <c r="K14" s="234">
        <f>'Протокол (-32)'!F28</f>
        <v>0</v>
      </c>
      <c r="L14" s="210">
        <f>IF('Протокол (-32)'!F28="",K14,VLOOKUP(K14,'Списки участников'!A:K,12,FALSE))</f>
        <v>0</v>
      </c>
      <c r="M14" s="220"/>
      <c r="N14" s="220"/>
      <c r="O14" s="231"/>
      <c r="P14" s="231"/>
      <c r="Q14" s="231"/>
      <c r="R14" s="231"/>
      <c r="S14" s="6"/>
      <c r="T14" s="6"/>
      <c r="U14" s="14"/>
      <c r="V14" s="6">
        <v>-22</v>
      </c>
      <c r="W14" s="7" t="str">
        <f>IF('Протокол (-32)'!F25="","",IF(H50=E48,E52,IF(H50=E52,E48)))</f>
        <v/>
      </c>
      <c r="X14" s="203" t="str">
        <f>IF(W14="",W14,VLOOKUP(W14,'Списки участников'!A:K,12,FALSE))</f>
        <v/>
      </c>
      <c r="Y14" s="6"/>
      <c r="Z14" s="6"/>
      <c r="AA14" s="14"/>
      <c r="AB14" s="17"/>
      <c r="AC14" s="17"/>
      <c r="AD14" s="39"/>
      <c r="AE14" s="22"/>
      <c r="AF14" s="43"/>
      <c r="AG14" s="43"/>
      <c r="AH14" s="44"/>
      <c r="AI14" s="6"/>
      <c r="AJ14" s="14"/>
      <c r="AK14" s="15"/>
      <c r="AL14" s="16"/>
      <c r="AM14" s="869" t="str">
        <f>CONCATENATE(M4+2," ","место")</f>
        <v>14 место</v>
      </c>
      <c r="AN14" s="24">
        <v>-45</v>
      </c>
      <c r="AO14" s="25" t="str">
        <f>IF(Z27="","",IF(Z27=W26,W28,IF(Z27=W28,W26)))</f>
        <v/>
      </c>
      <c r="AP14" s="206" t="str">
        <f>IF(AO14="",AO14,VLOOKUP(AO14,'Списки участников'!A:K,12,FALSE))</f>
        <v/>
      </c>
      <c r="AQ14" s="26"/>
      <c r="AR14" s="21"/>
      <c r="AS14" s="207" t="str">
        <f>'Протокол (-32)'!R76</f>
        <v/>
      </c>
      <c r="AT14" s="27"/>
      <c r="AU14" s="30"/>
      <c r="AV14" s="30"/>
      <c r="AW14" s="47"/>
      <c r="AX14" s="30"/>
      <c r="AY14" s="9"/>
      <c r="AZ14" s="10"/>
      <c r="BA14" s="10"/>
      <c r="BB14" s="10"/>
      <c r="BC14" s="11"/>
      <c r="BD14" s="10"/>
      <c r="BE14" s="10"/>
    </row>
    <row r="15" spans="1:57" ht="11.45" customHeight="1" x14ac:dyDescent="0.2">
      <c r="A15" s="208">
        <v>5</v>
      </c>
      <c r="B15" s="209"/>
      <c r="C15" s="235">
        <f>IF(B15="",B15,VLOOKUP(B15,'Списки участников'!A:K,12,FALSE))</f>
        <v>0</v>
      </c>
      <c r="D15" s="236">
        <f>IF(B15="",B15,VLOOKUP(B15,'Списки участников'!A:K,6,FALSE))</f>
        <v>0</v>
      </c>
      <c r="E15" s="212"/>
      <c r="F15" s="231"/>
      <c r="G15" s="231"/>
      <c r="H15" s="231"/>
      <c r="I15" s="1260"/>
      <c r="J15" s="1137"/>
      <c r="K15" s="237"/>
      <c r="L15" s="277" t="str">
        <f>'Протокол (-32)'!R28</f>
        <v/>
      </c>
      <c r="M15" s="229"/>
      <c r="N15" s="230"/>
      <c r="O15" s="231"/>
      <c r="P15" s="231"/>
      <c r="Q15" s="231"/>
      <c r="R15" s="215"/>
      <c r="S15" s="6">
        <v>-5</v>
      </c>
      <c r="T15" s="7" t="str">
        <f>IF('Протокол (-32)'!F8="","",IF(E24=B25,B23,IF(E24=B23,B25)))</f>
        <v/>
      </c>
      <c r="U15" s="203" t="str">
        <f>IF(T15="",T15,VLOOKUP(T15,'Списки участников'!A:K,12,FALSE))</f>
        <v/>
      </c>
      <c r="V15" s="17"/>
      <c r="W15" s="17"/>
      <c r="X15" s="287"/>
      <c r="Y15" s="216">
        <v>42</v>
      </c>
      <c r="Z15" s="28" t="str">
        <f>IF('Протокол (-32)'!F45="","",'Протокол (-32)'!F45)</f>
        <v/>
      </c>
      <c r="AA15" s="203" t="str">
        <f>IF(Z15="",Z15,VLOOKUP(Z15,'Списки участников'!A:K,12,FALSE))</f>
        <v/>
      </c>
      <c r="AB15" s="29"/>
      <c r="AC15" s="29"/>
      <c r="AD15" s="1260"/>
      <c r="AE15" s="1261" t="s">
        <v>63</v>
      </c>
      <c r="AF15" s="55" t="str">
        <f>IF('Протокол (-32)'!F56="","",'Протокол (-32)'!F56)</f>
        <v/>
      </c>
      <c r="AG15" s="222" t="str">
        <f>IF(AF15="",AF15,VLOOKUP(AF15,'Списки участников'!A:K,12,FALSE))</f>
        <v/>
      </c>
      <c r="AH15" s="41"/>
      <c r="AI15" s="6"/>
      <c r="AJ15" s="14"/>
      <c r="AK15" s="15"/>
      <c r="AL15" s="16"/>
      <c r="AM15" s="56" t="str">
        <f>IF(AL16="",AL16,VLOOKUP(AL16,'Списки участников'!A:K,6,FALSE))</f>
        <v/>
      </c>
      <c r="AN15" s="6"/>
      <c r="AO15" s="6"/>
      <c r="AP15" s="10"/>
      <c r="AQ15" s="32"/>
      <c r="AR15" s="30"/>
      <c r="AS15" s="1260"/>
      <c r="AT15" s="1262">
        <v>76</v>
      </c>
      <c r="AU15" s="45" t="str">
        <f>IF('Протокол (-32)'!F79="","",'Протокол (-32)'!F79)</f>
        <v/>
      </c>
      <c r="AV15" s="232" t="str">
        <f>IF(AU15="",AU15,VLOOKUP(AU15,'Списки участников'!A:K,12,FALSE))</f>
        <v/>
      </c>
      <c r="AW15" s="57"/>
      <c r="AX15" s="58"/>
      <c r="AY15" s="9"/>
      <c r="AZ15" s="10"/>
      <c r="BA15" s="10"/>
      <c r="BB15" s="10"/>
      <c r="BC15" s="11"/>
      <c r="BD15" s="10"/>
      <c r="BE15" s="10"/>
    </row>
    <row r="16" spans="1:57" ht="11.45" customHeight="1" x14ac:dyDescent="0.2">
      <c r="A16" s="217"/>
      <c r="B16" s="217"/>
      <c r="C16" s="287"/>
      <c r="D16" s="218">
        <v>3</v>
      </c>
      <c r="E16" s="219">
        <f>'Протокол (-32)'!F6</f>
        <v>0</v>
      </c>
      <c r="F16" s="210">
        <f>IF('Протокол (-32)'!F6="",E16,VLOOKUP(E16,'Списки участников'!A:K,12,FALSE))</f>
        <v>0</v>
      </c>
      <c r="G16" s="220"/>
      <c r="H16" s="220"/>
      <c r="I16" s="242"/>
      <c r="J16" s="243"/>
      <c r="K16" s="242"/>
      <c r="L16" s="242"/>
      <c r="M16" s="243"/>
      <c r="N16" s="242"/>
      <c r="O16" s="231"/>
      <c r="P16" s="231"/>
      <c r="Q16" s="231"/>
      <c r="R16" s="215"/>
      <c r="S16" s="17"/>
      <c r="T16" s="17"/>
      <c r="U16" s="287"/>
      <c r="V16" s="38" t="s">
        <v>20</v>
      </c>
      <c r="W16" s="35" t="str">
        <f>IF('Протокол (-32)'!F37="","",'Протокол (-32)'!F37)</f>
        <v/>
      </c>
      <c r="X16" s="222" t="str">
        <f>IF(W16="",W16,VLOOKUP(W16,'Списки участников'!A:K,12,FALSE))</f>
        <v/>
      </c>
      <c r="Y16" s="36"/>
      <c r="Z16" s="37"/>
      <c r="AA16" s="17" t="str">
        <f>'Протокол (-32)'!R45</f>
        <v/>
      </c>
      <c r="AB16" s="38"/>
      <c r="AC16" s="29"/>
      <c r="AD16" s="1260"/>
      <c r="AE16" s="1261"/>
      <c r="AF16" s="14"/>
      <c r="AG16" s="6" t="str">
        <f>'Протокол (-32)'!R56</f>
        <v/>
      </c>
      <c r="AH16" s="6"/>
      <c r="AI16" s="6"/>
      <c r="AJ16" s="14"/>
      <c r="AK16" s="59"/>
      <c r="AL16" s="40" t="str">
        <f>IF('Протокол (-32)'!F63="","",'Протокол (-32)'!F63)</f>
        <v/>
      </c>
      <c r="AM16" s="246" t="str">
        <f>IF(AL16="",AL16,VLOOKUP(AL16,'Списки участников'!A:K,12,FALSE))</f>
        <v/>
      </c>
      <c r="AN16" s="6">
        <v>-46</v>
      </c>
      <c r="AO16" s="7" t="str">
        <f>IF(Z31="","",IF(Z31=W30,W32,IF(Z31=W32,W30)))</f>
        <v/>
      </c>
      <c r="AP16" s="8" t="str">
        <f>IF(AO16="",AO16,VLOOKUP(AO16,'Списки участников'!A:K,12,FALSE))</f>
        <v/>
      </c>
      <c r="AQ16" s="32"/>
      <c r="AR16" s="30"/>
      <c r="AS16" s="1260"/>
      <c r="AT16" s="1262"/>
      <c r="AU16" s="10"/>
      <c r="AV16" s="247">
        <f>'Протокол (-32)'!R79</f>
        <v>0</v>
      </c>
      <c r="AW16" s="11"/>
      <c r="AX16" s="10"/>
      <c r="AY16" s="868" t="str">
        <f>CONCATENATE(M4+17," ","место")</f>
        <v>29 место</v>
      </c>
      <c r="AZ16" s="10"/>
      <c r="BA16" s="10"/>
      <c r="BB16" s="10"/>
      <c r="BC16" s="11"/>
      <c r="BD16" s="10"/>
      <c r="BE16" s="10"/>
    </row>
    <row r="17" spans="1:57" ht="11.45" customHeight="1" x14ac:dyDescent="0.2">
      <c r="A17" s="223">
        <v>6</v>
      </c>
      <c r="B17" s="224"/>
      <c r="C17" s="225">
        <f>IF(B17="",B17,VLOOKUP(B17,'Списки участников'!A:K,12,FALSE))</f>
        <v>0</v>
      </c>
      <c r="D17" s="226">
        <f>IF(B17="",B17,VLOOKUP(B17,'Списки участников'!A:K,6,FALSE))</f>
        <v>0</v>
      </c>
      <c r="E17" s="227"/>
      <c r="F17" s="228">
        <f>'Протокол (-32)'!R6</f>
        <v>0</v>
      </c>
      <c r="G17" s="229"/>
      <c r="H17" s="230"/>
      <c r="I17" s="242"/>
      <c r="J17" s="243"/>
      <c r="K17" s="242"/>
      <c r="L17" s="242"/>
      <c r="M17" s="243"/>
      <c r="N17" s="242"/>
      <c r="O17" s="231"/>
      <c r="P17" s="231"/>
      <c r="Q17" s="231"/>
      <c r="R17" s="215"/>
      <c r="S17" s="24">
        <v>-6</v>
      </c>
      <c r="T17" s="25" t="str">
        <f>IF('Протокол (-32)'!F9="","",IF(E28=B27,B29,IF(E28=B29,B27)))</f>
        <v/>
      </c>
      <c r="U17" s="222" t="str">
        <f>IF(T17="",T17,VLOOKUP(T17,'Списки участников'!A:K,12,FALSE))</f>
        <v/>
      </c>
      <c r="V17" s="41"/>
      <c r="W17" s="6"/>
      <c r="X17" s="190">
        <f>'Протокол (-32)'!R37</f>
        <v>0</v>
      </c>
      <c r="Y17" s="9"/>
      <c r="Z17" s="9"/>
      <c r="AA17" s="1260"/>
      <c r="AB17" s="1261" t="s">
        <v>59</v>
      </c>
      <c r="AC17" s="35" t="str">
        <f>IF('Протокол (-32)'!F52="","",'Протокол (-32)'!F52)</f>
        <v/>
      </c>
      <c r="AD17" s="222" t="str">
        <f>IF(AC17="",AC17,VLOOKUP(AC17,'Списки участников'!A:K,12,FALSE))</f>
        <v/>
      </c>
      <c r="AE17" s="42"/>
      <c r="AF17" s="14"/>
      <c r="AG17" s="14"/>
      <c r="AH17" s="6"/>
      <c r="AI17" s="6"/>
      <c r="AJ17" s="14"/>
      <c r="AK17" s="15"/>
      <c r="AL17" s="16"/>
      <c r="AM17" s="48" t="str">
        <f>'Протокол (-32)'!R63</f>
        <v/>
      </c>
      <c r="AN17" s="17"/>
      <c r="AO17" s="17"/>
      <c r="AP17" s="287"/>
      <c r="AQ17" s="204" t="s">
        <v>88</v>
      </c>
      <c r="AR17" s="45" t="str">
        <f>IF('Протокол (-32)'!F77="","",'Протокол (-32)'!F77)</f>
        <v/>
      </c>
      <c r="AS17" s="232" t="str">
        <f>IF(AR17="",AR17,VLOOKUP(AR17,'Списки участников'!A:K,12,FALSE))</f>
        <v/>
      </c>
      <c r="AT17" s="46"/>
      <c r="AU17" s="10"/>
      <c r="AV17" s="10"/>
      <c r="AW17" s="11"/>
      <c r="AX17" s="10"/>
      <c r="AY17" s="50" t="str">
        <f>IF(AX18="",AX18,VLOOKUP(AX18,'Списки участников'!A:K,6,FALSE))</f>
        <v/>
      </c>
      <c r="AZ17" s="10"/>
      <c r="BA17" s="10"/>
      <c r="BB17" s="10"/>
      <c r="BC17" s="11"/>
      <c r="BD17" s="10"/>
      <c r="BE17" s="10"/>
    </row>
    <row r="18" spans="1:57" ht="11.45" customHeight="1" x14ac:dyDescent="0.2">
      <c r="A18" s="208"/>
      <c r="B18" s="208"/>
      <c r="C18" s="213"/>
      <c r="D18" s="233"/>
      <c r="E18" s="231"/>
      <c r="F18" s="1260"/>
      <c r="G18" s="1137" t="s">
        <v>14</v>
      </c>
      <c r="H18" s="234">
        <f>'Протокол (-32)'!F21</f>
        <v>0</v>
      </c>
      <c r="I18" s="239">
        <f>IF('Протокол (-32)'!F21="",H18,VLOOKUP(H18,'Списки участников'!A:K,12,FALSE))</f>
        <v>0</v>
      </c>
      <c r="J18" s="240"/>
      <c r="K18" s="241"/>
      <c r="L18" s="242"/>
      <c r="M18" s="243"/>
      <c r="N18" s="242"/>
      <c r="O18" s="231"/>
      <c r="P18" s="231"/>
      <c r="Q18" s="231"/>
      <c r="R18" s="215"/>
      <c r="S18" s="6"/>
      <c r="T18" s="6"/>
      <c r="U18" s="60"/>
      <c r="V18" s="6">
        <v>-21</v>
      </c>
      <c r="W18" s="7" t="str">
        <f>IF('Протокол (-32)'!F24="","",IF(H42=E44,E40,IF(H42=E40,E44)))</f>
        <v/>
      </c>
      <c r="X18" s="203" t="str">
        <f>IF(W18="",W18,VLOOKUP(W18,'Списки участников'!A:K,12,FALSE))</f>
        <v/>
      </c>
      <c r="Y18" s="6"/>
      <c r="Z18" s="6"/>
      <c r="AA18" s="1260"/>
      <c r="AB18" s="1261"/>
      <c r="AC18" s="6"/>
      <c r="AD18" s="6" t="str">
        <f>'Протокол (-32)'!R52</f>
        <v/>
      </c>
      <c r="AE18" s="14"/>
      <c r="AF18" s="14"/>
      <c r="AG18" s="14"/>
      <c r="AH18" s="6"/>
      <c r="AI18" s="6"/>
      <c r="AJ18" s="14"/>
      <c r="AK18" s="15"/>
      <c r="AL18" s="16"/>
      <c r="AM18" s="1260"/>
      <c r="AN18" s="24">
        <v>-47</v>
      </c>
      <c r="AO18" s="25" t="str">
        <f>IF(Z35="","",IF(Z35=W34,W36,IF(Z35=W36,W34)))</f>
        <v/>
      </c>
      <c r="AP18" s="206" t="str">
        <f>IF(AO18="",AO18,VLOOKUP(AO18,'Списки участников'!A:K,12,FALSE))</f>
        <v/>
      </c>
      <c r="AQ18" s="26"/>
      <c r="AR18" s="10"/>
      <c r="AS18" s="247" t="str">
        <f>'Протокол (-32)'!R77</f>
        <v/>
      </c>
      <c r="AT18" s="11"/>
      <c r="AU18" s="10"/>
      <c r="AV18" s="10"/>
      <c r="AW18" s="61"/>
      <c r="AX18" s="62" t="str">
        <f>IF(AX11="","",IF(AX11=AU7,AU15,IF(AX11=AU15,AU7)))</f>
        <v/>
      </c>
      <c r="AY18" s="238" t="str">
        <f>IF(AX18="",AX18,VLOOKUP(AX18,'Списки участников'!A:K,12,FALSE))</f>
        <v/>
      </c>
      <c r="AZ18" s="10"/>
      <c r="BA18" s="10"/>
      <c r="BB18" s="10"/>
      <c r="BC18" s="11"/>
      <c r="BD18" s="10"/>
      <c r="BE18" s="10"/>
    </row>
    <row r="19" spans="1:57" ht="11.45" customHeight="1" x14ac:dyDescent="0.2">
      <c r="A19" s="208">
        <v>7</v>
      </c>
      <c r="B19" s="209"/>
      <c r="C19" s="235">
        <f>IF(B19="",B19,VLOOKUP(B19,'Списки участников'!A:K,12,FALSE))</f>
        <v>0</v>
      </c>
      <c r="D19" s="236">
        <f>IF(B19="",B19,VLOOKUP(B19,'Списки участников'!A:K,6,FALSE))</f>
        <v>0</v>
      </c>
      <c r="E19" s="212"/>
      <c r="F19" s="1260"/>
      <c r="G19" s="1137"/>
      <c r="H19" s="237"/>
      <c r="I19" s="231" t="str">
        <f>'Протокол (-32)'!R21</f>
        <v/>
      </c>
      <c r="J19" s="245"/>
      <c r="K19" s="245"/>
      <c r="L19" s="242"/>
      <c r="M19" s="243"/>
      <c r="N19" s="242"/>
      <c r="O19" s="231"/>
      <c r="P19" s="231"/>
      <c r="Q19" s="231"/>
      <c r="R19" s="215"/>
      <c r="S19" s="6">
        <v>-7</v>
      </c>
      <c r="T19" s="7" t="str">
        <f>IF('Протокол (-32)'!F10="","",IF(E32=B31,B33,IF(E32=B33,B31)))</f>
        <v/>
      </c>
      <c r="U19" s="203" t="str">
        <f>IF(T19="",T19,VLOOKUP(T19,'Списки участников'!A:K,12,FALSE))</f>
        <v/>
      </c>
      <c r="V19" s="17"/>
      <c r="W19" s="17"/>
      <c r="X19" s="287"/>
      <c r="Y19" s="216">
        <v>43</v>
      </c>
      <c r="Z19" s="51" t="str">
        <f>IF('Протокол (-32)'!F46="","",'Протокол (-32)'!F46)</f>
        <v/>
      </c>
      <c r="AA19" s="222" t="str">
        <f>IF(Z19="",Z19,VLOOKUP(Z19,'Списки участников'!A:K,12,FALSE))</f>
        <v/>
      </c>
      <c r="AB19" s="41"/>
      <c r="AC19" s="6"/>
      <c r="AD19" s="14"/>
      <c r="AE19" s="14"/>
      <c r="AF19" s="14"/>
      <c r="AG19" s="14"/>
      <c r="AH19" s="6"/>
      <c r="AI19" s="6"/>
      <c r="AJ19" s="14"/>
      <c r="AK19" s="15"/>
      <c r="AL19" s="16"/>
      <c r="AM19" s="1260"/>
      <c r="AN19" s="10"/>
      <c r="AO19" s="10"/>
      <c r="AP19" s="10"/>
      <c r="AQ19" s="9"/>
      <c r="AR19" s="10"/>
      <c r="AS19" s="10"/>
      <c r="AT19" s="11"/>
      <c r="AU19" s="10"/>
      <c r="AV19" s="10"/>
      <c r="AW19" s="11"/>
      <c r="AX19" s="10"/>
      <c r="AY19" s="63"/>
      <c r="AZ19" s="10"/>
      <c r="BA19" s="10"/>
      <c r="BB19" s="10"/>
      <c r="BC19" s="11"/>
      <c r="BD19" s="10"/>
      <c r="BE19" s="868" t="str">
        <f>CONCATENATE(M4+18," ","место")</f>
        <v>30 место</v>
      </c>
    </row>
    <row r="20" spans="1:57" ht="11.45" customHeight="1" x14ac:dyDescent="0.2">
      <c r="A20" s="217"/>
      <c r="B20" s="217"/>
      <c r="C20" s="287"/>
      <c r="D20" s="218">
        <v>4</v>
      </c>
      <c r="E20" s="279">
        <f>'Протокол (-32)'!F7</f>
        <v>0</v>
      </c>
      <c r="F20" s="239">
        <f>IF('Протокол (-32)'!F7="",E20,VLOOKUP(E20,'Списки участников'!A:K,12,FALSE))</f>
        <v>0</v>
      </c>
      <c r="G20" s="240"/>
      <c r="H20" s="241"/>
      <c r="I20" s="231"/>
      <c r="J20" s="231"/>
      <c r="K20" s="231"/>
      <c r="L20" s="242"/>
      <c r="M20" s="243"/>
      <c r="N20" s="242"/>
      <c r="O20" s="231"/>
      <c r="P20" s="231"/>
      <c r="Q20" s="231"/>
      <c r="R20" s="215"/>
      <c r="S20" s="17"/>
      <c r="T20" s="17"/>
      <c r="U20" s="287"/>
      <c r="V20" s="38" t="s">
        <v>16</v>
      </c>
      <c r="W20" s="35" t="str">
        <f>IF('Протокол (-32)'!F38="","",'Протокол (-32)'!F38)</f>
        <v/>
      </c>
      <c r="X20" s="222" t="str">
        <f>IF(W20="",W20,VLOOKUP(W20,'Списки участников'!A:K,12,FALSE))</f>
        <v/>
      </c>
      <c r="Y20" s="36"/>
      <c r="Z20" s="32"/>
      <c r="AA20" s="6">
        <f>'Протокол (-32)'!R46</f>
        <v>0</v>
      </c>
      <c r="AB20" s="6"/>
      <c r="AC20" s="6"/>
      <c r="AD20" s="14"/>
      <c r="AE20" s="14"/>
      <c r="AF20" s="14"/>
      <c r="AG20" s="14"/>
      <c r="AH20" s="6"/>
      <c r="AI20" s="6"/>
      <c r="AJ20" s="14"/>
      <c r="AK20" s="15"/>
      <c r="AL20" s="16"/>
      <c r="AM20" s="48"/>
      <c r="AN20" s="10"/>
      <c r="AO20" s="10"/>
      <c r="AP20" s="10"/>
      <c r="AQ20" s="9"/>
      <c r="AR20" s="10"/>
      <c r="AS20" s="10"/>
      <c r="AT20" s="11"/>
      <c r="AU20" s="10"/>
      <c r="AV20" s="10"/>
      <c r="AW20" s="11"/>
      <c r="AX20" s="10"/>
      <c r="AY20" s="9"/>
      <c r="AZ20" s="6">
        <v>-75</v>
      </c>
      <c r="BA20" s="7" t="str">
        <f>IF(AU7="","",IF(AU7=AR5,AR9,IF(AU7=AR9,AR5)))</f>
        <v/>
      </c>
      <c r="BB20" s="19" t="str">
        <f>IF(BA20="",BA20,VLOOKUP(BA20,'Списки участников'!A:K,12,FALSE))</f>
        <v/>
      </c>
      <c r="BC20" s="64"/>
      <c r="BD20" s="19"/>
      <c r="BE20" s="50" t="str">
        <f>IF(BD21="",BD21,VLOOKUP(BD21,'Списки участников'!A:K,6,FALSE))</f>
        <v/>
      </c>
    </row>
    <row r="21" spans="1:57" ht="11.45" customHeight="1" x14ac:dyDescent="0.2">
      <c r="A21" s="223">
        <v>8</v>
      </c>
      <c r="B21" s="224"/>
      <c r="C21" s="225">
        <f>IF(B21="",B21,VLOOKUP(B21,'Списки участников'!A:K,12,FALSE))</f>
        <v>0</v>
      </c>
      <c r="D21" s="226">
        <f>IF(B21="",B21,VLOOKUP(B21,'Списки участников'!A:K,6,FALSE))</f>
        <v>0</v>
      </c>
      <c r="E21" s="227"/>
      <c r="F21" s="231">
        <f>'Протокол (-32)'!R7</f>
        <v>0</v>
      </c>
      <c r="G21" s="245"/>
      <c r="H21" s="245"/>
      <c r="I21" s="231"/>
      <c r="J21" s="231"/>
      <c r="K21" s="231"/>
      <c r="L21" s="242"/>
      <c r="M21" s="243"/>
      <c r="N21" s="242"/>
      <c r="O21" s="231"/>
      <c r="P21" s="231"/>
      <c r="Q21" s="231"/>
      <c r="R21" s="215"/>
      <c r="S21" s="24">
        <v>-8</v>
      </c>
      <c r="T21" s="25" t="str">
        <f>IF('Протокол (-32)'!F11="","",IF(E36=B37,B35,IF(E36=B35,B37)))</f>
        <v/>
      </c>
      <c r="U21" s="222" t="str">
        <f>IF(T21="",T21,VLOOKUP(T21,'Списки участников'!A:K,12,FALSE))</f>
        <v/>
      </c>
      <c r="V21" s="41"/>
      <c r="W21" s="6"/>
      <c r="X21" s="190">
        <f>'Протокол (-32)'!R38</f>
        <v>0</v>
      </c>
      <c r="Y21" s="9"/>
      <c r="Z21" s="9"/>
      <c r="AA21" s="14"/>
      <c r="AB21" s="6" t="s">
        <v>93</v>
      </c>
      <c r="AC21" s="7" t="str">
        <f>IF('Протокол (-32)'!F31="","",IF(K62=H58,H66,IF(K62=H66,H58)))</f>
        <v/>
      </c>
      <c r="AD21" s="203" t="str">
        <f>IF(AC21="",AC21,VLOOKUP(AC21,'Списки участников'!A:K,12,FALSE))</f>
        <v/>
      </c>
      <c r="AE21" s="14"/>
      <c r="AF21" s="14"/>
      <c r="AG21" s="14"/>
      <c r="AH21" s="6">
        <v>-29</v>
      </c>
      <c r="AI21" s="7" t="str">
        <f>IF('Протокол (-32)'!F32="","",IF(N22=K14,K30,IF(N22=K30,K14)))</f>
        <v/>
      </c>
      <c r="AJ21" s="203" t="str">
        <f>IF(AI21="",AI21,VLOOKUP(AI21,'Списки участников'!A:K,12,FALSE))</f>
        <v/>
      </c>
      <c r="AK21" s="15"/>
      <c r="AL21" s="16"/>
      <c r="AM21" s="48"/>
      <c r="AN21" s="10"/>
      <c r="AO21" s="10"/>
      <c r="AP21" s="10"/>
      <c r="AQ21" s="9"/>
      <c r="AR21" s="10"/>
      <c r="AS21" s="10"/>
      <c r="AT21" s="11"/>
      <c r="AU21" s="10"/>
      <c r="AV21" s="10"/>
      <c r="AW21" s="11"/>
      <c r="AX21" s="10"/>
      <c r="AY21" s="9"/>
      <c r="AZ21" s="17"/>
      <c r="BA21" s="17"/>
      <c r="BB21" s="287"/>
      <c r="BC21" s="216">
        <v>78</v>
      </c>
      <c r="BD21" s="28" t="str">
        <f>IF('Протокол (-32)'!F81="","",'Протокол (-32)'!F81)</f>
        <v/>
      </c>
      <c r="BE21" s="238" t="str">
        <f>IF(BD21="",BD21,VLOOKUP(BD21,'Списки участников'!A:K,12,FALSE))</f>
        <v/>
      </c>
    </row>
    <row r="22" spans="1:57" ht="11.45" customHeight="1" x14ac:dyDescent="0.2">
      <c r="A22" s="208"/>
      <c r="B22" s="208"/>
      <c r="C22" s="213"/>
      <c r="D22" s="233"/>
      <c r="E22" s="231"/>
      <c r="F22" s="231"/>
      <c r="G22" s="231"/>
      <c r="H22" s="231"/>
      <c r="I22" s="231"/>
      <c r="J22" s="231"/>
      <c r="K22" s="231"/>
      <c r="L22" s="1260"/>
      <c r="M22" s="1137">
        <v>29</v>
      </c>
      <c r="N22" s="248">
        <f>'Протокол (-32)'!F32</f>
        <v>0</v>
      </c>
      <c r="O22" s="239">
        <f>IF('Протокол (-32)'!F32="",N22,VLOOKUP(N22,'Списки участников'!A:K,12,FALSE))</f>
        <v>0</v>
      </c>
      <c r="P22" s="220"/>
      <c r="Q22" s="220"/>
      <c r="R22" s="215"/>
      <c r="S22" s="6"/>
      <c r="T22" s="6"/>
      <c r="U22" s="14"/>
      <c r="V22" s="6">
        <v>-20</v>
      </c>
      <c r="W22" s="7" t="str">
        <f>IF('Протокол (-32)'!F23="","",IF(H34=E32,E36,IF(H34=E36,E32)))</f>
        <v/>
      </c>
      <c r="X22" s="203" t="str">
        <f>IF(W22="",W22,VLOOKUP(W22,'Списки участников'!A:K,12,FALSE))</f>
        <v/>
      </c>
      <c r="Y22" s="6"/>
      <c r="Z22" s="6"/>
      <c r="AA22" s="14"/>
      <c r="AB22" s="17"/>
      <c r="AC22" s="17"/>
      <c r="AD22" s="39"/>
      <c r="AE22" s="22"/>
      <c r="AF22" s="14"/>
      <c r="AG22" s="14"/>
      <c r="AH22" s="39"/>
      <c r="AI22" s="39"/>
      <c r="AJ22" s="39"/>
      <c r="AK22" s="23"/>
      <c r="AL22" s="16"/>
      <c r="AM22" s="48"/>
      <c r="AN22" s="10"/>
      <c r="AO22" s="10"/>
      <c r="AP22" s="10"/>
      <c r="AQ22" s="9"/>
      <c r="AR22" s="10"/>
      <c r="AS22" s="10"/>
      <c r="AT22" s="11"/>
      <c r="AU22" s="10"/>
      <c r="AV22" s="10"/>
      <c r="AW22" s="11"/>
      <c r="AX22" s="10"/>
      <c r="AY22" s="9"/>
      <c r="AZ22" s="24">
        <v>-76</v>
      </c>
      <c r="BA22" s="25" t="str">
        <f>IF(AU15="","",IF(AU15=AR13,AR17,IF(AU15=AR17,AR13)))</f>
        <v/>
      </c>
      <c r="BB22" s="232" t="str">
        <f>IF(BA22="",BA22,VLOOKUP(BA22,'Списки участников'!A:K,12,FALSE))</f>
        <v/>
      </c>
      <c r="BC22" s="65"/>
      <c r="BD22" s="66"/>
      <c r="BE22" s="191">
        <f>'Протокол (-32)'!R81</f>
        <v>0</v>
      </c>
    </row>
    <row r="23" spans="1:57" ht="11.45" customHeight="1" x14ac:dyDescent="0.2">
      <c r="A23" s="208">
        <v>9</v>
      </c>
      <c r="B23" s="209"/>
      <c r="C23" s="235">
        <f>IF(B23="",B23,VLOOKUP(B23,'Списки участников'!A:K,12,FALSE))</f>
        <v>0</v>
      </c>
      <c r="D23" s="236">
        <f>IF(B23="",B23,VLOOKUP(B23,'Списки участников'!A:K,6,FALSE))</f>
        <v>0</v>
      </c>
      <c r="E23" s="212"/>
      <c r="F23" s="231"/>
      <c r="G23" s="231"/>
      <c r="H23" s="231"/>
      <c r="I23" s="231"/>
      <c r="J23" s="231"/>
      <c r="K23" s="231"/>
      <c r="L23" s="1260"/>
      <c r="M23" s="1137"/>
      <c r="N23" s="237"/>
      <c r="O23" s="231" t="str">
        <f>'Протокол (-32)'!R32</f>
        <v/>
      </c>
      <c r="P23" s="229"/>
      <c r="Q23" s="230"/>
      <c r="R23" s="215"/>
      <c r="S23" s="6">
        <v>-9</v>
      </c>
      <c r="T23" s="7" t="str">
        <f>IF('Протокол (-32)'!F12="","",IF(E40=B41,B39,IF(E40=B39,B41)))</f>
        <v/>
      </c>
      <c r="U23" s="203" t="str">
        <f>IF(T23="",T23,VLOOKUP(T23,'Списки участников'!A:K,12,FALSE))</f>
        <v/>
      </c>
      <c r="V23" s="17"/>
      <c r="W23" s="17"/>
      <c r="X23" s="287"/>
      <c r="Y23" s="216">
        <v>44</v>
      </c>
      <c r="Z23" s="28" t="str">
        <f>IF('Протокол (-32)'!F47="","",'Протокол (-32)'!F47)</f>
        <v/>
      </c>
      <c r="AA23" s="203" t="str">
        <f>IF(Z23="",Z23,VLOOKUP(Z23,'Списки участников'!A:K,12,FALSE))</f>
        <v/>
      </c>
      <c r="AB23" s="29"/>
      <c r="AC23" s="29"/>
      <c r="AD23" s="1260"/>
      <c r="AE23" s="1261" t="s">
        <v>64</v>
      </c>
      <c r="AF23" s="67" t="str">
        <f>IF('Протокол (-32)'!F57="","",'Протокол (-32)'!F57)</f>
        <v/>
      </c>
      <c r="AG23" s="203" t="str">
        <f>IF(AF23="",AF23,VLOOKUP(AF23,'Списки участников'!A:K,12,FALSE))</f>
        <v/>
      </c>
      <c r="AH23" s="43"/>
      <c r="AI23" s="43"/>
      <c r="AJ23" s="43"/>
      <c r="AK23" s="31"/>
      <c r="AL23" s="16"/>
      <c r="AM23" s="68"/>
      <c r="AN23" s="10"/>
      <c r="AO23" s="10"/>
      <c r="AP23" s="10"/>
      <c r="AQ23" s="9"/>
      <c r="AR23" s="10"/>
      <c r="AS23" s="10"/>
      <c r="AT23" s="11"/>
      <c r="AU23" s="10"/>
      <c r="AV23" s="10"/>
      <c r="AW23" s="11"/>
      <c r="AX23" s="10"/>
      <c r="AY23" s="9"/>
      <c r="AZ23" s="10"/>
      <c r="BA23" s="10"/>
      <c r="BB23" s="10"/>
      <c r="BC23" s="11"/>
      <c r="BD23" s="10"/>
      <c r="BE23" s="868" t="str">
        <f>CONCATENATE(M4+19," ","место")</f>
        <v>31 место</v>
      </c>
    </row>
    <row r="24" spans="1:57" ht="11.45" customHeight="1" x14ac:dyDescent="0.2">
      <c r="A24" s="217"/>
      <c r="B24" s="217"/>
      <c r="C24" s="287"/>
      <c r="D24" s="218">
        <v>5</v>
      </c>
      <c r="E24" s="219">
        <f>'Протокол (-32)'!F8</f>
        <v>0</v>
      </c>
      <c r="F24" s="210">
        <f>IF('Протокол (-32)'!F8="",E24,VLOOKUP(E24,'Списки участников'!A:K,12,FALSE))</f>
        <v>0</v>
      </c>
      <c r="G24" s="220"/>
      <c r="H24" s="220"/>
      <c r="I24" s="231"/>
      <c r="J24" s="231"/>
      <c r="K24" s="231"/>
      <c r="L24" s="242"/>
      <c r="M24" s="243"/>
      <c r="N24" s="242"/>
      <c r="O24" s="231"/>
      <c r="P24" s="243"/>
      <c r="Q24" s="242"/>
      <c r="R24" s="215"/>
      <c r="S24" s="17"/>
      <c r="T24" s="17"/>
      <c r="U24" s="287"/>
      <c r="V24" s="38" t="s">
        <v>11</v>
      </c>
      <c r="W24" s="35" t="str">
        <f>IF('Протокол (-32)'!F39="","",'Протокол (-32)'!F39)</f>
        <v/>
      </c>
      <c r="X24" s="222" t="str">
        <f>IF(W24="",W24,VLOOKUP(W24,'Списки участников'!A:K,12,FALSE))</f>
        <v/>
      </c>
      <c r="Y24" s="36"/>
      <c r="Z24" s="37"/>
      <c r="AA24" s="17">
        <f>'Протокол (-32)'!R47</f>
        <v>0</v>
      </c>
      <c r="AB24" s="38"/>
      <c r="AC24" s="29"/>
      <c r="AD24" s="1260"/>
      <c r="AE24" s="1261"/>
      <c r="AF24" s="39"/>
      <c r="AG24" s="191" t="str">
        <f>'Протокол (-32)'!R57</f>
        <v/>
      </c>
      <c r="AH24" s="38"/>
      <c r="AI24" s="43"/>
      <c r="AJ24" s="1260"/>
      <c r="AK24" s="1263">
        <v>59</v>
      </c>
      <c r="AL24" s="40" t="str">
        <f>IF('Протокол (-32)'!F62="","",'Протокол (-32)'!F62)</f>
        <v/>
      </c>
      <c r="AM24" s="249" t="str">
        <f>IF(AL24="",AL24,VLOOKUP(AL24,'Списки участников'!A:K,12,FALSE))</f>
        <v/>
      </c>
      <c r="AN24" s="10"/>
      <c r="AO24" s="10"/>
      <c r="AP24" s="10"/>
      <c r="AQ24" s="9"/>
      <c r="AR24" s="10"/>
      <c r="AS24" s="10"/>
      <c r="AT24" s="11"/>
      <c r="AU24" s="10"/>
      <c r="AV24" s="10"/>
      <c r="AW24" s="11"/>
      <c r="AX24" s="10"/>
      <c r="AY24" s="9"/>
      <c r="AZ24" s="10"/>
      <c r="BA24" s="10"/>
      <c r="BB24" s="10"/>
      <c r="BC24" s="11"/>
      <c r="BD24" s="10"/>
      <c r="BE24" s="50" t="str">
        <f>IF(BD25="",BD25,VLOOKUP(BD25,'Списки участников'!A:K,6,FALSE))</f>
        <v/>
      </c>
    </row>
    <row r="25" spans="1:57" ht="11.45" customHeight="1" x14ac:dyDescent="0.2">
      <c r="A25" s="223">
        <v>10</v>
      </c>
      <c r="B25" s="224"/>
      <c r="C25" s="225">
        <f>IF(B25="",B25,VLOOKUP(B25,'Списки участников'!A:K,12,FALSE))</f>
        <v>0</v>
      </c>
      <c r="D25" s="226">
        <f>IF(B25="",B25,VLOOKUP(B25,'Списки участников'!A:K,6,FALSE))</f>
        <v>0</v>
      </c>
      <c r="E25" s="227"/>
      <c r="F25" s="277">
        <f>'Протокол (-32)'!R8</f>
        <v>0</v>
      </c>
      <c r="G25" s="229"/>
      <c r="H25" s="230"/>
      <c r="I25" s="231"/>
      <c r="J25" s="231"/>
      <c r="K25" s="231"/>
      <c r="L25" s="242"/>
      <c r="M25" s="243"/>
      <c r="N25" s="242"/>
      <c r="O25" s="231"/>
      <c r="P25" s="243"/>
      <c r="Q25" s="242"/>
      <c r="R25" s="215"/>
      <c r="S25" s="24">
        <v>-10</v>
      </c>
      <c r="T25" s="25" t="str">
        <f>IF('Протокол (-32)'!F13="","",IF(E44=B43,B45,IF(E44=B45,B43)))</f>
        <v/>
      </c>
      <c r="U25" s="222" t="str">
        <f>IF(T25="",T25,VLOOKUP(T25,'Списки участников'!A:K,12,FALSE))</f>
        <v/>
      </c>
      <c r="V25" s="41"/>
      <c r="W25" s="6"/>
      <c r="X25" s="250">
        <f>'Протокол (-32)'!R39</f>
        <v>0</v>
      </c>
      <c r="Y25" s="9"/>
      <c r="Z25" s="9"/>
      <c r="AA25" s="1260"/>
      <c r="AB25" s="1261" t="s">
        <v>60</v>
      </c>
      <c r="AC25" s="35" t="str">
        <f>IF('Протокол (-32)'!F53="","",'Протокол (-32)'!F53)</f>
        <v/>
      </c>
      <c r="AD25" s="222" t="str">
        <f>IF(AC25="",AC25,VLOOKUP(AC25,'Списки участников'!A:K,12,FALSE))</f>
        <v/>
      </c>
      <c r="AE25" s="42"/>
      <c r="AF25" s="43"/>
      <c r="AG25" s="43"/>
      <c r="AH25" s="44"/>
      <c r="AI25" s="43"/>
      <c r="AJ25" s="1260"/>
      <c r="AK25" s="1263"/>
      <c r="AL25" s="16"/>
      <c r="AM25" s="280" t="str">
        <f>'Протокол (-32)'!R62</f>
        <v/>
      </c>
      <c r="AN25" s="10"/>
      <c r="AO25" s="10"/>
      <c r="AP25" s="10"/>
      <c r="AQ25" s="9">
        <v>-71</v>
      </c>
      <c r="AR25" s="7" t="str">
        <f>IF(AR5="","",IF(AR5=AO4,AO6,IF(AR5=AO6,AO4)))</f>
        <v/>
      </c>
      <c r="AS25" s="8" t="str">
        <f>IF(AR25="",AR25,VLOOKUP(AR25,'Списки участников'!A:K,12,FALSE))</f>
        <v/>
      </c>
      <c r="AT25" s="11"/>
      <c r="AU25" s="10"/>
      <c r="AV25" s="10"/>
      <c r="AW25" s="11"/>
      <c r="AX25" s="10"/>
      <c r="AZ25" s="10"/>
      <c r="BA25" s="10"/>
      <c r="BB25" s="10"/>
      <c r="BC25" s="61">
        <v>-78</v>
      </c>
      <c r="BD25" s="62" t="str">
        <f>IF(BD21="","",IF(BD21=BA20,BA22,IF(BD21=BA22,BA20)))</f>
        <v/>
      </c>
      <c r="BE25" s="238" t="str">
        <f>IF(BD25="",BD25,VLOOKUP(BD25,'Списки участников'!A:K,12,FALSE))</f>
        <v/>
      </c>
    </row>
    <row r="26" spans="1:57" ht="11.45" customHeight="1" x14ac:dyDescent="0.2">
      <c r="A26" s="208"/>
      <c r="B26" s="208"/>
      <c r="C26" s="213"/>
      <c r="D26" s="233"/>
      <c r="E26" s="231"/>
      <c r="F26" s="1260"/>
      <c r="G26" s="1137" t="s">
        <v>43</v>
      </c>
      <c r="H26" s="281">
        <f>'Протокол (-32)'!F22</f>
        <v>0</v>
      </c>
      <c r="I26" s="210">
        <f>IF('Протокол (-32)'!F22="",H26,VLOOKUP(H26,'Списки участников'!A:K,12,FALSE))</f>
        <v>0</v>
      </c>
      <c r="J26" s="220"/>
      <c r="K26" s="220"/>
      <c r="L26" s="242"/>
      <c r="M26" s="243"/>
      <c r="N26" s="242"/>
      <c r="O26" s="231"/>
      <c r="P26" s="243"/>
      <c r="Q26" s="242"/>
      <c r="R26" s="215"/>
      <c r="S26" s="6"/>
      <c r="T26" s="6"/>
      <c r="U26" s="14"/>
      <c r="V26" s="6">
        <v>-19</v>
      </c>
      <c r="W26" s="7" t="str">
        <f>IF('Протокол (-32)'!F22="","",IF(H26=E24,E28,IF(H26=E28,E24)))</f>
        <v/>
      </c>
      <c r="X26" s="203" t="str">
        <f>IF(W26="",W26,VLOOKUP(W26,'Списки участников'!A:K,12,FALSE))</f>
        <v/>
      </c>
      <c r="Y26" s="6"/>
      <c r="Z26" s="6"/>
      <c r="AA26" s="1260"/>
      <c r="AB26" s="1261"/>
      <c r="AC26" s="6"/>
      <c r="AD26" s="6" t="str">
        <f>'Протокол (-32)'!R53</f>
        <v/>
      </c>
      <c r="AE26" s="43"/>
      <c r="AF26" s="43"/>
      <c r="AG26" s="43"/>
      <c r="AH26" s="44"/>
      <c r="AI26" s="43"/>
      <c r="AJ26" s="43"/>
      <c r="AK26" s="31"/>
      <c r="AL26" s="16"/>
      <c r="AM26" s="14"/>
      <c r="AN26" s="10"/>
      <c r="AO26" s="10"/>
      <c r="AP26" s="10"/>
      <c r="AQ26" s="63"/>
      <c r="AR26" s="17"/>
      <c r="AS26" s="287"/>
      <c r="AT26" s="251">
        <v>79</v>
      </c>
      <c r="AU26" s="18" t="str">
        <f>IF('Протокол (-32)'!F82="","",'Протокол (-32)'!F82)</f>
        <v/>
      </c>
      <c r="AV26" s="19" t="str">
        <f>IF(AU26="",AU26,VLOOKUP(AU26,'Списки участников'!A:K,12,FALSE))</f>
        <v/>
      </c>
      <c r="AW26" s="33"/>
      <c r="AX26" s="34"/>
      <c r="AY26" s="868" t="str">
        <f>CONCATENATE(M4+20," ","место")</f>
        <v>32 место</v>
      </c>
      <c r="AZ26" s="10"/>
      <c r="BA26" s="10"/>
      <c r="BB26" s="10"/>
      <c r="BC26" s="11"/>
      <c r="BD26" s="10"/>
      <c r="BE26" s="63"/>
    </row>
    <row r="27" spans="1:57" ht="11.45" customHeight="1" x14ac:dyDescent="0.2">
      <c r="A27" s="208">
        <v>11</v>
      </c>
      <c r="B27" s="209"/>
      <c r="C27" s="235">
        <f>IF(B27="",B27,VLOOKUP(B27,'Списки участников'!A:K,12,FALSE))</f>
        <v>0</v>
      </c>
      <c r="D27" s="236">
        <f>IF(B27="",B27,VLOOKUP(B27,'Списки участников'!A:K,6,FALSE))</f>
        <v>0</v>
      </c>
      <c r="E27" s="212"/>
      <c r="F27" s="1260"/>
      <c r="G27" s="1137"/>
      <c r="H27" s="237"/>
      <c r="I27" s="277" t="str">
        <f>'Протокол (-32)'!R22</f>
        <v/>
      </c>
      <c r="J27" s="229"/>
      <c r="K27" s="230"/>
      <c r="L27" s="242"/>
      <c r="M27" s="243"/>
      <c r="N27" s="242"/>
      <c r="O27" s="231"/>
      <c r="P27" s="243"/>
      <c r="Q27" s="242"/>
      <c r="R27" s="215"/>
      <c r="S27" s="6" t="s">
        <v>2</v>
      </c>
      <c r="T27" s="7" t="str">
        <f>IF('Протокол (-32)'!F14="","",IF(E48=B47,B49,IF(E48=B49,B47)))</f>
        <v/>
      </c>
      <c r="U27" s="203" t="str">
        <f>IF(T27="",T27,VLOOKUP(T27,'Списки участников'!A:K,12,FALSE))</f>
        <v/>
      </c>
      <c r="V27" s="17"/>
      <c r="W27" s="17"/>
      <c r="X27" s="287"/>
      <c r="Y27" s="216">
        <v>45</v>
      </c>
      <c r="Z27" s="51" t="str">
        <f>IF('Протокол (-32)'!F48="","",'Протокол (-32)'!F48)</f>
        <v/>
      </c>
      <c r="AA27" s="222" t="str">
        <f>IF(Z27="",Z27,VLOOKUP(Z27,'Списки участников'!A:K,12,FALSE))</f>
        <v/>
      </c>
      <c r="AB27" s="41"/>
      <c r="AC27" s="6"/>
      <c r="AD27" s="14"/>
      <c r="AE27" s="43"/>
      <c r="AF27" s="43"/>
      <c r="AG27" s="1260"/>
      <c r="AH27" s="1261" t="s">
        <v>67</v>
      </c>
      <c r="AI27" s="55" t="str">
        <f>IF('Протокол (-32)'!F60="","",'Протокол (-32)'!F60)</f>
        <v/>
      </c>
      <c r="AJ27" s="252" t="str">
        <f>IF(AI27="",AI27,VLOOKUP(AI27,'Списки участников'!A:K,12,FALSE))</f>
        <v/>
      </c>
      <c r="AK27" s="52"/>
      <c r="AL27" s="16"/>
      <c r="AM27" s="14"/>
      <c r="AN27" s="10"/>
      <c r="AO27" s="10"/>
      <c r="AP27" s="10"/>
      <c r="AQ27" s="69">
        <v>-72</v>
      </c>
      <c r="AR27" s="25" t="str">
        <f>IF(AR9="","",IF(AR9=AO8,AO10,IF(AR9=AO10,AO8)))</f>
        <v/>
      </c>
      <c r="AS27" s="206" t="str">
        <f>IF(AR27="",AR27,VLOOKUP(AR27,'Списки участников'!A:K,12,FALSE))</f>
        <v/>
      </c>
      <c r="AT27" s="46"/>
      <c r="AU27" s="21"/>
      <c r="AV27" s="191">
        <f>'Протокол (-32)'!R82</f>
        <v>0</v>
      </c>
      <c r="AW27" s="70"/>
      <c r="AX27" s="32"/>
      <c r="AY27" s="50" t="str">
        <f>IF(AX28="",AX28,VLOOKUP(AX28,'Списки участников'!A:K,6,FALSE))</f>
        <v/>
      </c>
      <c r="AZ27" s="10"/>
      <c r="BA27" s="10"/>
      <c r="BB27" s="10"/>
      <c r="BC27" s="11"/>
      <c r="BD27" s="10"/>
      <c r="BE27" s="9"/>
    </row>
    <row r="28" spans="1:57" ht="11.45" customHeight="1" x14ac:dyDescent="0.2">
      <c r="A28" s="217"/>
      <c r="B28" s="217"/>
      <c r="C28" s="287"/>
      <c r="D28" s="218">
        <v>6</v>
      </c>
      <c r="E28" s="219">
        <f>'Протокол (-32)'!F9</f>
        <v>0</v>
      </c>
      <c r="F28" s="239">
        <f>IF('Протокол (-32)'!F9="",E28,VLOOKUP(E28,'Списки участников'!A:K,12,FALSE))</f>
        <v>0</v>
      </c>
      <c r="G28" s="240"/>
      <c r="H28" s="241"/>
      <c r="I28" s="242"/>
      <c r="J28" s="243"/>
      <c r="K28" s="242"/>
      <c r="L28" s="242"/>
      <c r="M28" s="243"/>
      <c r="N28" s="242"/>
      <c r="O28" s="231"/>
      <c r="P28" s="243"/>
      <c r="Q28" s="242"/>
      <c r="R28" s="215"/>
      <c r="S28" s="17"/>
      <c r="T28" s="17"/>
      <c r="U28" s="287"/>
      <c r="V28" s="38" t="s">
        <v>21</v>
      </c>
      <c r="W28" s="35" t="str">
        <f>IF('Протокол (-32)'!F40="","",'Протокол (-32)'!F40)</f>
        <v/>
      </c>
      <c r="X28" s="222" t="str">
        <f>IF(W28="",W28,VLOOKUP(W28,'Списки участников'!A:K,12,FALSE))</f>
        <v/>
      </c>
      <c r="Y28" s="36"/>
      <c r="Z28" s="32"/>
      <c r="AA28" s="6">
        <f>'Протокол (-32)'!R48</f>
        <v>0</v>
      </c>
      <c r="AB28" s="6"/>
      <c r="AC28" s="6"/>
      <c r="AD28" s="14"/>
      <c r="AE28" s="43"/>
      <c r="AF28" s="43"/>
      <c r="AG28" s="1260"/>
      <c r="AH28" s="1261"/>
      <c r="AI28" s="14"/>
      <c r="AJ28" s="6" t="str">
        <f>'Протокол (-32)'!R60</f>
        <v/>
      </c>
      <c r="AK28" s="15"/>
      <c r="AL28" s="16"/>
      <c r="AM28" s="14"/>
      <c r="AN28" s="10"/>
      <c r="AO28" s="10"/>
      <c r="AP28" s="10"/>
      <c r="AQ28" s="9"/>
      <c r="AR28" s="6"/>
      <c r="AS28" s="10"/>
      <c r="AT28" s="49"/>
      <c r="AU28" s="30"/>
      <c r="AV28" s="1260"/>
      <c r="AW28" s="1262">
        <v>81</v>
      </c>
      <c r="AX28" s="53" t="str">
        <f>IF('Протокол (-32)'!F84="","",'Протокол (-32)'!F84)</f>
        <v/>
      </c>
      <c r="AY28" s="238" t="str">
        <f>IF(AX28="",AX28,VLOOKUP(AX28,'Списки участников'!A:K,12,FALSE))</f>
        <v/>
      </c>
      <c r="AZ28" s="10"/>
      <c r="BA28" s="10"/>
      <c r="BB28" s="10"/>
      <c r="BC28" s="11"/>
      <c r="BD28" s="10"/>
      <c r="BE28" s="9"/>
    </row>
    <row r="29" spans="1:57" ht="11.45" customHeight="1" x14ac:dyDescent="0.2">
      <c r="A29" s="223">
        <v>12</v>
      </c>
      <c r="B29" s="224"/>
      <c r="C29" s="225">
        <f>IF(B29="",B29,VLOOKUP(B29,'Списки участников'!A:K,12,FALSE))</f>
        <v>0</v>
      </c>
      <c r="D29" s="226">
        <f>IF(B29="",B29,VLOOKUP(B29,'Списки участников'!A:K,6,FALSE))</f>
        <v>0</v>
      </c>
      <c r="E29" s="227"/>
      <c r="F29" s="231" t="str">
        <f>'Протокол (-32)'!R9</f>
        <v/>
      </c>
      <c r="G29" s="245"/>
      <c r="H29" s="245"/>
      <c r="I29" s="242"/>
      <c r="J29" s="243"/>
      <c r="K29" s="242"/>
      <c r="L29" s="242"/>
      <c r="M29" s="243"/>
      <c r="N29" s="242"/>
      <c r="O29" s="231"/>
      <c r="P29" s="243"/>
      <c r="Q29" s="242"/>
      <c r="R29" s="215"/>
      <c r="S29" s="24">
        <v>-12</v>
      </c>
      <c r="T29" s="25" t="str">
        <f>IF('Протокол (-32)'!F15="","",IF(E52=B53,B51,IF(E52=B51,B53)))</f>
        <v/>
      </c>
      <c r="U29" s="222" t="str">
        <f>IF(T29="",T29,VLOOKUP(T29,'Списки участников'!A:K,12,FALSE))</f>
        <v/>
      </c>
      <c r="V29" s="41"/>
      <c r="W29" s="6"/>
      <c r="X29" s="6">
        <f>'Протокол (-32)'!R40</f>
        <v>0</v>
      </c>
      <c r="Y29" s="9"/>
      <c r="Z29" s="9"/>
      <c r="AA29" s="14"/>
      <c r="AB29" s="6" t="s">
        <v>56</v>
      </c>
      <c r="AC29" s="7" t="str">
        <f>IF('Протокол (-32)'!F30="","",IF(K46=H42,H50,IF(K46=H50,H42)))</f>
        <v/>
      </c>
      <c r="AD29" s="203" t="str">
        <f>IF(AC29="",AC29,VLOOKUP(AC29,'Списки участников'!A:K,12,FALSE))</f>
        <v/>
      </c>
      <c r="AE29" s="43"/>
      <c r="AF29" s="43"/>
      <c r="AG29" s="43"/>
      <c r="AH29" s="44"/>
      <c r="AI29" s="14"/>
      <c r="AJ29" s="14"/>
      <c r="AK29" s="15"/>
      <c r="AL29" s="16"/>
      <c r="AM29" s="14"/>
      <c r="AN29" s="10"/>
      <c r="AO29" s="10"/>
      <c r="AP29" s="10"/>
      <c r="AQ29" s="9">
        <v>-73</v>
      </c>
      <c r="AR29" s="7" t="str">
        <f>IF(AR13="","",IF(AR13=AO12,AO14,IF(AR13=AO14,AO12)))</f>
        <v/>
      </c>
      <c r="AS29" s="8" t="str">
        <f>IF(AR29="",AR29,VLOOKUP(AR29,'Списки участников'!A:K,12,FALSE))</f>
        <v/>
      </c>
      <c r="AT29" s="49"/>
      <c r="AU29" s="30"/>
      <c r="AV29" s="1260"/>
      <c r="AW29" s="1262"/>
      <c r="AX29" s="43"/>
      <c r="AY29" s="191">
        <f>'Протокол (-32)'!R84</f>
        <v>0</v>
      </c>
      <c r="AZ29" s="10"/>
      <c r="BA29" s="10"/>
      <c r="BB29" s="10"/>
      <c r="BC29" s="11"/>
      <c r="BD29" s="10"/>
      <c r="BE29" s="9"/>
    </row>
    <row r="30" spans="1:57" ht="11.45" customHeight="1" x14ac:dyDescent="0.2">
      <c r="A30" s="208"/>
      <c r="B30" s="208"/>
      <c r="C30" s="213"/>
      <c r="D30" s="233"/>
      <c r="E30" s="231"/>
      <c r="F30" s="231"/>
      <c r="G30" s="231"/>
      <c r="H30" s="231"/>
      <c r="I30" s="1260"/>
      <c r="J30" s="1137">
        <v>26</v>
      </c>
      <c r="K30" s="281">
        <f>'Протокол (-32)'!F29</f>
        <v>0</v>
      </c>
      <c r="L30" s="239">
        <f>IF('Протокол (-32)'!F29="",K30,VLOOKUP(K30,'Списки участников'!A:K,12,FALSE))</f>
        <v>0</v>
      </c>
      <c r="M30" s="240"/>
      <c r="N30" s="241"/>
      <c r="O30" s="231"/>
      <c r="P30" s="243"/>
      <c r="Q30" s="242"/>
      <c r="R30" s="215"/>
      <c r="S30" s="6"/>
      <c r="T30" s="6"/>
      <c r="U30" s="14"/>
      <c r="V30" s="6">
        <v>-18</v>
      </c>
      <c r="W30" s="7" t="str">
        <f>IF('Протокол (-32)'!F21="","",IF(H18=E20,E16,IF(H18=E16,E20)))</f>
        <v/>
      </c>
      <c r="X30" s="203" t="str">
        <f>IF(W30="",W30,VLOOKUP(W30,'Списки участников'!A:K,12,FALSE))</f>
        <v/>
      </c>
      <c r="Y30" s="6"/>
      <c r="Z30" s="6"/>
      <c r="AA30" s="14"/>
      <c r="AB30" s="39"/>
      <c r="AC30" s="39"/>
      <c r="AD30" s="39"/>
      <c r="AE30" s="22"/>
      <c r="AF30" s="43"/>
      <c r="AG30" s="43"/>
      <c r="AH30" s="44"/>
      <c r="AI30" s="14"/>
      <c r="AJ30" s="14"/>
      <c r="AK30" s="15"/>
      <c r="AL30" s="16"/>
      <c r="AM30" s="868" t="str">
        <f>CONCATENATE(M4+3," ","место")</f>
        <v>15 место</v>
      </c>
      <c r="AN30" s="10"/>
      <c r="AO30" s="10"/>
      <c r="AP30" s="10"/>
      <c r="AQ30" s="63"/>
      <c r="AR30" s="17"/>
      <c r="AS30" s="287"/>
      <c r="AT30" s="251">
        <v>80</v>
      </c>
      <c r="AU30" s="45" t="str">
        <f>IF('Протокол (-32)'!F83="","",'Протокол (-32)'!F83)</f>
        <v/>
      </c>
      <c r="AV30" s="232" t="str">
        <f>IF(AU30="",AU30,VLOOKUP(AU30,'Списки участников'!A:K,12,FALSE))</f>
        <v/>
      </c>
      <c r="AW30" s="57"/>
      <c r="AX30" s="58"/>
      <c r="AY30" s="9"/>
      <c r="AZ30" s="10"/>
      <c r="BA30" s="10"/>
      <c r="BB30" s="10"/>
      <c r="BC30" s="11"/>
      <c r="BD30" s="10"/>
      <c r="BE30" s="9"/>
    </row>
    <row r="31" spans="1:57" ht="11.45" customHeight="1" x14ac:dyDescent="0.2">
      <c r="A31" s="208">
        <v>13</v>
      </c>
      <c r="B31" s="209"/>
      <c r="C31" s="235">
        <f>IF(B31="",B31,VLOOKUP(B31,'Списки участников'!A:K,12,FALSE))</f>
        <v>0</v>
      </c>
      <c r="D31" s="236">
        <f>IF(B31="",B31,VLOOKUP(B31,'Списки участников'!A:K,6,FALSE))</f>
        <v>0</v>
      </c>
      <c r="E31" s="212"/>
      <c r="F31" s="231"/>
      <c r="G31" s="231"/>
      <c r="H31" s="231"/>
      <c r="I31" s="1260"/>
      <c r="J31" s="1137"/>
      <c r="K31" s="237"/>
      <c r="L31" s="231" t="str">
        <f>'Протокол (-32)'!R29</f>
        <v/>
      </c>
      <c r="M31" s="245"/>
      <c r="N31" s="245"/>
      <c r="O31" s="231"/>
      <c r="P31" s="243"/>
      <c r="Q31" s="242"/>
      <c r="R31" s="215"/>
      <c r="S31" s="6">
        <v>-13</v>
      </c>
      <c r="T31" s="7" t="str">
        <f>IF('Протокол (-32)'!F16="","",IF(E56=B57,B55,IF(E56=B55,B57)))</f>
        <v/>
      </c>
      <c r="U31" s="203" t="str">
        <f>IF(T31="",T31,VLOOKUP(T31,'Списки участников'!A:K,12,FALSE))</f>
        <v/>
      </c>
      <c r="V31" s="17"/>
      <c r="W31" s="17"/>
      <c r="X31" s="287"/>
      <c r="Y31" s="216">
        <v>46</v>
      </c>
      <c r="Z31" s="28" t="str">
        <f>IF('Протокол (-32)'!F49="","",'Протокол (-32)'!F49)</f>
        <v/>
      </c>
      <c r="AA31" s="203" t="str">
        <f>IF(Z31="",Z31,VLOOKUP(Z31,'Списки участников'!A:K,12,FALSE))</f>
        <v/>
      </c>
      <c r="AB31" s="43"/>
      <c r="AC31" s="43"/>
      <c r="AD31" s="1260"/>
      <c r="AE31" s="1261" t="s">
        <v>65</v>
      </c>
      <c r="AF31" s="55" t="str">
        <f>IF('Протокол (-32)'!F58="","",'Протокол (-32)'!F58)</f>
        <v/>
      </c>
      <c r="AG31" s="222" t="str">
        <f>IF(AF31="",AF31,VLOOKUP(AF31,'Списки участников'!A:K,12,FALSE))</f>
        <v/>
      </c>
      <c r="AH31" s="41"/>
      <c r="AI31" s="14"/>
      <c r="AJ31" s="14"/>
      <c r="AK31" s="15"/>
      <c r="AL31" s="16"/>
      <c r="AM31" s="50" t="str">
        <f>IF(AL32="",AL32,VLOOKUP(AL32,'Списки участников'!A:K,6,FALSE))</f>
        <v/>
      </c>
      <c r="AN31" s="10"/>
      <c r="AO31" s="10"/>
      <c r="AP31" s="10"/>
      <c r="AQ31" s="69">
        <v>-74</v>
      </c>
      <c r="AR31" s="25" t="str">
        <f>IF(AR17="","",IF(AR17=AO16,AO18,IF(AR17=AO18,AO16)))</f>
        <v/>
      </c>
      <c r="AS31" s="206" t="str">
        <f>IF(AR31="",AR31,VLOOKUP(AR31,'Списки участников'!A:K,12,FALSE))</f>
        <v/>
      </c>
      <c r="AT31" s="46"/>
      <c r="AU31" s="10"/>
      <c r="AV31" s="190">
        <f>'Протокол (-32)'!R83</f>
        <v>0</v>
      </c>
      <c r="AW31" s="71"/>
      <c r="AX31" s="9"/>
      <c r="AY31" s="868" t="str">
        <f>CONCATENATE(M4+21," ","место")</f>
        <v>33 место</v>
      </c>
      <c r="AZ31" s="10"/>
      <c r="BA31" s="10"/>
      <c r="BB31" s="10"/>
      <c r="BC31" s="11"/>
      <c r="BD31" s="10"/>
      <c r="BE31" s="9"/>
    </row>
    <row r="32" spans="1:57" ht="11.45" customHeight="1" x14ac:dyDescent="0.2">
      <c r="A32" s="217"/>
      <c r="B32" s="217"/>
      <c r="C32" s="287"/>
      <c r="D32" s="218">
        <v>7</v>
      </c>
      <c r="E32" s="279">
        <f>'Протокол (-32)'!F10</f>
        <v>0</v>
      </c>
      <c r="F32" s="210">
        <f>IF('Протокол (-32)'!F10="",E32,VLOOKUP(E32,'Списки участников'!A:K,12,FALSE))</f>
        <v>0</v>
      </c>
      <c r="G32" s="220"/>
      <c r="H32" s="220"/>
      <c r="I32" s="242"/>
      <c r="J32" s="243"/>
      <c r="K32" s="242"/>
      <c r="L32" s="231"/>
      <c r="M32" s="231"/>
      <c r="N32" s="231"/>
      <c r="O32" s="231"/>
      <c r="P32" s="243"/>
      <c r="Q32" s="242"/>
      <c r="R32" s="215"/>
      <c r="S32" s="17"/>
      <c r="T32" s="17"/>
      <c r="U32" s="287"/>
      <c r="V32" s="38" t="s">
        <v>45</v>
      </c>
      <c r="W32" s="35" t="str">
        <f>IF('Протокол (-32)'!F41="","",'Протокол (-32)'!F41)</f>
        <v/>
      </c>
      <c r="X32" s="222" t="str">
        <f>IF(W32="",W32,VLOOKUP(W32,'Списки участников'!A:K,12,FALSE))</f>
        <v/>
      </c>
      <c r="Y32" s="36"/>
      <c r="Z32" s="37"/>
      <c r="AA32" s="39" t="str">
        <f>'Протокол (-32)'!R49</f>
        <v/>
      </c>
      <c r="AB32" s="38"/>
      <c r="AC32" s="43"/>
      <c r="AD32" s="1260"/>
      <c r="AE32" s="1261"/>
      <c r="AF32" s="14"/>
      <c r="AG32" s="9" t="str">
        <f>'Протокол (-32)'!R58</f>
        <v/>
      </c>
      <c r="AH32" s="14"/>
      <c r="AI32" s="14"/>
      <c r="AJ32" s="14"/>
      <c r="AK32" s="59">
        <v>-60</v>
      </c>
      <c r="AL32" s="72" t="str">
        <f>IF(AL16="","",IF(AL16=AL8,AL24,IF(AL16=AL24,AL8)))</f>
        <v/>
      </c>
      <c r="AM32" s="266" t="str">
        <f>IF(AL32="",AL32,VLOOKUP(AL32,'Списки участников'!A:K,12,FALSE))</f>
        <v/>
      </c>
      <c r="AN32" s="10"/>
      <c r="AO32" s="10"/>
      <c r="AP32" s="10"/>
      <c r="AQ32" s="9"/>
      <c r="AR32" s="10"/>
      <c r="AS32" s="10"/>
      <c r="AT32" s="11"/>
      <c r="AU32" s="10"/>
      <c r="AV32" s="10"/>
      <c r="AW32" s="11"/>
      <c r="AX32" s="10"/>
      <c r="AY32" s="50" t="str">
        <f>IF(AX33="",AX33,VLOOKUP(AX33,'Списки участников'!A:K,6,FALSE))</f>
        <v/>
      </c>
      <c r="AZ32" s="10"/>
      <c r="BA32" s="10"/>
      <c r="BB32" s="10"/>
      <c r="BC32" s="11"/>
      <c r="BD32" s="10"/>
      <c r="BE32" s="9"/>
    </row>
    <row r="33" spans="1:57" ht="11.45" customHeight="1" x14ac:dyDescent="0.2">
      <c r="A33" s="223">
        <v>14</v>
      </c>
      <c r="B33" s="224"/>
      <c r="C33" s="225">
        <f>IF(B33="",B33,VLOOKUP(B33,'Списки участников'!A:K,12,FALSE))</f>
        <v>0</v>
      </c>
      <c r="D33" s="226">
        <f>IF(B33="",B33,VLOOKUP(B33,'Списки участников'!A:K,6,FALSE))</f>
        <v>0</v>
      </c>
      <c r="E33" s="227"/>
      <c r="F33" s="277">
        <f>'Протокол (-32)'!R10</f>
        <v>0</v>
      </c>
      <c r="G33" s="229"/>
      <c r="H33" s="230"/>
      <c r="I33" s="242"/>
      <c r="J33" s="243"/>
      <c r="K33" s="242"/>
      <c r="L33" s="231"/>
      <c r="M33" s="231"/>
      <c r="N33" s="231"/>
      <c r="O33" s="231"/>
      <c r="P33" s="243"/>
      <c r="Q33" s="242"/>
      <c r="R33" s="215"/>
      <c r="S33" s="24">
        <v>-14</v>
      </c>
      <c r="T33" s="25" t="str">
        <f>IF('Протокол (-32)'!F17="","",IF(E60=B59,B61,IF(E60=B61,B59)))</f>
        <v/>
      </c>
      <c r="U33" s="222" t="str">
        <f>IF(T33="",T33,VLOOKUP(T33,'Списки участников'!A:K,12,FALSE))</f>
        <v/>
      </c>
      <c r="V33" s="41"/>
      <c r="W33" s="6"/>
      <c r="X33" s="282">
        <f>'Протокол (-32)'!R41</f>
        <v>0</v>
      </c>
      <c r="Y33" s="14"/>
      <c r="Z33" s="14"/>
      <c r="AA33" s="1260"/>
      <c r="AB33" s="1261" t="s">
        <v>61</v>
      </c>
      <c r="AC33" s="55" t="str">
        <f>IF('Протокол (-32)'!F54="","",'Протокол (-32)'!F54)</f>
        <v/>
      </c>
      <c r="AD33" s="222" t="str">
        <f>IF(AC33="",AC33,VLOOKUP(AC33,'Списки участников'!A:K,12,FALSE))</f>
        <v/>
      </c>
      <c r="AE33" s="42"/>
      <c r="AF33" s="14"/>
      <c r="AG33" s="14"/>
      <c r="AH33" s="14"/>
      <c r="AI33" s="14"/>
      <c r="AJ33" s="14"/>
      <c r="AK33" s="15"/>
      <c r="AL33" s="16"/>
      <c r="AM33" s="63"/>
      <c r="AN33" s="10"/>
      <c r="AO33" s="10"/>
      <c r="AP33" s="10"/>
      <c r="AQ33" s="9"/>
      <c r="AR33" s="10"/>
      <c r="AS33" s="10"/>
      <c r="AT33" s="11"/>
      <c r="AU33" s="10"/>
      <c r="AV33" s="10"/>
      <c r="AW33" s="61">
        <v>-81</v>
      </c>
      <c r="AX33" s="62" t="str">
        <f>IF(AX28="","",IF(AX28=AU26,AU30,IF(AX28=AU30,AU26)))</f>
        <v/>
      </c>
      <c r="AY33" s="253" t="str">
        <f>IF(AX33="",AX33,VLOOKUP(AX33,'Списки участников'!A:K,12,FALSE))</f>
        <v/>
      </c>
      <c r="AZ33" s="10"/>
      <c r="BA33" s="10"/>
      <c r="BB33" s="10"/>
      <c r="BC33" s="11"/>
      <c r="BD33" s="10"/>
      <c r="BE33" s="9"/>
    </row>
    <row r="34" spans="1:57" ht="11.45" customHeight="1" x14ac:dyDescent="0.2">
      <c r="A34" s="208"/>
      <c r="B34" s="208"/>
      <c r="C34" s="213"/>
      <c r="D34" s="233"/>
      <c r="E34" s="231"/>
      <c r="F34" s="1260"/>
      <c r="G34" s="1137" t="s">
        <v>19</v>
      </c>
      <c r="H34" s="281">
        <f>'Протокол (-32)'!F23</f>
        <v>0</v>
      </c>
      <c r="I34" s="239">
        <f>IF('Протокол (-32)'!F23="",H34,VLOOKUP(H34,'Списки участников'!A:K,12,FALSE))</f>
        <v>0</v>
      </c>
      <c r="J34" s="240"/>
      <c r="K34" s="241"/>
      <c r="L34" s="231"/>
      <c r="M34" s="231"/>
      <c r="N34" s="231"/>
      <c r="O34" s="231"/>
      <c r="P34" s="243"/>
      <c r="Q34" s="242"/>
      <c r="R34" s="215"/>
      <c r="S34" s="6"/>
      <c r="T34" s="6"/>
      <c r="U34" s="14"/>
      <c r="V34" s="6">
        <v>-17</v>
      </c>
      <c r="W34" s="7" t="str">
        <f>IF('Протокол (-32)'!F20="","",IF(H10=E8,E12,IF(H10=E12,E8)))</f>
        <v/>
      </c>
      <c r="X34" s="203" t="str">
        <f>IF(W34="",W34,VLOOKUP(W34,'Списки участников'!A:K,12,FALSE))</f>
        <v/>
      </c>
      <c r="Y34" s="6"/>
      <c r="Z34" s="6"/>
      <c r="AA34" s="1260"/>
      <c r="AB34" s="1261"/>
      <c r="AC34" s="14"/>
      <c r="AD34" s="6" t="str">
        <f>'Протокол (-32)'!R54</f>
        <v/>
      </c>
      <c r="AE34" s="14"/>
      <c r="AF34" s="14"/>
      <c r="AG34" s="14"/>
      <c r="AH34" s="14"/>
      <c r="AI34" s="14"/>
      <c r="AJ34" s="14"/>
      <c r="AK34" s="15"/>
      <c r="AL34" s="16"/>
      <c r="AM34" s="32"/>
      <c r="AN34" s="10"/>
      <c r="AO34" s="10"/>
      <c r="AP34" s="10"/>
      <c r="AQ34" s="9"/>
      <c r="AR34" s="10"/>
      <c r="AS34" s="10"/>
      <c r="AT34" s="11"/>
      <c r="AU34" s="10"/>
      <c r="AV34" s="10"/>
      <c r="AW34" s="11"/>
      <c r="AX34" s="10"/>
      <c r="AY34" s="10"/>
      <c r="AZ34" s="10"/>
      <c r="BA34" s="10"/>
      <c r="BB34" s="10"/>
      <c r="BC34" s="11"/>
      <c r="BD34" s="10"/>
      <c r="BE34" s="868" t="str">
        <f>CONCATENATE(M4+22," ","место")</f>
        <v>34 место</v>
      </c>
    </row>
    <row r="35" spans="1:57" ht="11.45" customHeight="1" x14ac:dyDescent="0.2">
      <c r="A35" s="208">
        <v>15</v>
      </c>
      <c r="B35" s="209"/>
      <c r="C35" s="235">
        <f>IF(B35="",B35,VLOOKUP(B35,'Списки участников'!A:K,12,FALSE))</f>
        <v>0</v>
      </c>
      <c r="D35" s="236">
        <f>IF(B35="",B35,VLOOKUP(B35,'Списки участников'!A:K,6,FALSE))</f>
        <v>0</v>
      </c>
      <c r="E35" s="212"/>
      <c r="F35" s="1260"/>
      <c r="G35" s="1137"/>
      <c r="H35" s="237"/>
      <c r="I35" s="231" t="str">
        <f>'Протокол (-32)'!R23</f>
        <v/>
      </c>
      <c r="J35" s="245"/>
      <c r="K35" s="245"/>
      <c r="L35" s="231"/>
      <c r="M35" s="231"/>
      <c r="N35" s="231"/>
      <c r="O35" s="231"/>
      <c r="P35" s="243"/>
      <c r="Q35" s="242"/>
      <c r="S35" s="6">
        <v>-15</v>
      </c>
      <c r="T35" s="7" t="str">
        <f>IF('Протокол (-32)'!F18="","",IF(E64=B63,B65,IF(E64=B65,B63)))</f>
        <v/>
      </c>
      <c r="U35" s="203" t="str">
        <f>IF(T35="",T35,VLOOKUP(T35,'Списки участников'!A:K,12,FALSE))</f>
        <v/>
      </c>
      <c r="V35" s="17"/>
      <c r="W35" s="17"/>
      <c r="X35" s="287"/>
      <c r="Y35" s="216">
        <v>47</v>
      </c>
      <c r="Z35" s="51" t="str">
        <f>IF('Протокол (-32)'!F50="","",'Протокол (-32)'!F50)</f>
        <v/>
      </c>
      <c r="AA35" s="222" t="str">
        <f>IF(Z35="",Z35,VLOOKUP(Z35,'Списки участников'!A:K,12,FALSE))</f>
        <v/>
      </c>
      <c r="AB35" s="41"/>
      <c r="AC35" s="14"/>
      <c r="AD35" s="14"/>
      <c r="AE35" s="14"/>
      <c r="AF35" s="14"/>
      <c r="AG35" s="14"/>
      <c r="AH35" s="14"/>
      <c r="AI35" s="14"/>
      <c r="AJ35" s="14"/>
      <c r="AK35" s="15"/>
      <c r="AL35" s="16"/>
      <c r="AM35" s="868" t="str">
        <f>CONCATENATE(M4+4," ","место")</f>
        <v>16 место</v>
      </c>
      <c r="AN35" s="10"/>
      <c r="AO35" s="10"/>
      <c r="AP35" s="10"/>
      <c r="AQ35" s="9"/>
      <c r="AR35" s="10"/>
      <c r="AS35" s="10"/>
      <c r="AT35" s="11"/>
      <c r="AU35" s="10"/>
      <c r="AV35" s="10"/>
      <c r="AW35" s="11"/>
      <c r="AX35" s="10"/>
      <c r="AY35" s="10"/>
      <c r="AZ35" s="6">
        <v>-79</v>
      </c>
      <c r="BA35" s="7" t="str">
        <f>IF(AU26="","",IF(AU26=AR25,AR27,IF(AU26=AR27,AR25)))</f>
        <v/>
      </c>
      <c r="BB35" s="8" t="str">
        <f>IF(BA35="",BA35,VLOOKUP(BA35,'Списки участников'!A:K,12,FALSE))</f>
        <v/>
      </c>
      <c r="BC35" s="73"/>
      <c r="BD35" s="8"/>
      <c r="BE35" s="50" t="str">
        <f>IF(BD36="",BD36,VLOOKUP(BD36,'Списки участников'!A:K,6,FALSE))</f>
        <v/>
      </c>
    </row>
    <row r="36" spans="1:57" ht="11.45" customHeight="1" x14ac:dyDescent="0.2">
      <c r="A36" s="217"/>
      <c r="B36" s="217"/>
      <c r="C36" s="287"/>
      <c r="D36" s="218">
        <v>8</v>
      </c>
      <c r="E36" s="279">
        <f>'Протокол (-32)'!F11</f>
        <v>0</v>
      </c>
      <c r="F36" s="239">
        <f>IF('Протокол (-32)'!F11="",E36,VLOOKUP(E36,'Списки участников'!A:K,12,FALSE))</f>
        <v>0</v>
      </c>
      <c r="G36" s="240"/>
      <c r="H36" s="241"/>
      <c r="I36" s="231"/>
      <c r="J36" s="231"/>
      <c r="K36" s="231"/>
      <c r="L36" s="231"/>
      <c r="M36" s="231"/>
      <c r="N36" s="231"/>
      <c r="O36" s="231"/>
      <c r="P36" s="243"/>
      <c r="Q36" s="242"/>
      <c r="R36" s="867" t="str">
        <f>CONCATENATE(M4," ","место")</f>
        <v>12 место</v>
      </c>
      <c r="S36" s="17"/>
      <c r="T36" s="17"/>
      <c r="U36" s="287"/>
      <c r="V36" s="38" t="s">
        <v>46</v>
      </c>
      <c r="W36" s="35" t="str">
        <f>IF('Протокол (-32)'!F42="","",'Протокол (-32)'!F42)</f>
        <v/>
      </c>
      <c r="X36" s="222" t="str">
        <f>IF(W36="",W36,VLOOKUP(W36,'Списки участников'!A:K,12,FALSE))</f>
        <v/>
      </c>
      <c r="Y36" s="36"/>
      <c r="Z36" s="32"/>
      <c r="AA36" s="6" t="str">
        <f>'Протокол (-32)'!R50</f>
        <v/>
      </c>
      <c r="AB36" s="10"/>
      <c r="AC36" s="10"/>
      <c r="AD36" s="10"/>
      <c r="AE36" s="10"/>
      <c r="AF36" s="10"/>
      <c r="AG36" s="10"/>
      <c r="AH36" s="6">
        <v>-58</v>
      </c>
      <c r="AI36" s="7" t="str">
        <f>IF(AL8="","",IF(AL8=AI5,AI11,IF(AL8=AI11,AI5)))</f>
        <v/>
      </c>
      <c r="AJ36" s="203" t="str">
        <f>IF(AI36="",AI36,VLOOKUP(AI36,'Списки участников'!A:K,12,FALSE))</f>
        <v/>
      </c>
      <c r="AK36" s="15"/>
      <c r="AL36" s="16"/>
      <c r="AM36" s="50" t="str">
        <f>IF(AL37="",AL37,VLOOKUP(AL37,'Списки участников'!A:K,6,FALSE))</f>
        <v/>
      </c>
      <c r="AN36" s="6">
        <v>-32</v>
      </c>
      <c r="AO36" s="7" t="str">
        <f>IF(W8="","",IF(W8=T7,T9,IF(W8=T9,T7)))</f>
        <v/>
      </c>
      <c r="AP36" s="8" t="str">
        <f>IF(AO36="",AO36,VLOOKUP(AO36,'Списки участников'!A:K,12,FALSE))</f>
        <v/>
      </c>
      <c r="AQ36" s="9"/>
      <c r="AR36" s="10"/>
      <c r="AS36" s="10"/>
      <c r="AT36" s="11"/>
      <c r="AU36" s="10"/>
      <c r="AV36" s="10"/>
      <c r="AW36" s="11"/>
      <c r="AX36" s="10"/>
      <c r="AY36" s="10"/>
      <c r="AZ36" s="17"/>
      <c r="BA36" s="17"/>
      <c r="BB36" s="287"/>
      <c r="BC36" s="216">
        <v>82</v>
      </c>
      <c r="BD36" s="28" t="str">
        <f>IF('Протокол (-32)'!F85="","",'Протокол (-32)'!F85)</f>
        <v/>
      </c>
      <c r="BE36" s="238" t="str">
        <f>IF(BD36="",BD36,VLOOKUP(BD36,'Списки участников'!A:K,12,FALSE))</f>
        <v/>
      </c>
    </row>
    <row r="37" spans="1:57" ht="11.45" customHeight="1" x14ac:dyDescent="0.2">
      <c r="A37" s="223">
        <v>16</v>
      </c>
      <c r="B37" s="224"/>
      <c r="C37" s="225">
        <f>IF(B37="",B37,VLOOKUP(B37,'Списки участников'!A:K,12,FALSE))</f>
        <v>0</v>
      </c>
      <c r="D37" s="226">
        <f>IF(B37="",B37,VLOOKUP(B37,'Списки участников'!A:K,6,FALSE))</f>
        <v>0</v>
      </c>
      <c r="E37" s="227"/>
      <c r="F37" s="231">
        <f>'Протокол (-32)'!R11</f>
        <v>0</v>
      </c>
      <c r="G37" s="245"/>
      <c r="H37" s="245"/>
      <c r="I37" s="231"/>
      <c r="J37" s="231"/>
      <c r="K37" s="231"/>
      <c r="L37" s="242"/>
      <c r="M37" s="242"/>
      <c r="N37" s="242"/>
      <c r="O37" s="242"/>
      <c r="P37" s="243"/>
      <c r="Q37" s="242"/>
      <c r="R37" s="255">
        <f>IF('Протокол (-32)'!F34="",Q38,VLOOKUP(Q38,'Списки участников'!A:K,6,FALSE))</f>
        <v>0</v>
      </c>
      <c r="S37" s="24">
        <v>-16</v>
      </c>
      <c r="T37" s="25" t="str">
        <f>IF('Протокол (-32)'!F19="","",IF(E68=B67,B69,IF(E68=B69,B67)))</f>
        <v/>
      </c>
      <c r="U37" s="222" t="str">
        <f>IF(T37="",T37,VLOOKUP(T37,'Списки участников'!A:K,12,FALSE))</f>
        <v/>
      </c>
      <c r="V37" s="41"/>
      <c r="W37" s="10"/>
      <c r="X37" s="6">
        <f>'Протокол (-32)'!R42</f>
        <v>0</v>
      </c>
      <c r="Y37" s="9"/>
      <c r="Z37" s="9"/>
      <c r="AA37" s="10"/>
      <c r="AB37" s="10"/>
      <c r="AC37" s="10"/>
      <c r="AD37" s="10"/>
      <c r="AE37" s="10"/>
      <c r="AF37" s="10"/>
      <c r="AG37" s="10"/>
      <c r="AH37" s="17"/>
      <c r="AI37" s="17"/>
      <c r="AJ37" s="287"/>
      <c r="AK37" s="256">
        <v>61</v>
      </c>
      <c r="AL37" s="40" t="str">
        <f>IF('Протокол (-32)'!F64="","",'Протокол (-32)'!F64)</f>
        <v/>
      </c>
      <c r="AM37" s="238" t="str">
        <f>IF(AL37="",AL37,VLOOKUP(AL37,'Списки участников'!A:K,12,FALSE))</f>
        <v/>
      </c>
      <c r="AN37" s="17"/>
      <c r="AO37" s="17"/>
      <c r="AP37" s="287"/>
      <c r="AQ37" s="204" t="s">
        <v>94</v>
      </c>
      <c r="AR37" s="18" t="str">
        <f>IF('Протокол (-32)'!F86="","",'Протокол (-32)'!F86)</f>
        <v/>
      </c>
      <c r="AS37" s="19" t="str">
        <f>IF(AR37="",AR37,VLOOKUP(AR37,'Списки участников'!A:K,12,FALSE))</f>
        <v/>
      </c>
      <c r="AT37" s="11"/>
      <c r="AU37" s="10"/>
      <c r="AV37" s="10"/>
      <c r="AW37" s="11"/>
      <c r="AX37" s="10"/>
      <c r="AY37" s="10"/>
      <c r="AZ37" s="24">
        <v>-80</v>
      </c>
      <c r="BA37" s="25" t="str">
        <f>IF(AU30="","",IF(AU30=AR29,AR31,IF(AU30=AR31,AR29)))</f>
        <v/>
      </c>
      <c r="BB37" s="206" t="str">
        <f>IF(BA37="",BA37,VLOOKUP(BA37,'Списки участников'!A:K,12,FALSE))</f>
        <v/>
      </c>
      <c r="BC37" s="65"/>
      <c r="BD37" s="74"/>
      <c r="BE37" s="257">
        <f>'Протокол (-32)'!R85</f>
        <v>0</v>
      </c>
    </row>
    <row r="38" spans="1:57" ht="11.45" customHeight="1" x14ac:dyDescent="0.2">
      <c r="A38" s="213"/>
      <c r="B38" s="213"/>
      <c r="C38" s="213"/>
      <c r="D38" s="258"/>
      <c r="E38" s="213"/>
      <c r="F38" s="213"/>
      <c r="G38" s="259"/>
      <c r="H38" s="259"/>
      <c r="I38" s="213"/>
      <c r="J38" s="213"/>
      <c r="K38" s="213"/>
      <c r="L38" s="260"/>
      <c r="M38" s="242"/>
      <c r="N38" s="242"/>
      <c r="O38" s="1260"/>
      <c r="P38" s="1137">
        <v>31</v>
      </c>
      <c r="Q38" s="283">
        <f>'Протокол (-32)'!F34</f>
        <v>0</v>
      </c>
      <c r="R38" s="261">
        <f>IF('Протокол (-32)'!F34="",Q38,VLOOKUP(Q38,'Списки участников'!A:K,12,FALSE))</f>
        <v>0</v>
      </c>
      <c r="S38" s="75"/>
      <c r="T38" s="10"/>
      <c r="U38" s="75"/>
      <c r="V38" s="75"/>
      <c r="W38" s="10"/>
      <c r="X38" s="75"/>
      <c r="Y38" s="10"/>
      <c r="Z38" s="10"/>
      <c r="AA38" s="75"/>
      <c r="AB38" s="75"/>
      <c r="AC38" s="10"/>
      <c r="AD38" s="75"/>
      <c r="AE38" s="75"/>
      <c r="AF38" s="10"/>
      <c r="AG38" s="75"/>
      <c r="AH38" s="24">
        <v>-59</v>
      </c>
      <c r="AI38" s="25" t="str">
        <f>IF(AL24="","",IF(AL24=AI21,AI27,IF(AL24=AI27,AI21)))</f>
        <v/>
      </c>
      <c r="AJ38" s="222" t="str">
        <f>IF(AI38="",AI38,VLOOKUP(AI38,'Списки участников'!A:K,12,FALSE))</f>
        <v/>
      </c>
      <c r="AK38" s="52"/>
      <c r="AL38" s="16"/>
      <c r="AM38" s="284" t="str">
        <f>'Протокол (-32)'!R64</f>
        <v/>
      </c>
      <c r="AN38" s="24">
        <v>-33</v>
      </c>
      <c r="AO38" s="25" t="str">
        <f>IF(W12="","",IF(W12=T11,T13,IF(W12=T13,T11)))</f>
        <v/>
      </c>
      <c r="AP38" s="206" t="str">
        <f>IF(AO38="",AO38,VLOOKUP(AO38,'Списки участников'!A:K,12,FALSE))</f>
        <v/>
      </c>
      <c r="AQ38" s="26"/>
      <c r="AR38" s="21"/>
      <c r="AS38" s="191">
        <f>'Протокол (-32)'!R86</f>
        <v>0</v>
      </c>
      <c r="AT38" s="27"/>
      <c r="AU38" s="10"/>
      <c r="AV38" s="10"/>
      <c r="AW38" s="11"/>
      <c r="AX38" s="10"/>
      <c r="AY38" s="10"/>
      <c r="AZ38" s="10"/>
      <c r="BA38" s="10"/>
      <c r="BB38" s="10"/>
      <c r="BC38" s="11"/>
      <c r="BD38" s="10"/>
      <c r="BE38" s="868" t="str">
        <f>CONCATENATE(M4+23," ","место")</f>
        <v>35 место</v>
      </c>
    </row>
    <row r="39" spans="1:57" ht="11.45" customHeight="1" x14ac:dyDescent="0.2">
      <c r="A39" s="208">
        <v>17</v>
      </c>
      <c r="B39" s="209"/>
      <c r="C39" s="235">
        <f>IF(B39="",B39,VLOOKUP(B39,'Списки участников'!A:K,12,FALSE))</f>
        <v>0</v>
      </c>
      <c r="D39" s="236">
        <f>IF(B39="",B39,VLOOKUP(B39,'Списки участников'!A:K,6,FALSE))</f>
        <v>0</v>
      </c>
      <c r="E39" s="212"/>
      <c r="F39" s="213"/>
      <c r="G39" s="213"/>
      <c r="H39" s="213"/>
      <c r="I39" s="213"/>
      <c r="J39" s="213"/>
      <c r="K39" s="213"/>
      <c r="L39" s="213"/>
      <c r="M39" s="213"/>
      <c r="N39" s="213"/>
      <c r="O39" s="1260"/>
      <c r="P39" s="1137"/>
      <c r="Q39" s="262"/>
      <c r="R39" s="285" t="str">
        <f>'Протокол (-32)'!R34</f>
        <v/>
      </c>
      <c r="S39" s="76"/>
      <c r="T39" s="10"/>
      <c r="U39" s="76"/>
      <c r="V39" s="76"/>
      <c r="W39" s="10"/>
      <c r="X39" s="76"/>
      <c r="Y39" s="10"/>
      <c r="Z39" s="10"/>
      <c r="AA39" s="76"/>
      <c r="AB39" s="76"/>
      <c r="AC39" s="10"/>
      <c r="AD39" s="76"/>
      <c r="AE39" s="76"/>
      <c r="AF39" s="10"/>
      <c r="AG39" s="76"/>
      <c r="AH39" s="75"/>
      <c r="AI39" s="10"/>
      <c r="AJ39" s="75"/>
      <c r="AK39" s="15"/>
      <c r="AL39" s="16"/>
      <c r="AM39" s="868" t="str">
        <f>CONCATENATE(M4+5," ","место")</f>
        <v>17 место</v>
      </c>
      <c r="AN39" s="6"/>
      <c r="AO39" s="6"/>
      <c r="AP39" s="10"/>
      <c r="AQ39" s="32"/>
      <c r="AR39" s="30"/>
      <c r="AS39" s="1260"/>
      <c r="AT39" s="1262">
        <v>87</v>
      </c>
      <c r="AU39" s="18" t="str">
        <f>IF('Протокол (-32)'!F90="","",'Протокол (-32)'!F90)</f>
        <v/>
      </c>
      <c r="AV39" s="19" t="str">
        <f>IF(AU39="",AU39,VLOOKUP(AU39,'Списки участников'!A:K,12,FALSE))</f>
        <v/>
      </c>
      <c r="AW39" s="33"/>
      <c r="AX39" s="34"/>
      <c r="AY39" s="9"/>
      <c r="AZ39" s="10"/>
      <c r="BA39" s="10"/>
      <c r="BB39" s="10"/>
      <c r="BC39" s="11"/>
      <c r="BD39" s="10"/>
      <c r="BE39" s="50" t="str">
        <f>IF(BD40="",BD40,VLOOKUP(BD40,'Списки участников'!A:K,6,FALSE))</f>
        <v/>
      </c>
    </row>
    <row r="40" spans="1:57" ht="11.45" customHeight="1" x14ac:dyDescent="0.2">
      <c r="A40" s="217"/>
      <c r="B40" s="217"/>
      <c r="C40" s="287"/>
      <c r="D40" s="218">
        <v>9</v>
      </c>
      <c r="E40" s="219">
        <f>'Протокол (-32)'!F12</f>
        <v>0</v>
      </c>
      <c r="F40" s="210">
        <f>IF('Протокол (-32)'!F12="",E40,VLOOKUP(E40,'Списки участников'!A:K,12,FALSE))</f>
        <v>0</v>
      </c>
      <c r="G40" s="220"/>
      <c r="H40" s="220"/>
      <c r="I40" s="213"/>
      <c r="J40" s="213"/>
      <c r="K40" s="213"/>
      <c r="L40" s="213"/>
      <c r="M40" s="213"/>
      <c r="N40" s="213"/>
      <c r="O40" s="213"/>
      <c r="P40" s="263"/>
      <c r="Q40" s="260"/>
      <c r="R40" s="215"/>
      <c r="S40" s="76"/>
      <c r="T40" s="10"/>
      <c r="U40" s="76"/>
      <c r="V40" s="76"/>
      <c r="W40" s="10"/>
      <c r="X40" s="76"/>
      <c r="Y40" s="10"/>
      <c r="Z40" s="10"/>
      <c r="AA40" s="76"/>
      <c r="AB40" s="76"/>
      <c r="AC40" s="10"/>
      <c r="AD40" s="76"/>
      <c r="AE40" s="76"/>
      <c r="AF40" s="10"/>
      <c r="AG40" s="76"/>
      <c r="AH40" s="76"/>
      <c r="AI40" s="10"/>
      <c r="AJ40" s="76"/>
      <c r="AK40" s="15"/>
      <c r="AL40" s="16"/>
      <c r="AM40" s="50" t="str">
        <f>IF(AL41="",AL41,VLOOKUP(AL41,'Списки участников'!A:K,6,FALSE))</f>
        <v/>
      </c>
      <c r="AN40" s="6">
        <v>-34</v>
      </c>
      <c r="AO40" s="7" t="str">
        <f>IF(W16="","",IF(W16=T15,T17,IF(W16=T17,T15)))</f>
        <v/>
      </c>
      <c r="AP40" s="8" t="str">
        <f>IF(AO40="",AO40,VLOOKUP(AO40,'Списки участников'!A:K,12,FALSE))</f>
        <v/>
      </c>
      <c r="AQ40" s="32"/>
      <c r="AR40" s="30"/>
      <c r="AS40" s="1260"/>
      <c r="AT40" s="1262"/>
      <c r="AU40" s="21"/>
      <c r="AV40" s="257">
        <f>'Протокол (-32)'!R90</f>
        <v>0</v>
      </c>
      <c r="AW40" s="27"/>
      <c r="AX40" s="32"/>
      <c r="AZ40" s="10"/>
      <c r="BA40" s="10"/>
      <c r="BB40" s="10"/>
      <c r="BC40" s="61">
        <v>-82</v>
      </c>
      <c r="BD40" s="62" t="str">
        <f>IF(BD36="","",IF(BD36=BA35,BA37,IF(BD36=BA37,BA35)))</f>
        <v/>
      </c>
      <c r="BE40" s="253" t="str">
        <f>IF(BD40="",BD40,VLOOKUP(BD40,'Списки участников'!A:K,12,FALSE))</f>
        <v/>
      </c>
    </row>
    <row r="41" spans="1:57" ht="11.45" customHeight="1" x14ac:dyDescent="0.2">
      <c r="A41" s="223">
        <v>18</v>
      </c>
      <c r="B41" s="224"/>
      <c r="C41" s="225">
        <f>IF(B41="",B41,VLOOKUP(B41,'Списки участников'!A:K,12,FALSE))</f>
        <v>0</v>
      </c>
      <c r="D41" s="226">
        <f>IF(B41="",B41,VLOOKUP(B41,'Списки участников'!A:K,6,FALSE))</f>
        <v>0</v>
      </c>
      <c r="E41" s="227"/>
      <c r="F41" s="277">
        <f>'Протокол (-32)'!R12</f>
        <v>0</v>
      </c>
      <c r="G41" s="229"/>
      <c r="H41" s="230"/>
      <c r="I41" s="231"/>
      <c r="J41" s="231"/>
      <c r="K41" s="231"/>
      <c r="L41" s="231"/>
      <c r="M41" s="231"/>
      <c r="N41" s="231"/>
      <c r="O41" s="231"/>
      <c r="P41" s="243"/>
      <c r="Q41" s="242"/>
      <c r="R41" s="215"/>
      <c r="S41" s="76"/>
      <c r="T41" s="10"/>
      <c r="U41" s="76"/>
      <c r="V41" s="76"/>
      <c r="W41" s="10"/>
      <c r="X41" s="76"/>
      <c r="Y41" s="10"/>
      <c r="Z41" s="10"/>
      <c r="AA41" s="76"/>
      <c r="AB41" s="76"/>
      <c r="AC41" s="10"/>
      <c r="AD41" s="76"/>
      <c r="AE41" s="76"/>
      <c r="AF41" s="10"/>
      <c r="AG41" s="76"/>
      <c r="AH41" s="76"/>
      <c r="AI41" s="10"/>
      <c r="AJ41" s="76"/>
      <c r="AK41" s="59">
        <v>-61</v>
      </c>
      <c r="AL41" s="72" t="str">
        <f>IF(AL37="","",IF(AL37=AI36,AI38,IF(AL37=AI38,AI36)))</f>
        <v/>
      </c>
      <c r="AM41" s="253" t="str">
        <f>IF(AL41="",AL41,VLOOKUP(AL41,'Списки участников'!A:K,12,FALSE))</f>
        <v/>
      </c>
      <c r="AN41" s="17"/>
      <c r="AO41" s="17"/>
      <c r="AP41" s="287"/>
      <c r="AQ41" s="204" t="s">
        <v>95</v>
      </c>
      <c r="AR41" s="45" t="str">
        <f>IF('Протокол (-32)'!F87="","",'Протокол (-32)'!F87)</f>
        <v/>
      </c>
      <c r="AS41" s="232" t="str">
        <f>IF(AR41="",AR41,VLOOKUP(AR41,'Списки участников'!A:K,12,FALSE))</f>
        <v/>
      </c>
      <c r="AT41" s="46"/>
      <c r="AU41" s="30"/>
      <c r="AV41" s="264"/>
      <c r="AW41" s="47"/>
      <c r="AX41" s="30"/>
      <c r="AY41" s="868" t="str">
        <f>CONCATENATE(M4+24," ","место")</f>
        <v>36 место</v>
      </c>
      <c r="AZ41" s="10"/>
      <c r="BA41" s="10"/>
      <c r="BB41" s="10"/>
      <c r="BC41" s="11"/>
      <c r="BD41" s="10"/>
      <c r="BE41" s="10"/>
    </row>
    <row r="42" spans="1:57" ht="11.45" customHeight="1" x14ac:dyDescent="0.2">
      <c r="A42" s="208"/>
      <c r="B42" s="208"/>
      <c r="C42" s="213"/>
      <c r="D42" s="233"/>
      <c r="E42" s="231"/>
      <c r="F42" s="1260"/>
      <c r="G42" s="1137" t="s">
        <v>36</v>
      </c>
      <c r="H42" s="234">
        <f>'Протокол (-32)'!F24</f>
        <v>0</v>
      </c>
      <c r="I42" s="210">
        <f>IF('Протокол (-32)'!F24="",H42,VLOOKUP(H42,'Списки участников'!A:K,12,FALSE))</f>
        <v>0</v>
      </c>
      <c r="J42" s="220"/>
      <c r="K42" s="220"/>
      <c r="L42" s="231"/>
      <c r="M42" s="231"/>
      <c r="N42" s="231"/>
      <c r="O42" s="231"/>
      <c r="P42" s="243"/>
      <c r="Q42" s="242"/>
      <c r="R42" s="215"/>
      <c r="S42" s="76"/>
      <c r="T42" s="10"/>
      <c r="U42" s="76"/>
      <c r="V42" s="76"/>
      <c r="W42" s="10"/>
      <c r="X42" s="76"/>
      <c r="Y42" s="10"/>
      <c r="Z42" s="10"/>
      <c r="AA42" s="76"/>
      <c r="AB42" s="76"/>
      <c r="AC42" s="10"/>
      <c r="AD42" s="76"/>
      <c r="AE42" s="76"/>
      <c r="AF42" s="10"/>
      <c r="AG42" s="76"/>
      <c r="AH42" s="14"/>
      <c r="AI42" s="14"/>
      <c r="AJ42" s="14"/>
      <c r="AK42" s="15"/>
      <c r="AL42" s="16"/>
      <c r="AM42" s="14"/>
      <c r="AN42" s="24">
        <v>-35</v>
      </c>
      <c r="AO42" s="25" t="str">
        <f>IF(W20="","",IF(W20=T19,T21,IF(W20=T21,T19)))</f>
        <v/>
      </c>
      <c r="AP42" s="206" t="str">
        <f>IF(AO42="",AO42,VLOOKUP(AO42,'Списки участников'!A:K,12,FALSE))</f>
        <v/>
      </c>
      <c r="AQ42" s="26"/>
      <c r="AR42" s="10"/>
      <c r="AS42" s="190">
        <f>'Протокол (-32)'!R87</f>
        <v>0</v>
      </c>
      <c r="AT42" s="49"/>
      <c r="AU42" s="30"/>
      <c r="AV42" s="30"/>
      <c r="AW42" s="47"/>
      <c r="AX42" s="30"/>
      <c r="AY42" s="50" t="str">
        <f>IF(AX43="",AX43,VLOOKUP(AX43,'Списки участников'!A:K,6,FALSE))</f>
        <v/>
      </c>
      <c r="AZ42" s="10"/>
      <c r="BA42" s="10"/>
      <c r="BB42" s="10"/>
      <c r="BC42" s="11"/>
      <c r="BD42" s="10"/>
      <c r="BE42" s="10"/>
    </row>
    <row r="43" spans="1:57" ht="11.45" customHeight="1" x14ac:dyDescent="0.2">
      <c r="A43" s="208">
        <v>19</v>
      </c>
      <c r="B43" s="209"/>
      <c r="C43" s="235">
        <f>IF(B43="",B43,VLOOKUP(B43,'Списки участников'!A:K,12,FALSE))</f>
        <v>0</v>
      </c>
      <c r="D43" s="236">
        <f>IF(B43="",B43,VLOOKUP(B43,'Списки участников'!A:K,6,FALSE))</f>
        <v>0</v>
      </c>
      <c r="E43" s="212"/>
      <c r="F43" s="1260"/>
      <c r="G43" s="1137"/>
      <c r="H43" s="237"/>
      <c r="I43" s="277" t="str">
        <f>'Протокол (-32)'!R24</f>
        <v/>
      </c>
      <c r="J43" s="229"/>
      <c r="K43" s="230"/>
      <c r="L43" s="231"/>
      <c r="M43" s="231"/>
      <c r="N43" s="231"/>
      <c r="O43" s="231"/>
      <c r="P43" s="243"/>
      <c r="Q43" s="242"/>
      <c r="R43" s="215"/>
      <c r="S43" s="76"/>
      <c r="T43" s="10"/>
      <c r="U43" s="4"/>
      <c r="V43" s="76"/>
      <c r="W43" s="10"/>
      <c r="X43" s="4"/>
      <c r="Y43" s="10"/>
      <c r="Z43" s="10"/>
      <c r="AA43" s="76"/>
      <c r="AB43" s="76"/>
      <c r="AC43" s="10"/>
      <c r="AD43" s="76"/>
      <c r="AE43" s="76"/>
      <c r="AF43" s="10"/>
      <c r="AG43" s="76"/>
      <c r="AH43" s="14"/>
      <c r="AI43" s="14"/>
      <c r="AJ43" s="14"/>
      <c r="AK43" s="15"/>
      <c r="AL43" s="16"/>
      <c r="AM43" s="868" t="str">
        <f>CONCATENATE(M4+6," ","место")</f>
        <v>18 место</v>
      </c>
      <c r="AN43" s="6"/>
      <c r="AO43" s="6"/>
      <c r="AP43" s="10"/>
      <c r="AQ43" s="9"/>
      <c r="AR43" s="10"/>
      <c r="AS43" s="10"/>
      <c r="AT43" s="49"/>
      <c r="AU43" s="30"/>
      <c r="AV43" s="1260"/>
      <c r="AW43" s="1262">
        <v>89</v>
      </c>
      <c r="AX43" s="53" t="str">
        <f>IF('Протокол (-32)'!F92="","",'Протокол (-32)'!F92)</f>
        <v/>
      </c>
      <c r="AY43" s="238" t="str">
        <f>IF(AX43="",AX43,VLOOKUP(AX43,'Списки участников'!A:K,12,FALSE))</f>
        <v/>
      </c>
      <c r="AZ43" s="10"/>
      <c r="BA43" s="10"/>
      <c r="BB43" s="10"/>
      <c r="BC43" s="11"/>
      <c r="BD43" s="10"/>
      <c r="BE43" s="10"/>
    </row>
    <row r="44" spans="1:57" ht="11.45" customHeight="1" x14ac:dyDescent="0.2">
      <c r="A44" s="217"/>
      <c r="B44" s="217"/>
      <c r="C44" s="287"/>
      <c r="D44" s="218">
        <v>10</v>
      </c>
      <c r="E44" s="219">
        <f>'Протокол (-32)'!F13</f>
        <v>0</v>
      </c>
      <c r="F44" s="239">
        <f>IF('Протокол (-32)'!F13="",E44,VLOOKUP(E44,'Списки участников'!A:K,12,FALSE))</f>
        <v>0</v>
      </c>
      <c r="G44" s="240"/>
      <c r="H44" s="241"/>
      <c r="I44" s="242"/>
      <c r="J44" s="243"/>
      <c r="K44" s="242"/>
      <c r="L44" s="231"/>
      <c r="M44" s="231"/>
      <c r="N44" s="231"/>
      <c r="O44" s="231"/>
      <c r="P44" s="243"/>
      <c r="Q44" s="242"/>
      <c r="R44" s="215"/>
      <c r="S44" s="76"/>
      <c r="T44" s="10"/>
      <c r="U44" s="76"/>
      <c r="V44" s="76"/>
      <c r="W44" s="10"/>
      <c r="X44" s="76"/>
      <c r="Y44" s="10"/>
      <c r="Z44" s="10"/>
      <c r="AA44" s="76"/>
      <c r="AB44" s="76"/>
      <c r="AC44" s="10"/>
      <c r="AD44" s="76"/>
      <c r="AE44" s="76"/>
      <c r="AF44" s="10"/>
      <c r="AG44" s="76"/>
      <c r="AH44" s="6">
        <v>-56</v>
      </c>
      <c r="AI44" s="7" t="str">
        <f>IF(AI11="","",IF(AI11=AF7,AF15,IF(AI11=AF15,AF7)))</f>
        <v/>
      </c>
      <c r="AJ44" s="203" t="str">
        <f>IF(AI44="",AI44,VLOOKUP(AI44,'Списки участников'!A:K,12,FALSE))</f>
        <v/>
      </c>
      <c r="AK44" s="15"/>
      <c r="AL44" s="16"/>
      <c r="AM44" s="50" t="str">
        <f>IF(AL45="",AL45,VLOOKUP(AL45,'Списки участников'!A:K,6,FALSE))</f>
        <v/>
      </c>
      <c r="AN44" s="6">
        <v>-36</v>
      </c>
      <c r="AO44" s="7" t="str">
        <f>IF(W24="","",IF(W24=T23,T25,IF(W24=T25,T23)))</f>
        <v/>
      </c>
      <c r="AP44" s="8" t="str">
        <f>IF(AO44="",AO44,VLOOKUP(AO44,'Списки участников'!A:K,12,FALSE))</f>
        <v/>
      </c>
      <c r="AQ44" s="9"/>
      <c r="AR44" s="10"/>
      <c r="AS44" s="10"/>
      <c r="AT44" s="49"/>
      <c r="AU44" s="30"/>
      <c r="AV44" s="1260"/>
      <c r="AW44" s="1262"/>
      <c r="AX44" s="54"/>
      <c r="AY44" s="191">
        <f>'Протокол (-32)'!R92</f>
        <v>0</v>
      </c>
      <c r="AZ44" s="10"/>
      <c r="BA44" s="10"/>
      <c r="BB44" s="10"/>
      <c r="BC44" s="11"/>
      <c r="BD44" s="10"/>
      <c r="BE44" s="10"/>
    </row>
    <row r="45" spans="1:57" ht="11.45" customHeight="1" x14ac:dyDescent="0.2">
      <c r="A45" s="223">
        <v>20</v>
      </c>
      <c r="B45" s="224"/>
      <c r="C45" s="225">
        <f>IF(B45="",B45,VLOOKUP(B45,'Списки участников'!A:K,12,FALSE))</f>
        <v>0</v>
      </c>
      <c r="D45" s="226">
        <f>IF(B45="",B45,VLOOKUP(B45,'Списки участников'!A:K,6,FALSE))</f>
        <v>0</v>
      </c>
      <c r="E45" s="227"/>
      <c r="F45" s="231">
        <f>'Протокол (-32)'!R13</f>
        <v>0</v>
      </c>
      <c r="G45" s="245"/>
      <c r="H45" s="245"/>
      <c r="I45" s="242"/>
      <c r="J45" s="243"/>
      <c r="K45" s="242"/>
      <c r="L45" s="231"/>
      <c r="M45" s="231"/>
      <c r="N45" s="231"/>
      <c r="O45" s="231"/>
      <c r="P45" s="243"/>
      <c r="Q45" s="242"/>
      <c r="R45" s="215"/>
      <c r="S45" s="76"/>
      <c r="T45" s="10"/>
      <c r="U45" s="76"/>
      <c r="V45" s="76"/>
      <c r="W45" s="10"/>
      <c r="X45" s="76"/>
      <c r="Y45" s="10"/>
      <c r="Z45" s="10"/>
      <c r="AA45" s="76"/>
      <c r="AB45" s="76"/>
      <c r="AC45" s="10"/>
      <c r="AD45" s="76"/>
      <c r="AE45" s="76"/>
      <c r="AF45" s="10"/>
      <c r="AG45" s="76"/>
      <c r="AH45" s="17"/>
      <c r="AI45" s="17"/>
      <c r="AJ45" s="287"/>
      <c r="AK45" s="256">
        <v>62</v>
      </c>
      <c r="AL45" s="40" t="str">
        <f>IF('Протокол (-32)'!F65="","",'Протокол (-32)'!F65)</f>
        <v/>
      </c>
      <c r="AM45" s="238" t="str">
        <f>IF(AL45="",AL45,VLOOKUP(AL45,'Списки участников'!A:K,12,FALSE))</f>
        <v/>
      </c>
      <c r="AN45" s="17"/>
      <c r="AO45" s="17"/>
      <c r="AP45" s="287"/>
      <c r="AQ45" s="204" t="s">
        <v>96</v>
      </c>
      <c r="AR45" s="18" t="str">
        <f>IF('Протокол (-32)'!F88="","",'Протокол (-32)'!F88)</f>
        <v/>
      </c>
      <c r="AS45" s="19" t="str">
        <f>IF(AR45="",AR45,VLOOKUP(AR45,'Списки участников'!A:K,12,FALSE))</f>
        <v/>
      </c>
      <c r="AT45" s="49"/>
      <c r="AU45" s="30"/>
      <c r="AV45" s="30"/>
      <c r="AW45" s="47"/>
      <c r="AX45" s="30"/>
      <c r="AY45" s="9"/>
      <c r="AZ45" s="10"/>
      <c r="BA45" s="10"/>
      <c r="BB45" s="10"/>
      <c r="BC45" s="11"/>
      <c r="BD45" s="10"/>
      <c r="BE45" s="10"/>
    </row>
    <row r="46" spans="1:57" ht="11.45" customHeight="1" x14ac:dyDescent="0.2">
      <c r="A46" s="208"/>
      <c r="B46" s="208"/>
      <c r="C46" s="213"/>
      <c r="D46" s="233"/>
      <c r="E46" s="231"/>
      <c r="F46" s="231"/>
      <c r="G46" s="231"/>
      <c r="H46" s="231"/>
      <c r="I46" s="1260"/>
      <c r="J46" s="1137">
        <v>27</v>
      </c>
      <c r="K46" s="281">
        <f>'Протокол (-32)'!F30</f>
        <v>0</v>
      </c>
      <c r="L46" s="210">
        <f>IF('Протокол (-32)'!F30="",K46,VLOOKUP(K46,'Списки участников'!A:K,12,FALSE))</f>
        <v>0</v>
      </c>
      <c r="M46" s="220"/>
      <c r="N46" s="220"/>
      <c r="O46" s="231"/>
      <c r="P46" s="243"/>
      <c r="Q46" s="242"/>
      <c r="R46" s="215"/>
      <c r="S46" s="76"/>
      <c r="T46" s="10"/>
      <c r="U46" s="76"/>
      <c r="V46" s="76"/>
      <c r="W46" s="10"/>
      <c r="X46" s="76"/>
      <c r="Y46" s="10"/>
      <c r="Z46" s="10"/>
      <c r="AA46" s="76"/>
      <c r="AB46" s="76"/>
      <c r="AC46" s="10"/>
      <c r="AD46" s="76"/>
      <c r="AE46" s="76"/>
      <c r="AF46" s="10"/>
      <c r="AG46" s="76"/>
      <c r="AH46" s="24">
        <v>-57</v>
      </c>
      <c r="AI46" s="25" t="str">
        <f>IF(AI27="","",IF(AI27=AF23,AF31,IF(AI27=AF31,AF23)))</f>
        <v/>
      </c>
      <c r="AJ46" s="222" t="str">
        <f>IF(AI46="",AI46,VLOOKUP(AI46,'Списки участников'!A:K,12,FALSE))</f>
        <v/>
      </c>
      <c r="AK46" s="52"/>
      <c r="AL46" s="16"/>
      <c r="AM46" s="63" t="str">
        <f>'Протокол (-32)'!R65</f>
        <v/>
      </c>
      <c r="AN46" s="24">
        <v>-37</v>
      </c>
      <c r="AO46" s="25" t="str">
        <f>IF(W28="","",IF(W28=T27,T29,IF(W28=T29,T27)))</f>
        <v/>
      </c>
      <c r="AP46" s="206" t="str">
        <f>IF(AO46="",AO46,VLOOKUP(AO46,'Списки участников'!A:K,12,FALSE))</f>
        <v/>
      </c>
      <c r="AQ46" s="26"/>
      <c r="AR46" s="21"/>
      <c r="AS46" s="191">
        <f>'Протокол (-32)'!R88</f>
        <v>0</v>
      </c>
      <c r="AT46" s="27"/>
      <c r="AU46" s="30"/>
      <c r="AV46" s="30"/>
      <c r="AW46" s="47"/>
      <c r="AX46" s="30"/>
      <c r="AY46" s="9"/>
      <c r="AZ46" s="10"/>
      <c r="BA46" s="10"/>
      <c r="BB46" s="10"/>
      <c r="BC46" s="11"/>
      <c r="BD46" s="10"/>
      <c r="BE46" s="10"/>
    </row>
    <row r="47" spans="1:57" ht="11.45" customHeight="1" x14ac:dyDescent="0.2">
      <c r="A47" s="208">
        <v>21</v>
      </c>
      <c r="B47" s="209"/>
      <c r="C47" s="235">
        <f>IF(B47="",B47,VLOOKUP(B47,'Списки участников'!A:K,12,FALSE))</f>
        <v>0</v>
      </c>
      <c r="D47" s="236">
        <f>IF(B47="",B47,VLOOKUP(B47,'Списки участников'!A:K,6,FALSE))</f>
        <v>0</v>
      </c>
      <c r="E47" s="212"/>
      <c r="F47" s="231"/>
      <c r="G47" s="231"/>
      <c r="H47" s="231"/>
      <c r="I47" s="1260"/>
      <c r="J47" s="1137"/>
      <c r="K47" s="237"/>
      <c r="L47" s="277" t="str">
        <f>'Протокол (-32)'!R30</f>
        <v/>
      </c>
      <c r="M47" s="229"/>
      <c r="N47" s="230"/>
      <c r="O47" s="231"/>
      <c r="P47" s="243"/>
      <c r="Q47" s="242"/>
      <c r="R47" s="215"/>
      <c r="S47" s="6">
        <v>-52</v>
      </c>
      <c r="T47" s="25" t="str">
        <f>IF(AF7="","",IF(AF7=AC5,AC9,IF(AF7=AC9,AC5)))</f>
        <v/>
      </c>
      <c r="U47" s="203" t="str">
        <f>IF(T47="",T47,VLOOKUP(T47,'Списки участников'!A:K,12,FALSE))</f>
        <v/>
      </c>
      <c r="V47" s="10"/>
      <c r="W47" s="10"/>
      <c r="X47" s="10"/>
      <c r="Y47" s="10"/>
      <c r="Z47" s="10"/>
      <c r="AB47" s="10"/>
      <c r="AC47" s="10"/>
      <c r="AD47" s="10"/>
      <c r="AE47" s="10"/>
      <c r="AF47" s="10"/>
      <c r="AG47" s="10"/>
      <c r="AH47" s="10"/>
      <c r="AI47" s="10"/>
      <c r="AJ47" s="10"/>
      <c r="AK47" s="15"/>
      <c r="AL47" s="16"/>
      <c r="AM47" s="868" t="str">
        <f>CONCATENATE(M4+7," ","место")</f>
        <v>19 место</v>
      </c>
      <c r="AN47" s="6"/>
      <c r="AO47" s="6"/>
      <c r="AP47" s="10"/>
      <c r="AQ47" s="32"/>
      <c r="AR47" s="30"/>
      <c r="AS47" s="1260"/>
      <c r="AT47" s="1262">
        <v>88</v>
      </c>
      <c r="AU47" s="45" t="str">
        <f>IF('Протокол (-32)'!F91="","",'Протокол (-32)'!F91)</f>
        <v/>
      </c>
      <c r="AV47" s="232" t="str">
        <f>IF(AU47="",AU47,VLOOKUP(AU47,'Списки участников'!A:K,12,FALSE))</f>
        <v/>
      </c>
      <c r="AW47" s="57"/>
      <c r="AX47" s="58"/>
      <c r="AY47" s="9"/>
      <c r="AZ47" s="10"/>
      <c r="BA47" s="10"/>
      <c r="BB47" s="10"/>
      <c r="BC47" s="11"/>
      <c r="BD47" s="10"/>
      <c r="BE47" s="10"/>
    </row>
    <row r="48" spans="1:57" ht="11.45" customHeight="1" x14ac:dyDescent="0.2">
      <c r="A48" s="217"/>
      <c r="B48" s="217"/>
      <c r="C48" s="287"/>
      <c r="D48" s="218">
        <v>11</v>
      </c>
      <c r="E48" s="279">
        <f>'Протокол (-32)'!F14</f>
        <v>0</v>
      </c>
      <c r="F48" s="210">
        <f>IF('Протокол (-32)'!F14="",E48,VLOOKUP(E48,'Списки участников'!A:K,12,FALSE))</f>
        <v>0</v>
      </c>
      <c r="G48" s="220"/>
      <c r="H48" s="220"/>
      <c r="I48" s="242"/>
      <c r="J48" s="243"/>
      <c r="K48" s="242"/>
      <c r="L48" s="242"/>
      <c r="M48" s="243"/>
      <c r="N48" s="242"/>
      <c r="O48" s="231"/>
      <c r="P48" s="243"/>
      <c r="Q48" s="242"/>
      <c r="R48" s="215"/>
      <c r="S48" s="17"/>
      <c r="T48" s="17"/>
      <c r="U48" s="287"/>
      <c r="V48" s="38" t="s">
        <v>68</v>
      </c>
      <c r="W48" s="18" t="str">
        <f>IF('Протокол (-32)'!F66="","",'Протокол (-32)'!F66)</f>
        <v/>
      </c>
      <c r="X48" s="203" t="str">
        <f>IF(W48="",W48,VLOOKUP(W48,'Списки участников'!A:K,12,FALSE))</f>
        <v/>
      </c>
      <c r="Y48" s="10"/>
      <c r="Z48" s="10"/>
      <c r="AA48" s="868" t="str">
        <f>CONCATENATE(M4+8," ","место")</f>
        <v>20 место</v>
      </c>
      <c r="AB48" s="10"/>
      <c r="AC48" s="10"/>
      <c r="AD48" s="10"/>
      <c r="AE48" s="10"/>
      <c r="AF48" s="10"/>
      <c r="AG48" s="10"/>
      <c r="AH48" s="10"/>
      <c r="AI48" s="10"/>
      <c r="AJ48" s="10"/>
      <c r="AK48" s="15"/>
      <c r="AL48" s="16"/>
      <c r="AM48" s="50" t="str">
        <f>IF(AL49="",AL49,VLOOKUP(AL49,'Списки участников'!A:K,6,FALSE))</f>
        <v/>
      </c>
      <c r="AN48" s="6">
        <v>-38</v>
      </c>
      <c r="AO48" s="7" t="str">
        <f>IF(W32="","",IF(W32=T31,T33,IF(W32=T33,T31)))</f>
        <v/>
      </c>
      <c r="AP48" s="8" t="str">
        <f>IF(AO48="",AO48,VLOOKUP(AO48,'Списки участников'!A:K,12,FALSE))</f>
        <v/>
      </c>
      <c r="AQ48" s="32"/>
      <c r="AR48" s="30"/>
      <c r="AS48" s="1260"/>
      <c r="AT48" s="1262"/>
      <c r="AU48" s="10"/>
      <c r="AV48" s="247">
        <f>'Протокол (-32)'!R91</f>
        <v>0</v>
      </c>
      <c r="AW48" s="11"/>
      <c r="AX48" s="10"/>
      <c r="AY48" s="868" t="str">
        <f>CONCATENATE(M4+25," ","место")</f>
        <v>37 место</v>
      </c>
      <c r="AZ48" s="10"/>
      <c r="BA48" s="10"/>
      <c r="BB48" s="10"/>
      <c r="BC48" s="11"/>
      <c r="BD48" s="10"/>
      <c r="BE48" s="10"/>
    </row>
    <row r="49" spans="1:57" ht="11.45" customHeight="1" x14ac:dyDescent="0.2">
      <c r="A49" s="223">
        <v>22</v>
      </c>
      <c r="B49" s="224"/>
      <c r="C49" s="225">
        <f>IF(B49="",B49,VLOOKUP(B49,'Списки участников'!A:K,12,FALSE))</f>
        <v>0</v>
      </c>
      <c r="D49" s="226">
        <f>IF(B49="",B49,VLOOKUP(B49,'Списки участников'!A:K,6,FALSE))</f>
        <v>0</v>
      </c>
      <c r="E49" s="227"/>
      <c r="F49" s="277">
        <f>'Протокол (-32)'!R14</f>
        <v>0</v>
      </c>
      <c r="G49" s="229"/>
      <c r="H49" s="230"/>
      <c r="I49" s="242"/>
      <c r="J49" s="243"/>
      <c r="K49" s="242"/>
      <c r="L49" s="242"/>
      <c r="M49" s="243"/>
      <c r="N49" s="242"/>
      <c r="O49" s="231"/>
      <c r="P49" s="243"/>
      <c r="Q49" s="242"/>
      <c r="R49" s="215"/>
      <c r="S49" s="24">
        <v>-53</v>
      </c>
      <c r="T49" s="25" t="str">
        <f>IF(AF15="","",IF(AF15=AC13,AC17,IF(AF15=AC17,AC13)))</f>
        <v/>
      </c>
      <c r="U49" s="222" t="str">
        <f>IF(T49="",T49,VLOOKUP(T49,'Списки участников'!A:K,12,FALSE))</f>
        <v/>
      </c>
      <c r="V49" s="41"/>
      <c r="W49" s="21"/>
      <c r="X49" s="21" t="str">
        <f>'Протокол (-32)'!R66</f>
        <v/>
      </c>
      <c r="Y49" s="22"/>
      <c r="Z49" s="30"/>
      <c r="AA49" s="50" t="str">
        <f>IF(Z50="",Z50,VLOOKUP(Z50,'Списки участников'!A:K,6,FALSE))</f>
        <v/>
      </c>
      <c r="AB49" s="10"/>
      <c r="AC49" s="10"/>
      <c r="AD49" s="10"/>
      <c r="AE49" s="10"/>
      <c r="AF49" s="10"/>
      <c r="AG49" s="10"/>
      <c r="AH49" s="10"/>
      <c r="AI49" s="10"/>
      <c r="AJ49" s="10"/>
      <c r="AK49" s="59">
        <v>-62</v>
      </c>
      <c r="AL49" s="72" t="str">
        <f>IF(AL45="","",IF(AL45=AI44,AI46,IF(AL45=AI46,AI44)))</f>
        <v/>
      </c>
      <c r="AM49" s="267" t="str">
        <f>IF(AL49="",AL49,VLOOKUP(AL49,'Списки участников'!A:K,12,FALSE))</f>
        <v/>
      </c>
      <c r="AN49" s="17"/>
      <c r="AO49" s="17"/>
      <c r="AP49" s="287"/>
      <c r="AQ49" s="204" t="s">
        <v>97</v>
      </c>
      <c r="AR49" s="45" t="str">
        <f>IF('Протокол (-32)'!F89="","",'Протокол (-32)'!F89)</f>
        <v/>
      </c>
      <c r="AS49" s="232" t="str">
        <f>IF(AR49="",AR49,VLOOKUP(AR49,'Списки участников'!A:K,12,FALSE))</f>
        <v/>
      </c>
      <c r="AT49" s="46"/>
      <c r="AU49" s="10"/>
      <c r="AV49" s="10"/>
      <c r="AW49" s="11"/>
      <c r="AX49" s="10"/>
      <c r="AY49" s="50" t="str">
        <f>IF(AX50="",AX50,VLOOKUP(AX50,'Списки участников'!A:K,6,FALSE))</f>
        <v/>
      </c>
      <c r="AZ49" s="10"/>
      <c r="BA49" s="10"/>
      <c r="BB49" s="10"/>
      <c r="BC49" s="11"/>
      <c r="BD49" s="10"/>
      <c r="BE49" s="10"/>
    </row>
    <row r="50" spans="1:57" ht="11.45" customHeight="1" x14ac:dyDescent="0.2">
      <c r="A50" s="208"/>
      <c r="B50" s="208"/>
      <c r="C50" s="213"/>
      <c r="D50" s="265"/>
      <c r="E50" s="212"/>
      <c r="F50" s="1260"/>
      <c r="G50" s="1137" t="s">
        <v>27</v>
      </c>
      <c r="H50" s="281">
        <f>'Протокол (-32)'!F25</f>
        <v>0</v>
      </c>
      <c r="I50" s="239">
        <f>IF('Протокол (-32)'!F25="",H50,VLOOKUP(H50,'Списки участников'!A:K,12,FALSE))</f>
        <v>0</v>
      </c>
      <c r="J50" s="240"/>
      <c r="K50" s="241"/>
      <c r="L50" s="242"/>
      <c r="M50" s="243"/>
      <c r="N50" s="242"/>
      <c r="O50" s="231"/>
      <c r="P50" s="243"/>
      <c r="Q50" s="242"/>
      <c r="R50" s="215"/>
      <c r="S50" s="6"/>
      <c r="T50" s="6"/>
      <c r="U50" s="10"/>
      <c r="V50" s="30"/>
      <c r="W50" s="30"/>
      <c r="X50" s="1260"/>
      <c r="Y50" s="1262">
        <v>65</v>
      </c>
      <c r="Z50" s="53" t="str">
        <f>IF('Протокол (-32)'!F68="","",'Протокол (-32)'!F68)</f>
        <v/>
      </c>
      <c r="AA50" s="266" t="str">
        <f>IF(Z50="",Z50,VLOOKUP(Z50,'Списки участников'!A:K,12,FALSE))</f>
        <v/>
      </c>
      <c r="AB50" s="10"/>
      <c r="AC50" s="10"/>
      <c r="AD50" s="10"/>
      <c r="AE50" s="10"/>
      <c r="AF50" s="10"/>
      <c r="AG50" s="4"/>
      <c r="AH50" s="10"/>
      <c r="AI50" s="10"/>
      <c r="AJ50" s="10"/>
      <c r="AK50" s="15"/>
      <c r="AL50" s="16"/>
      <c r="AM50" s="77"/>
      <c r="AN50" s="24">
        <v>-39</v>
      </c>
      <c r="AO50" s="25" t="str">
        <f>IF(W36="","",IF(W36=T35,T37,IF(W36=T37,T35)))</f>
        <v/>
      </c>
      <c r="AP50" s="206" t="str">
        <f>IF(AO50="",AO50,VLOOKUP(AO50,'Списки участников'!A:K,12,FALSE))</f>
        <v/>
      </c>
      <c r="AQ50" s="26"/>
      <c r="AR50" s="10"/>
      <c r="AS50" s="191">
        <f>'Протокол (-32)'!R89</f>
        <v>0</v>
      </c>
      <c r="AT50" s="11"/>
      <c r="AU50" s="10"/>
      <c r="AV50" s="10"/>
      <c r="AW50" s="61">
        <v>-89</v>
      </c>
      <c r="AX50" s="62" t="str">
        <f>IF(AX43="","",IF(AX43=AU39,AU47,IF(AX43=AU47,AU39)))</f>
        <v/>
      </c>
      <c r="AY50" s="266" t="str">
        <f>IF(AX50="",AX50,VLOOKUP(AX50,'Списки участников'!A:K,12,FALSE))</f>
        <v/>
      </c>
      <c r="AZ50" s="10"/>
      <c r="BA50" s="10"/>
      <c r="BB50" s="10"/>
      <c r="BC50" s="11"/>
      <c r="BD50" s="10"/>
      <c r="BE50" s="10"/>
    </row>
    <row r="51" spans="1:57" ht="11.45" customHeight="1" x14ac:dyDescent="0.2">
      <c r="A51" s="208">
        <v>23</v>
      </c>
      <c r="B51" s="209"/>
      <c r="C51" s="235">
        <f>IF(B51="",B51,VLOOKUP(B51,'Списки участников'!A:K,12,FALSE))</f>
        <v>0</v>
      </c>
      <c r="D51" s="236">
        <f>IF(B51="",B51,VLOOKUP(B51,'Списки участников'!A:K,6,FALSE))</f>
        <v>0</v>
      </c>
      <c r="E51" s="212"/>
      <c r="F51" s="1260"/>
      <c r="G51" s="1137"/>
      <c r="H51" s="237"/>
      <c r="I51" s="231" t="str">
        <f>'Протокол (-32)'!R25</f>
        <v/>
      </c>
      <c r="J51" s="245"/>
      <c r="K51" s="245"/>
      <c r="L51" s="242"/>
      <c r="M51" s="243"/>
      <c r="N51" s="242"/>
      <c r="O51" s="231"/>
      <c r="P51" s="243"/>
      <c r="Q51" s="242"/>
      <c r="R51" s="215"/>
      <c r="S51" s="6">
        <v>-54</v>
      </c>
      <c r="T51" s="7" t="str">
        <f>IF(AF23="","",IF(AF23=AC21,AC25,IF(AF23=AC25,AC21)))</f>
        <v/>
      </c>
      <c r="U51" s="203" t="str">
        <f>IF(T51="",T51,VLOOKUP(T51,'Списки участников'!A:K,12,FALSE))</f>
        <v/>
      </c>
      <c r="V51" s="30"/>
      <c r="W51" s="30"/>
      <c r="X51" s="1260"/>
      <c r="Y51" s="1262"/>
      <c r="Z51" s="43"/>
      <c r="AA51" s="17" t="str">
        <f>'Протокол (-32)'!R68</f>
        <v/>
      </c>
      <c r="AB51" s="10"/>
      <c r="AC51" s="10"/>
      <c r="AD51" s="10"/>
      <c r="AE51" s="10"/>
      <c r="AF51" s="10"/>
      <c r="AG51" s="10"/>
      <c r="AH51" s="10"/>
      <c r="AI51" s="10"/>
      <c r="AJ51" s="10"/>
      <c r="AK51" s="15"/>
      <c r="AL51" s="16"/>
      <c r="AM51" s="10"/>
      <c r="AN51" s="10"/>
      <c r="AO51" s="10"/>
      <c r="AP51" s="10"/>
      <c r="AQ51" s="9"/>
      <c r="AR51" s="10"/>
      <c r="AS51" s="10"/>
      <c r="AT51" s="11"/>
      <c r="AU51" s="10"/>
      <c r="AV51" s="10"/>
      <c r="AW51" s="11"/>
      <c r="AX51" s="10"/>
      <c r="AY51" s="63"/>
      <c r="AZ51" s="10"/>
      <c r="BA51" s="10"/>
      <c r="BB51" s="10"/>
      <c r="BC51" s="11"/>
      <c r="BD51" s="10"/>
      <c r="BE51" s="868" t="str">
        <f>CONCATENATE(M4+26," ","место")</f>
        <v>38 место</v>
      </c>
    </row>
    <row r="52" spans="1:57" ht="11.45" customHeight="1" x14ac:dyDescent="0.2">
      <c r="A52" s="217"/>
      <c r="B52" s="217"/>
      <c r="C52" s="287"/>
      <c r="D52" s="218">
        <v>12</v>
      </c>
      <c r="E52" s="279">
        <f>'Протокол (-32)'!F15</f>
        <v>0</v>
      </c>
      <c r="F52" s="239">
        <f>IF('Протокол (-32)'!F15="",E52,VLOOKUP(E52,'Списки участников'!A:K,12,FALSE))</f>
        <v>0</v>
      </c>
      <c r="G52" s="240"/>
      <c r="H52" s="241"/>
      <c r="I52" s="231"/>
      <c r="J52" s="231"/>
      <c r="K52" s="231"/>
      <c r="L52" s="242"/>
      <c r="M52" s="243"/>
      <c r="N52" s="242"/>
      <c r="O52" s="231"/>
      <c r="P52" s="243"/>
      <c r="Q52" s="242"/>
      <c r="R52" s="215"/>
      <c r="S52" s="17"/>
      <c r="T52" s="17"/>
      <c r="U52" s="287"/>
      <c r="V52" s="38" t="s">
        <v>69</v>
      </c>
      <c r="W52" s="45" t="str">
        <f>IF('Протокол (-32)'!F67="","",'Протокол (-32)'!F67)</f>
        <v/>
      </c>
      <c r="X52" s="222" t="str">
        <f>IF(W52="",W52,VLOOKUP(W52,'Списки участников'!A:K,12,FALSE))</f>
        <v/>
      </c>
      <c r="Y52" s="78"/>
      <c r="Z52" s="30"/>
      <c r="AA52" s="9"/>
      <c r="AB52" s="10"/>
      <c r="AC52" s="10"/>
      <c r="AD52" s="10"/>
      <c r="AE52" s="10"/>
      <c r="AF52" s="10"/>
      <c r="AG52" s="10"/>
      <c r="AH52" s="10"/>
      <c r="AI52" s="10"/>
      <c r="AJ52" s="10"/>
      <c r="AK52" s="15"/>
      <c r="AL52" s="16"/>
      <c r="AM52" s="10"/>
      <c r="AN52" s="10"/>
      <c r="AO52" s="10"/>
      <c r="AP52" s="10"/>
      <c r="AQ52" s="9"/>
      <c r="AR52" s="10"/>
      <c r="AS52" s="10"/>
      <c r="AT52" s="11"/>
      <c r="AU52" s="10"/>
      <c r="AV52" s="10"/>
      <c r="AW52" s="11"/>
      <c r="AX52" s="10"/>
      <c r="AY52" s="9"/>
      <c r="AZ52" s="6">
        <v>-87</v>
      </c>
      <c r="BA52" s="7" t="str">
        <f>IF(AU39="","",IF(AU39=AR37,AR41,IF(AU39=AR41,AR37)))</f>
        <v/>
      </c>
      <c r="BB52" s="8" t="str">
        <f>IF(BA52="",BA52,VLOOKUP(BA52,'Списки участников'!A:K,12,FALSE))</f>
        <v/>
      </c>
      <c r="BC52" s="73"/>
      <c r="BD52" s="8"/>
      <c r="BE52" s="50" t="str">
        <f>IF(BD53="",BD53,VLOOKUP(BD53,'Списки участников'!A:K,6,FALSE))</f>
        <v/>
      </c>
    </row>
    <row r="53" spans="1:57" ht="11.45" customHeight="1" x14ac:dyDescent="0.2">
      <c r="A53" s="223">
        <v>24</v>
      </c>
      <c r="B53" s="224"/>
      <c r="C53" s="225">
        <f>IF(B53="",B53,VLOOKUP(B53,'Списки участников'!A:K,12,FALSE))</f>
        <v>0</v>
      </c>
      <c r="D53" s="226">
        <f>IF(B53="",B53,VLOOKUP(B53,'Списки участников'!A:K,6,FALSE))</f>
        <v>0</v>
      </c>
      <c r="E53" s="227"/>
      <c r="F53" s="231">
        <f>'Протокол (-32)'!R15</f>
        <v>0</v>
      </c>
      <c r="G53" s="245"/>
      <c r="H53" s="245"/>
      <c r="I53" s="231"/>
      <c r="J53" s="231"/>
      <c r="K53" s="231"/>
      <c r="L53" s="242"/>
      <c r="M53" s="243"/>
      <c r="N53" s="242"/>
      <c r="O53" s="231"/>
      <c r="P53" s="243"/>
      <c r="Q53" s="242"/>
      <c r="R53" s="215"/>
      <c r="S53" s="24">
        <v>-55</v>
      </c>
      <c r="T53" s="25" t="str">
        <f>IF(AF31="","",IF(AF31=AC29,AC33,IF(AF31=AC33,AC29)))</f>
        <v/>
      </c>
      <c r="U53" s="222" t="str">
        <f>IF(T53="",T53,VLOOKUP(T53,'Списки участников'!A:K,12,FALSE))</f>
        <v/>
      </c>
      <c r="V53" s="41"/>
      <c r="W53" s="10"/>
      <c r="X53" s="9" t="str">
        <f>'Протокол (-32)'!R67</f>
        <v/>
      </c>
      <c r="Y53" s="9"/>
      <c r="Z53" s="9"/>
      <c r="AA53" s="868" t="str">
        <f>CONCATENATE(M4+9," ","место")</f>
        <v>21 место</v>
      </c>
      <c r="AB53" s="10"/>
      <c r="AC53" s="10"/>
      <c r="AD53" s="10"/>
      <c r="AE53" s="10"/>
      <c r="AF53" s="10"/>
      <c r="AG53" s="10"/>
      <c r="AH53" s="10"/>
      <c r="AI53" s="10"/>
      <c r="AJ53" s="10"/>
      <c r="AK53" s="15"/>
      <c r="AL53" s="16"/>
      <c r="AM53" s="10"/>
      <c r="AN53" s="10"/>
      <c r="AO53" s="10"/>
      <c r="AP53" s="10"/>
      <c r="AQ53" s="9"/>
      <c r="AR53" s="10"/>
      <c r="AS53" s="10"/>
      <c r="AT53" s="11"/>
      <c r="AU53" s="10"/>
      <c r="AV53" s="10"/>
      <c r="AW53" s="11"/>
      <c r="AX53" s="10"/>
      <c r="AY53" s="9"/>
      <c r="AZ53" s="17"/>
      <c r="BA53" s="17"/>
      <c r="BB53" s="287"/>
      <c r="BC53" s="216">
        <v>90</v>
      </c>
      <c r="BD53" s="28" t="str">
        <f>IF('Протокол (-32)'!F93="","",'Протокол (-32)'!F93)</f>
        <v/>
      </c>
      <c r="BE53" s="266" t="str">
        <f>IF(BD53="",BD53,VLOOKUP(BD53,'Списки участников'!A:K,12,FALSE))</f>
        <v/>
      </c>
    </row>
    <row r="54" spans="1:57" ht="11.45" customHeight="1" x14ac:dyDescent="0.2">
      <c r="A54" s="208"/>
      <c r="B54" s="208"/>
      <c r="C54" s="213"/>
      <c r="D54" s="233"/>
      <c r="E54" s="231"/>
      <c r="F54" s="231"/>
      <c r="G54" s="231"/>
      <c r="H54" s="231"/>
      <c r="I54" s="231"/>
      <c r="J54" s="231"/>
      <c r="K54" s="231"/>
      <c r="L54" s="1260"/>
      <c r="M54" s="1137">
        <v>30</v>
      </c>
      <c r="N54" s="286">
        <f>'Протокол (-32)'!F33</f>
        <v>0</v>
      </c>
      <c r="O54" s="239">
        <f>IF('Протокол (-32)'!F33="",N54,VLOOKUP(N54,'Списки участников'!A:K,12,FALSE))</f>
        <v>0</v>
      </c>
      <c r="P54" s="240"/>
      <c r="Q54" s="241"/>
      <c r="R54" s="215"/>
      <c r="S54" s="10"/>
      <c r="T54" s="10"/>
      <c r="U54" s="10"/>
      <c r="V54" s="10"/>
      <c r="W54" s="10"/>
      <c r="X54" s="10"/>
      <c r="Y54" s="10"/>
      <c r="Z54" s="10"/>
      <c r="AA54" s="50" t="str">
        <f>IF(Z55="",Z55,VLOOKUP(Z55,'Списки участников'!A:K,6,FALSE))</f>
        <v/>
      </c>
      <c r="AB54" s="10"/>
      <c r="AC54" s="10"/>
      <c r="AD54" s="10"/>
      <c r="AE54" s="10"/>
      <c r="AF54" s="10"/>
      <c r="AG54" s="10"/>
      <c r="AH54" s="10"/>
      <c r="AI54" s="10"/>
      <c r="AJ54" s="868" t="str">
        <f>CONCATENATE(M4+10," ","место")</f>
        <v>22 место</v>
      </c>
      <c r="AK54" s="15"/>
      <c r="AL54" s="16"/>
      <c r="AM54" s="10"/>
      <c r="AN54" s="10"/>
      <c r="AO54" s="10"/>
      <c r="AP54" s="10"/>
      <c r="AQ54" s="9"/>
      <c r="AR54" s="10"/>
      <c r="AS54" s="10"/>
      <c r="AT54" s="11"/>
      <c r="AU54" s="10"/>
      <c r="AV54" s="10"/>
      <c r="AW54" s="11"/>
      <c r="AX54" s="10"/>
      <c r="AY54" s="9"/>
      <c r="AZ54" s="24">
        <v>-88</v>
      </c>
      <c r="BA54" s="25" t="str">
        <f>IF(AU47="","",IF(AU47=AR45,AR49,IF(AU47=AR49,AR45)))</f>
        <v/>
      </c>
      <c r="BB54" s="206" t="str">
        <f>IF(BA54="",BA54,VLOOKUP(BA54,'Списки участников'!A:K,12,FALSE))</f>
        <v/>
      </c>
      <c r="BC54" s="65"/>
      <c r="BD54" s="74"/>
      <c r="BE54" s="191">
        <f>'Протокол (-32)'!R93</f>
        <v>0</v>
      </c>
    </row>
    <row r="55" spans="1:57" ht="11.45" customHeight="1" x14ac:dyDescent="0.2">
      <c r="A55" s="208">
        <v>25</v>
      </c>
      <c r="B55" s="209"/>
      <c r="C55" s="235">
        <f>IF(B55="",B55,VLOOKUP(B55,'Списки участников'!A:K,12,FALSE))</f>
        <v>0</v>
      </c>
      <c r="D55" s="236">
        <f>IF(B55="",B55,VLOOKUP(B55,'Списки участников'!A:K,6,FALSE))</f>
        <v>0</v>
      </c>
      <c r="E55" s="212"/>
      <c r="F55" s="231"/>
      <c r="G55" s="231"/>
      <c r="H55" s="231"/>
      <c r="I55" s="231"/>
      <c r="J55" s="231"/>
      <c r="K55" s="231"/>
      <c r="L55" s="1260"/>
      <c r="M55" s="1137"/>
      <c r="N55" s="237"/>
      <c r="O55" s="231" t="str">
        <f>'Протокол (-32)'!R33</f>
        <v/>
      </c>
      <c r="P55" s="245"/>
      <c r="Q55" s="245"/>
      <c r="R55" s="215"/>
      <c r="S55" s="10"/>
      <c r="T55" s="10"/>
      <c r="U55" s="10"/>
      <c r="V55" s="10"/>
      <c r="W55" s="10"/>
      <c r="X55" s="10"/>
      <c r="Y55" s="61">
        <v>-65</v>
      </c>
      <c r="Z55" s="62" t="str">
        <f>IF(Z50="","",IF(Z50=W48,W52,IF(Z50=W52,W48)))</f>
        <v/>
      </c>
      <c r="AA55" s="267" t="str">
        <f>IF(Z55="",Z55,VLOOKUP(Z55,'Списки участников'!A:K,12,FALSE))</f>
        <v/>
      </c>
      <c r="AB55" s="10"/>
      <c r="AC55" s="10"/>
      <c r="AD55" s="10"/>
      <c r="AE55" s="6">
        <v>-63</v>
      </c>
      <c r="AF55" s="7" t="str">
        <f>IF(W48="","",IF(W48=T47,T49,IF(W48=T49,T47)))</f>
        <v/>
      </c>
      <c r="AG55" s="203" t="str">
        <f>IF(AF55="",AF55,VLOOKUP(AF55,'Списки участников'!A:K,12,FALSE))</f>
        <v/>
      </c>
      <c r="AH55" s="10"/>
      <c r="AI55" s="10"/>
      <c r="AJ55" s="50" t="str">
        <f>IF(AI56="",AI56,VLOOKUP(AI56,'Списки участников'!A:K,6,FALSE))</f>
        <v/>
      </c>
      <c r="AK55" s="15"/>
      <c r="AL55" s="16"/>
      <c r="AM55" s="10"/>
      <c r="AN55" s="10"/>
      <c r="AO55" s="10"/>
      <c r="AP55" s="10"/>
      <c r="AQ55" s="9"/>
      <c r="AR55" s="10"/>
      <c r="AS55" s="10"/>
      <c r="AT55" s="11"/>
      <c r="AU55" s="10"/>
      <c r="AV55" s="10"/>
      <c r="AW55" s="11"/>
      <c r="AX55" s="10"/>
      <c r="AY55" s="9"/>
      <c r="AZ55" s="10"/>
      <c r="BA55" s="10"/>
      <c r="BB55" s="10"/>
      <c r="BC55" s="11"/>
      <c r="BD55" s="10"/>
      <c r="BE55" s="868" t="str">
        <f>CONCATENATE(M4+27," ","место")</f>
        <v>39 место</v>
      </c>
    </row>
    <row r="56" spans="1:57" ht="11.45" customHeight="1" x14ac:dyDescent="0.2">
      <c r="A56" s="217"/>
      <c r="B56" s="217"/>
      <c r="C56" s="287"/>
      <c r="D56" s="218">
        <v>13</v>
      </c>
      <c r="E56" s="219">
        <f>'Протокол (-32)'!F16</f>
        <v>0</v>
      </c>
      <c r="F56" s="210">
        <f>IF('Протокол (-32)'!F16="",E56,VLOOKUP(E56,'Списки участников'!A:K,12,FALSE))</f>
        <v>0</v>
      </c>
      <c r="G56" s="220"/>
      <c r="H56" s="220"/>
      <c r="I56" s="231"/>
      <c r="J56" s="231"/>
      <c r="K56" s="231"/>
      <c r="L56" s="242"/>
      <c r="M56" s="243"/>
      <c r="N56" s="242"/>
      <c r="O56" s="231"/>
      <c r="P56" s="231"/>
      <c r="Q56" s="231"/>
      <c r="R56" s="215"/>
      <c r="S56" s="10"/>
      <c r="T56" s="10"/>
      <c r="U56" s="10"/>
      <c r="V56" s="10"/>
      <c r="W56" s="10"/>
      <c r="X56" s="10"/>
      <c r="Y56" s="10"/>
      <c r="Z56" s="10"/>
      <c r="AA56" s="9"/>
      <c r="AB56" s="10"/>
      <c r="AC56" s="10"/>
      <c r="AD56" s="10"/>
      <c r="AE56" s="17"/>
      <c r="AF56" s="17"/>
      <c r="AG56" s="287"/>
      <c r="AH56" s="22" t="s">
        <v>77</v>
      </c>
      <c r="AI56" s="18" t="str">
        <f>IF('Протокол (-32)'!F69="","",'Протокол (-32)'!F69)</f>
        <v/>
      </c>
      <c r="AJ56" s="238" t="str">
        <f>IF(AI56="",AI56,VLOOKUP(AI56,'Списки участников'!A:K,12,FALSE))</f>
        <v/>
      </c>
      <c r="AK56" s="15"/>
      <c r="AL56" s="16"/>
      <c r="AM56" s="10"/>
      <c r="AN56" s="10"/>
      <c r="AO56" s="10"/>
      <c r="AP56" s="10"/>
      <c r="AQ56" s="9"/>
      <c r="AR56" s="10"/>
      <c r="AS56" s="10"/>
      <c r="AT56" s="11"/>
      <c r="AU56" s="10"/>
      <c r="AV56" s="10"/>
      <c r="AW56" s="11"/>
      <c r="AX56" s="10"/>
      <c r="AY56" s="9"/>
      <c r="AZ56" s="10"/>
      <c r="BA56" s="10"/>
      <c r="BB56" s="10"/>
      <c r="BC56" s="11"/>
      <c r="BD56" s="10"/>
      <c r="BE56" s="50" t="str">
        <f>IF(BD57="",BD57,VLOOKUP(BD57,'Списки участников'!A:K,6,FALSE))</f>
        <v/>
      </c>
    </row>
    <row r="57" spans="1:57" ht="11.45" customHeight="1" x14ac:dyDescent="0.2">
      <c r="A57" s="223">
        <v>26</v>
      </c>
      <c r="B57" s="224"/>
      <c r="C57" s="225">
        <f>IF(B57="",B57,VLOOKUP(B57,'Списки участников'!A:K,12,FALSE))</f>
        <v>0</v>
      </c>
      <c r="D57" s="226">
        <f>IF(B57="",B57,VLOOKUP(B57,'Списки участников'!A:K,6,FALSE))</f>
        <v>0</v>
      </c>
      <c r="E57" s="227"/>
      <c r="F57" s="277">
        <f>'Протокол (-32)'!R16</f>
        <v>0</v>
      </c>
      <c r="G57" s="229"/>
      <c r="H57" s="230"/>
      <c r="I57" s="231"/>
      <c r="J57" s="231"/>
      <c r="K57" s="231"/>
      <c r="L57" s="242"/>
      <c r="M57" s="243"/>
      <c r="N57" s="242"/>
      <c r="O57" s="231"/>
      <c r="P57" s="231"/>
      <c r="Q57" s="231"/>
      <c r="S57" s="10"/>
      <c r="T57" s="10"/>
      <c r="U57" s="10"/>
      <c r="V57" s="10"/>
      <c r="W57" s="10"/>
      <c r="X57" s="10"/>
      <c r="Y57" s="10"/>
      <c r="Z57" s="10"/>
      <c r="AA57" s="9"/>
      <c r="AB57" s="10"/>
      <c r="AC57" s="10"/>
      <c r="AD57" s="10"/>
      <c r="AE57" s="24">
        <v>-64</v>
      </c>
      <c r="AF57" s="25" t="str">
        <f>IF(W52="","",IF(W52=T51,T53,IF(W52=T53,T51)))</f>
        <v/>
      </c>
      <c r="AG57" s="222" t="str">
        <f>IF(AF57="",AF57,VLOOKUP(AF57,'Списки участников'!A:K,12,FALSE))</f>
        <v/>
      </c>
      <c r="AH57" s="78"/>
      <c r="AI57" s="21"/>
      <c r="AJ57" s="21" t="str">
        <f>'Протокол (-32)'!R69</f>
        <v/>
      </c>
      <c r="AK57" s="15"/>
      <c r="AL57" s="16"/>
      <c r="AM57" s="10"/>
      <c r="AN57" s="10"/>
      <c r="AO57" s="10"/>
      <c r="AP57" s="10"/>
      <c r="AQ57" s="9">
        <v>-83</v>
      </c>
      <c r="AR57" s="7" t="str">
        <f>IF(AR37="","",IF(AR37=AO36,AO38,IF(AR37=AO38,AO36)))</f>
        <v/>
      </c>
      <c r="AS57" s="8" t="str">
        <f>IF(AR57="",AR57,VLOOKUP(AR57,'Списки участников'!A:K,12,FALSE))</f>
        <v/>
      </c>
      <c r="AT57" s="11"/>
      <c r="AU57" s="10"/>
      <c r="AV57" s="10"/>
      <c r="AW57" s="11"/>
      <c r="AX57" s="10"/>
      <c r="AZ57" s="10"/>
      <c r="BA57" s="10"/>
      <c r="BB57" s="10"/>
      <c r="BC57" s="61">
        <v>-90</v>
      </c>
      <c r="BD57" s="62" t="str">
        <f>IF(BD53="","",IF(BD53=BA52,BA54,IF(BD53=BA54,BA52)))</f>
        <v/>
      </c>
      <c r="BE57" s="238" t="str">
        <f>IF(BD57="",BD57,VLOOKUP(BD57,'Списки участников'!A:K,12,FALSE))</f>
        <v/>
      </c>
    </row>
    <row r="58" spans="1:57" ht="11.45" customHeight="1" x14ac:dyDescent="0.2">
      <c r="A58" s="208"/>
      <c r="B58" s="208"/>
      <c r="C58" s="213"/>
      <c r="D58" s="233"/>
      <c r="E58" s="231"/>
      <c r="F58" s="1260"/>
      <c r="G58" s="1137" t="s">
        <v>40</v>
      </c>
      <c r="H58" s="281">
        <f>'Протокол (-32)'!F26</f>
        <v>0</v>
      </c>
      <c r="I58" s="210">
        <f>IF('Протокол (-32)'!F26="",H58,VLOOKUP(H58,'Списки участников'!A:K,12,FALSE))</f>
        <v>0</v>
      </c>
      <c r="J58" s="220"/>
      <c r="K58" s="220"/>
      <c r="L58" s="242"/>
      <c r="M58" s="243"/>
      <c r="N58" s="242"/>
      <c r="O58" s="231"/>
      <c r="P58" s="231"/>
      <c r="Q58" s="231"/>
      <c r="R58" s="867" t="str">
        <f>CONCATENATE(M4+1," ","место")</f>
        <v>13 место</v>
      </c>
      <c r="S58" s="10"/>
      <c r="T58" s="10"/>
      <c r="U58" s="10"/>
      <c r="V58" s="10"/>
      <c r="W58" s="10"/>
      <c r="X58" s="10"/>
      <c r="Y58" s="10"/>
      <c r="Z58" s="10"/>
      <c r="AA58" s="9"/>
      <c r="AB58" s="10"/>
      <c r="AC58" s="10"/>
      <c r="AD58" s="10"/>
      <c r="AE58" s="10"/>
      <c r="AF58" s="10"/>
      <c r="AG58" s="10"/>
      <c r="AH58" s="10"/>
      <c r="AI58" s="10"/>
      <c r="AJ58" s="868" t="str">
        <f>CONCATENATE(M4+11," ","место")</f>
        <v>23 место</v>
      </c>
      <c r="AK58" s="15"/>
      <c r="AL58" s="16"/>
      <c r="AM58" s="10"/>
      <c r="AN58" s="10"/>
      <c r="AO58" s="10"/>
      <c r="AP58" s="10"/>
      <c r="AQ58" s="63"/>
      <c r="AR58" s="79"/>
      <c r="AS58" s="287"/>
      <c r="AT58" s="251">
        <v>91</v>
      </c>
      <c r="AU58" s="18" t="str">
        <f>IF('Протокол (-32)'!F94="","",'Протокол (-32)'!F94)</f>
        <v/>
      </c>
      <c r="AV58" s="19" t="str">
        <f>IF(AU58="",AU58,VLOOKUP(AU58,'Списки участников'!A:K,12,FALSE))</f>
        <v/>
      </c>
      <c r="AW58" s="33"/>
      <c r="AX58" s="34"/>
      <c r="AY58" s="868" t="str">
        <f>CONCATENATE(M4+28," ","место")</f>
        <v>40 место</v>
      </c>
      <c r="AZ58" s="10"/>
      <c r="BA58" s="10"/>
      <c r="BB58" s="10"/>
      <c r="BC58" s="11"/>
      <c r="BD58" s="10"/>
      <c r="BE58" s="63"/>
    </row>
    <row r="59" spans="1:57" ht="11.45" customHeight="1" x14ac:dyDescent="0.2">
      <c r="A59" s="208">
        <v>27</v>
      </c>
      <c r="B59" s="209"/>
      <c r="C59" s="235">
        <f>IF(B59="",B59,VLOOKUP(B59,'Списки участников'!A:K,12,FALSE))</f>
        <v>0</v>
      </c>
      <c r="D59" s="236">
        <f>IF(B59="",B59,VLOOKUP(B59,'Списки участников'!A:K,6,FALSE))</f>
        <v>0</v>
      </c>
      <c r="E59" s="212"/>
      <c r="F59" s="1260"/>
      <c r="G59" s="1137"/>
      <c r="H59" s="237"/>
      <c r="I59" s="277" t="str">
        <f>'Протокол (-32)'!R26</f>
        <v/>
      </c>
      <c r="J59" s="229"/>
      <c r="K59" s="230"/>
      <c r="L59" s="242"/>
      <c r="M59" s="243"/>
      <c r="N59" s="242"/>
      <c r="O59" s="231"/>
      <c r="P59" s="231"/>
      <c r="Q59" s="231"/>
      <c r="R59" s="50" t="str">
        <f>IF(Q60="",Q60,VLOOKUP(Q60,'Списки участников'!A:K,6,FALSE))</f>
        <v/>
      </c>
      <c r="S59" s="6">
        <v>-48</v>
      </c>
      <c r="T59" s="7" t="str">
        <f>IF(AC9="","",IF(AC9=Z7,Z11,IF(AC9=Z11,Z7)))</f>
        <v/>
      </c>
      <c r="U59" s="203" t="str">
        <f>IF(T59="",T59,VLOOKUP(T59,'Списки участников'!A:K,12,FALSE))</f>
        <v/>
      </c>
      <c r="V59" s="10"/>
      <c r="W59" s="10"/>
      <c r="X59" s="10"/>
      <c r="Y59" s="10"/>
      <c r="Z59" s="10"/>
      <c r="AB59" s="10"/>
      <c r="AC59" s="10"/>
      <c r="AD59" s="10"/>
      <c r="AE59" s="10"/>
      <c r="AF59" s="10"/>
      <c r="AG59" s="10"/>
      <c r="AH59" s="10"/>
      <c r="AI59" s="10"/>
      <c r="AJ59" s="50" t="str">
        <f>IF(AI60="",AI60,VLOOKUP(AI60,'Списки участников'!A:K,6,FALSE))</f>
        <v/>
      </c>
      <c r="AK59" s="15"/>
      <c r="AL59" s="16"/>
      <c r="AM59" s="10"/>
      <c r="AN59" s="10"/>
      <c r="AO59" s="10"/>
      <c r="AP59" s="10"/>
      <c r="AQ59" s="69">
        <v>-84</v>
      </c>
      <c r="AR59" s="25" t="str">
        <f>IF(AR41="","",IF(AR41=AO40,AO42,IF(AR41=AO42,AO40)))</f>
        <v/>
      </c>
      <c r="AS59" s="206" t="str">
        <f>IF(AR59="",AR59,VLOOKUP(AR59,'Списки участников'!A:K,12,FALSE))</f>
        <v/>
      </c>
      <c r="AT59" s="46"/>
      <c r="AU59" s="21"/>
      <c r="AV59" s="257">
        <f>'Протокол (-32)'!R94</f>
        <v>0</v>
      </c>
      <c r="AW59" s="70"/>
      <c r="AX59" s="32"/>
      <c r="AY59" s="50" t="str">
        <f>IF(AX60="",AX60,VLOOKUP(AX60,'Списки участников'!A:K,6,FALSE))</f>
        <v/>
      </c>
      <c r="AZ59" s="10"/>
      <c r="BA59" s="10"/>
      <c r="BB59" s="10"/>
      <c r="BC59" s="11"/>
      <c r="BD59" s="10"/>
      <c r="BE59" s="9"/>
    </row>
    <row r="60" spans="1:57" ht="11.45" customHeight="1" x14ac:dyDescent="0.2">
      <c r="A60" s="217"/>
      <c r="B60" s="217"/>
      <c r="C60" s="287"/>
      <c r="D60" s="218">
        <v>14</v>
      </c>
      <c r="E60" s="219">
        <f>'Протокол (-32)'!F17</f>
        <v>0</v>
      </c>
      <c r="F60" s="239">
        <f>IF('Протокол (-32)'!F17="",E60,VLOOKUP(E60,'Списки участников'!A:K,12,FALSE))</f>
        <v>0</v>
      </c>
      <c r="G60" s="240"/>
      <c r="H60" s="241"/>
      <c r="I60" s="242"/>
      <c r="J60" s="243"/>
      <c r="K60" s="242"/>
      <c r="L60" s="242"/>
      <c r="M60" s="243"/>
      <c r="N60" s="242"/>
      <c r="O60" s="231"/>
      <c r="P60" s="231" t="s">
        <v>70</v>
      </c>
      <c r="Q60" s="268" t="str">
        <f>IF('Протокол (-32)'!F34="","",IF(Q38=N22,N54,IF(Q38=N54,N22)))</f>
        <v/>
      </c>
      <c r="R60" s="238" t="str">
        <f>IF(Q60="",Q60,VLOOKUP(Q60,'Списки участников'!A:K,12,FALSE))</f>
        <v/>
      </c>
      <c r="S60" s="17"/>
      <c r="T60" s="17"/>
      <c r="U60" s="287"/>
      <c r="V60" s="38" t="s">
        <v>78</v>
      </c>
      <c r="W60" s="18" t="str">
        <f>IF('Протокол (-32)'!F70="","",'Протокол (-32)'!F70)</f>
        <v/>
      </c>
      <c r="X60" s="203" t="str">
        <f>IF(W60="",W60,VLOOKUP(W60,'Списки участников'!A:K,12,FALSE))</f>
        <v/>
      </c>
      <c r="Y60" s="9"/>
      <c r="Z60" s="9"/>
      <c r="AA60" s="868" t="str">
        <f>CONCATENATE(M4+12," ","место")</f>
        <v>24 место</v>
      </c>
      <c r="AB60" s="10"/>
      <c r="AC60" s="10"/>
      <c r="AD60" s="10"/>
      <c r="AE60" s="10"/>
      <c r="AF60" s="10"/>
      <c r="AG60" s="10"/>
      <c r="AH60" s="80" t="s">
        <v>98</v>
      </c>
      <c r="AI60" s="81" t="str">
        <f>IF(AI56="","",IF(AI56=AF55,AF57,IF(AI56=AF57,AF55)))</f>
        <v/>
      </c>
      <c r="AJ60" s="267" t="str">
        <f>IF(AI60="",AI60,VLOOKUP(AI60,'Списки участников'!A:K,12,FALSE))</f>
        <v/>
      </c>
      <c r="AK60" s="15"/>
      <c r="AL60" s="16"/>
      <c r="AM60" s="10"/>
      <c r="AN60" s="10"/>
      <c r="AO60" s="10"/>
      <c r="AP60" s="10"/>
      <c r="AQ60" s="9"/>
      <c r="AR60" s="6"/>
      <c r="AS60" s="10"/>
      <c r="AT60" s="49"/>
      <c r="AU60" s="30"/>
      <c r="AV60" s="1260"/>
      <c r="AW60" s="1262">
        <v>93</v>
      </c>
      <c r="AX60" s="53" t="str">
        <f>IF('Протокол (-32)'!F96="","",'Протокол (-32)'!F96)</f>
        <v/>
      </c>
      <c r="AY60" s="238" t="str">
        <f>IF(AX60="",AX60,VLOOKUP(AX60,'Списки участников'!A:K,12,FALSE))</f>
        <v/>
      </c>
      <c r="AZ60" s="10"/>
      <c r="BA60" s="10"/>
      <c r="BB60" s="10"/>
      <c r="BC60" s="11"/>
      <c r="BD60" s="10"/>
      <c r="BE60" s="9"/>
    </row>
    <row r="61" spans="1:57" ht="11.45" customHeight="1" x14ac:dyDescent="0.2">
      <c r="A61" s="223">
        <v>28</v>
      </c>
      <c r="B61" s="224"/>
      <c r="C61" s="225">
        <f>IF(B61="",B61,VLOOKUP(B61,'Списки участников'!A:K,12,FALSE))</f>
        <v>0</v>
      </c>
      <c r="D61" s="226">
        <f>IF(B61="",B61,VLOOKUP(B61,'Списки участников'!A:K,6,FALSE))</f>
        <v>0</v>
      </c>
      <c r="E61" s="227"/>
      <c r="F61" s="231" t="str">
        <f>'Протокол (-32)'!R17</f>
        <v/>
      </c>
      <c r="G61" s="245"/>
      <c r="H61" s="245"/>
      <c r="I61" s="242"/>
      <c r="J61" s="243"/>
      <c r="K61" s="242"/>
      <c r="L61" s="242"/>
      <c r="M61" s="243"/>
      <c r="N61" s="242"/>
      <c r="O61" s="231"/>
      <c r="P61" s="231"/>
      <c r="Q61" s="231"/>
      <c r="R61" s="269"/>
      <c r="S61" s="24">
        <v>-49</v>
      </c>
      <c r="T61" s="25" t="str">
        <f>IF(AC17="","",IF(AC17=Z15,Z19,IF(AC17=Z19,Z15)))</f>
        <v/>
      </c>
      <c r="U61" s="222" t="str">
        <f>IF(T61="",T61,VLOOKUP(T61,'Списки участников'!A:K,12,FALSE))</f>
        <v/>
      </c>
      <c r="V61" s="41"/>
      <c r="W61" s="21"/>
      <c r="X61" s="21" t="str">
        <f>'Протокол (-32)'!R70</f>
        <v/>
      </c>
      <c r="Y61" s="22"/>
      <c r="Z61" s="30"/>
      <c r="AA61" s="50" t="str">
        <f>IF(Z62="",Z62,VLOOKUP(Z62,'Списки участников'!A:K,6,FALSE))</f>
        <v/>
      </c>
      <c r="AB61" s="10"/>
      <c r="AC61" s="10"/>
      <c r="AD61" s="10"/>
      <c r="AE61" s="10"/>
      <c r="AF61" s="10"/>
      <c r="AG61" s="10"/>
      <c r="AH61" s="10"/>
      <c r="AI61" s="10"/>
      <c r="AJ61" s="10"/>
      <c r="AK61" s="15"/>
      <c r="AL61" s="16"/>
      <c r="AM61" s="10"/>
      <c r="AN61" s="10"/>
      <c r="AO61" s="10"/>
      <c r="AP61" s="10"/>
      <c r="AQ61" s="9">
        <v>-85</v>
      </c>
      <c r="AR61" s="7" t="str">
        <f>IF(AR45="","",IF(AR45=AO44,AO46,IF(AR45=AO46,AO44)))</f>
        <v/>
      </c>
      <c r="AS61" s="8" t="str">
        <f>IF(AR61="",AR61,VLOOKUP(AR61,'Списки участников'!A:K,12,FALSE))</f>
        <v/>
      </c>
      <c r="AT61" s="49"/>
      <c r="AU61" s="30"/>
      <c r="AV61" s="1260"/>
      <c r="AW61" s="1262"/>
      <c r="AX61" s="54"/>
      <c r="AY61" s="191">
        <f>'Протокол (-32)'!R96</f>
        <v>0</v>
      </c>
      <c r="AZ61" s="10"/>
      <c r="BA61" s="10"/>
      <c r="BB61" s="10"/>
      <c r="BC61" s="11"/>
      <c r="BD61" s="10"/>
      <c r="BE61" s="9"/>
    </row>
    <row r="62" spans="1:57" ht="11.45" customHeight="1" x14ac:dyDescent="0.2">
      <c r="A62" s="208"/>
      <c r="B62" s="208"/>
      <c r="C62" s="213"/>
      <c r="D62" s="233"/>
      <c r="E62" s="231"/>
      <c r="F62" s="231"/>
      <c r="G62" s="245"/>
      <c r="H62" s="245"/>
      <c r="I62" s="1260"/>
      <c r="J62" s="1137">
        <v>28</v>
      </c>
      <c r="K62" s="281">
        <f>'Протокол (-32)'!F31</f>
        <v>0</v>
      </c>
      <c r="L62" s="239">
        <f>IF('Протокол (-32)'!F31="",K62,VLOOKUP(K62,'Списки участников'!A:K,12,FALSE))</f>
        <v>0</v>
      </c>
      <c r="M62" s="240"/>
      <c r="N62" s="241"/>
      <c r="O62" s="231"/>
      <c r="P62" s="231"/>
      <c r="Q62" s="231"/>
      <c r="R62" s="215"/>
      <c r="S62" s="6"/>
      <c r="T62" s="6"/>
      <c r="U62" s="10"/>
      <c r="V62" s="30"/>
      <c r="W62" s="30"/>
      <c r="X62" s="1260"/>
      <c r="Y62" s="1262">
        <v>69</v>
      </c>
      <c r="Z62" s="53" t="str">
        <f>IF('Протокол (-32)'!F72="","",'Протокол (-32)'!F72)</f>
        <v/>
      </c>
      <c r="AA62" s="238" t="str">
        <f>IF(Z62="",Z62,VLOOKUP(Z62,'Списки участников'!A:K,12,FALSE))</f>
        <v/>
      </c>
      <c r="AB62" s="10"/>
      <c r="AC62" s="10"/>
      <c r="AD62" s="10"/>
      <c r="AE62" s="10"/>
      <c r="AF62" s="10"/>
      <c r="AG62" s="10"/>
      <c r="AH62" s="10"/>
      <c r="AI62" s="10"/>
      <c r="AJ62" s="10"/>
      <c r="AK62" s="15"/>
      <c r="AL62" s="16"/>
      <c r="AM62" s="10"/>
      <c r="AN62" s="10"/>
      <c r="AO62" s="10"/>
      <c r="AP62" s="10"/>
      <c r="AQ62" s="63"/>
      <c r="AR62" s="17"/>
      <c r="AS62" s="287"/>
      <c r="AT62" s="251">
        <v>92</v>
      </c>
      <c r="AU62" s="45" t="str">
        <f>IF('Протокол (-32)'!F95="","",'Протокол (-32)'!F95)</f>
        <v/>
      </c>
      <c r="AV62" s="232" t="str">
        <f>IF(AU62="",AU62,VLOOKUP(AU62,'Списки участников'!A:K,12,FALSE))</f>
        <v/>
      </c>
      <c r="AW62" s="57"/>
      <c r="AX62" s="58"/>
      <c r="AY62" s="9"/>
      <c r="AZ62" s="10"/>
      <c r="BA62" s="10"/>
      <c r="BB62" s="10"/>
      <c r="BC62" s="11"/>
      <c r="BD62" s="10"/>
      <c r="BE62" s="9"/>
    </row>
    <row r="63" spans="1:57" ht="11.45" customHeight="1" x14ac:dyDescent="0.2">
      <c r="A63" s="208">
        <v>29</v>
      </c>
      <c r="B63" s="209"/>
      <c r="C63" s="235">
        <f>IF(B63="",B63,VLOOKUP(B63,'Списки участников'!A:K,12,FALSE))</f>
        <v>0</v>
      </c>
      <c r="D63" s="236">
        <f>IF(B63="",B63,VLOOKUP(B63,'Списки участников'!A:K,6,FALSE))</f>
        <v>0</v>
      </c>
      <c r="E63" s="212"/>
      <c r="F63" s="231"/>
      <c r="G63" s="231"/>
      <c r="H63" s="231"/>
      <c r="I63" s="1260"/>
      <c r="J63" s="1137"/>
      <c r="K63" s="237"/>
      <c r="L63" s="231" t="str">
        <f>'Протокол (-32)'!R31</f>
        <v/>
      </c>
      <c r="M63" s="245"/>
      <c r="N63" s="245"/>
      <c r="O63" s="231"/>
      <c r="P63" s="231"/>
      <c r="Q63" s="231"/>
      <c r="R63" s="231"/>
      <c r="S63" s="6">
        <v>-50</v>
      </c>
      <c r="T63" s="7" t="str">
        <f>IF(AC25="","",IF(AC25=Z23,Z27,IF(AC25=Z27,Z23)))</f>
        <v/>
      </c>
      <c r="U63" s="203" t="str">
        <f>IF(T63="",T63,VLOOKUP(T63,'Списки участников'!A:K,12,FALSE))</f>
        <v/>
      </c>
      <c r="V63" s="30"/>
      <c r="W63" s="30"/>
      <c r="X63" s="1260"/>
      <c r="Y63" s="1262"/>
      <c r="Z63" s="43"/>
      <c r="AA63" s="257" t="str">
        <f>'Протокол (-32)'!R72</f>
        <v/>
      </c>
      <c r="AB63" s="10"/>
      <c r="AC63" s="10"/>
      <c r="AD63" s="10"/>
      <c r="AE63" s="10"/>
      <c r="AF63" s="10"/>
      <c r="AG63" s="10"/>
      <c r="AH63" s="10"/>
      <c r="AI63" s="10"/>
      <c r="AJ63" s="10"/>
      <c r="AK63" s="15"/>
      <c r="AL63" s="16"/>
      <c r="AM63" s="10"/>
      <c r="AN63" s="10"/>
      <c r="AO63" s="10"/>
      <c r="AP63" s="10"/>
      <c r="AQ63" s="69">
        <v>-86</v>
      </c>
      <c r="AR63" s="25" t="str">
        <f>IF(AR49="","",IF(AR49=AO48,AO50,IF(AR49=AO50,AO48)))</f>
        <v/>
      </c>
      <c r="AS63" s="206" t="str">
        <f>IF(AR63="",AR63,VLOOKUP(AR63,'Списки участников'!A:K,12,FALSE))</f>
        <v/>
      </c>
      <c r="AT63" s="46"/>
      <c r="AU63" s="10"/>
      <c r="AV63" s="190">
        <f>'Протокол (-32)'!R95</f>
        <v>0</v>
      </c>
      <c r="AW63" s="71"/>
      <c r="AX63" s="9"/>
      <c r="AY63" s="868" t="str">
        <f>CONCATENATE(M4+29," ","место")</f>
        <v>41 место</v>
      </c>
      <c r="AZ63" s="10"/>
      <c r="BA63" s="10"/>
      <c r="BB63" s="10"/>
      <c r="BC63" s="11"/>
      <c r="BD63" s="10"/>
      <c r="BE63" s="9"/>
    </row>
    <row r="64" spans="1:57" ht="11.45" customHeight="1" x14ac:dyDescent="0.2">
      <c r="A64" s="217"/>
      <c r="B64" s="217"/>
      <c r="C64" s="287"/>
      <c r="D64" s="218">
        <v>15</v>
      </c>
      <c r="E64" s="279">
        <f>'Протокол (-32)'!F18</f>
        <v>0</v>
      </c>
      <c r="F64" s="210">
        <f>IF('Протокол (-32)'!F18="",E64,VLOOKUP(E64,'Списки участников'!A:K,12,FALSE))</f>
        <v>0</v>
      </c>
      <c r="G64" s="220"/>
      <c r="H64" s="220"/>
      <c r="I64" s="242"/>
      <c r="J64" s="243"/>
      <c r="K64" s="242"/>
      <c r="L64" s="231"/>
      <c r="M64" s="231"/>
      <c r="N64" s="231"/>
      <c r="O64" s="231"/>
      <c r="P64" s="231"/>
      <c r="Q64" s="231"/>
      <c r="R64" s="215"/>
      <c r="S64" s="17"/>
      <c r="T64" s="17"/>
      <c r="U64" s="287"/>
      <c r="V64" s="38" t="s">
        <v>79</v>
      </c>
      <c r="W64" s="45" t="str">
        <f>IF('Протокол (-32)'!F71="","",'Протокол (-32)'!F71)</f>
        <v/>
      </c>
      <c r="X64" s="222" t="str">
        <f>IF(W64="",W64,VLOOKUP(W64,'Списки участников'!A:K,12,FALSE))</f>
        <v/>
      </c>
      <c r="Y64" s="78"/>
      <c r="Z64" s="32"/>
      <c r="AA64" s="9"/>
      <c r="AB64" s="10"/>
      <c r="AC64" s="10"/>
      <c r="AD64" s="10"/>
      <c r="AE64" s="10"/>
      <c r="AF64" s="10"/>
      <c r="AG64" s="10"/>
      <c r="AH64" s="10"/>
      <c r="AI64" s="10"/>
      <c r="AJ64" s="10"/>
      <c r="AK64" s="15"/>
      <c r="AL64" s="16"/>
      <c r="AM64" s="10"/>
      <c r="AN64" s="10"/>
      <c r="AO64" s="10"/>
      <c r="AP64" s="10"/>
      <c r="AQ64" s="9"/>
      <c r="AR64" s="10"/>
      <c r="AS64" s="10"/>
      <c r="AT64" s="11"/>
      <c r="AU64" s="10"/>
      <c r="AV64" s="10"/>
      <c r="AW64" s="11"/>
      <c r="AX64" s="10"/>
      <c r="AY64" s="50" t="str">
        <f>IF(AX65="",AX65,VLOOKUP(AX65,'Списки участников'!A:K,6,FALSE))</f>
        <v/>
      </c>
      <c r="AZ64" s="10"/>
      <c r="BA64" s="10"/>
      <c r="BB64" s="10"/>
      <c r="BC64" s="11"/>
      <c r="BD64" s="10"/>
      <c r="BE64" s="9"/>
    </row>
    <row r="65" spans="1:57" ht="11.45" customHeight="1" x14ac:dyDescent="0.2">
      <c r="A65" s="223">
        <v>30</v>
      </c>
      <c r="B65" s="224"/>
      <c r="C65" s="225">
        <f>IF(B65="",B65,VLOOKUP(B65,'Списки участников'!A:K,12,FALSE))</f>
        <v>0</v>
      </c>
      <c r="D65" s="226">
        <f>IF(B65="",B65,VLOOKUP(B65,'Списки участников'!A:K,6,FALSE))</f>
        <v>0</v>
      </c>
      <c r="E65" s="227"/>
      <c r="F65" s="277" t="str">
        <f>'Протокол (-32)'!R18</f>
        <v/>
      </c>
      <c r="G65" s="229"/>
      <c r="H65" s="230"/>
      <c r="I65" s="242"/>
      <c r="J65" s="243"/>
      <c r="K65" s="242"/>
      <c r="L65" s="231"/>
      <c r="M65" s="231"/>
      <c r="N65" s="231"/>
      <c r="O65" s="231"/>
      <c r="P65" s="231"/>
      <c r="Q65" s="231"/>
      <c r="R65" s="215"/>
      <c r="S65" s="24">
        <v>-51</v>
      </c>
      <c r="T65" s="25" t="str">
        <f>IF(AC33="","",IF(AC33=Z31,Z35,IF(AC33=Z35,Z31)))</f>
        <v/>
      </c>
      <c r="U65" s="222" t="str">
        <f>IF(T65="",T65,VLOOKUP(T65,'Списки участников'!A:K,12,FALSE))</f>
        <v/>
      </c>
      <c r="V65" s="41"/>
      <c r="W65" s="10"/>
      <c r="X65" s="192" t="str">
        <f>'Протокол (-32)'!R71</f>
        <v/>
      </c>
      <c r="Y65" s="9"/>
      <c r="Z65" s="9"/>
      <c r="AA65" s="868" t="str">
        <f>CONCATENATE(M4+13," ","место")</f>
        <v>25 место</v>
      </c>
      <c r="AB65" s="10"/>
      <c r="AC65" s="10"/>
      <c r="AD65" s="10"/>
      <c r="AE65" s="10"/>
      <c r="AF65" s="10"/>
      <c r="AG65" s="10"/>
      <c r="AH65" s="10"/>
      <c r="AI65" s="10"/>
      <c r="AJ65" s="10"/>
      <c r="AK65" s="15"/>
      <c r="AL65" s="16"/>
      <c r="AM65" s="10"/>
      <c r="AN65" s="10"/>
      <c r="AO65" s="10"/>
      <c r="AP65" s="10"/>
      <c r="AQ65" s="9"/>
      <c r="AR65" s="10"/>
      <c r="AS65" s="10"/>
      <c r="AT65" s="11"/>
      <c r="AU65" s="10"/>
      <c r="AV65" s="10"/>
      <c r="AW65" s="61">
        <v>-93</v>
      </c>
      <c r="AX65" s="62" t="str">
        <f>IF(AX60="","",IF(AX60=AU58,AU62,IF(AX60=AU62,AU58)))</f>
        <v/>
      </c>
      <c r="AY65" s="253" t="str">
        <f>IF(AX65="",AX65,VLOOKUP(AX65,'Списки участников'!A:K,12,FALSE))</f>
        <v/>
      </c>
      <c r="AZ65" s="10"/>
      <c r="BA65" s="10"/>
      <c r="BB65" s="10"/>
      <c r="BC65" s="11"/>
      <c r="BD65" s="10"/>
      <c r="BE65" s="868" t="str">
        <f>CONCATENATE(M4+30," ","место")</f>
        <v>42 место</v>
      </c>
    </row>
    <row r="66" spans="1:57" ht="11.45" customHeight="1" x14ac:dyDescent="0.2">
      <c r="A66" s="208"/>
      <c r="B66" s="208"/>
      <c r="C66" s="213"/>
      <c r="D66" s="233"/>
      <c r="E66" s="231"/>
      <c r="F66" s="1260"/>
      <c r="G66" s="1137" t="s">
        <v>9</v>
      </c>
      <c r="H66" s="281">
        <f>'Протокол (-32)'!F27</f>
        <v>0</v>
      </c>
      <c r="I66" s="239">
        <f>IF('Протокол (-32)'!F27="",H66,VLOOKUP(H66,'Списки участников'!A:K,12,FALSE))</f>
        <v>0</v>
      </c>
      <c r="J66" s="240"/>
      <c r="K66" s="241"/>
      <c r="L66" s="231"/>
      <c r="M66" s="231"/>
      <c r="N66" s="231"/>
      <c r="O66" s="242"/>
      <c r="P66" s="242"/>
      <c r="Q66" s="242"/>
      <c r="R66" s="270"/>
      <c r="S66" s="10"/>
      <c r="T66" s="10"/>
      <c r="U66" s="10"/>
      <c r="V66" s="10"/>
      <c r="W66" s="10"/>
      <c r="X66" s="10"/>
      <c r="Y66" s="10"/>
      <c r="Z66" s="10"/>
      <c r="AA66" s="50" t="str">
        <f>IF(Z67="",Z67,VLOOKUP(Z67,'Списки участников'!A:K,6,FALSE))</f>
        <v/>
      </c>
      <c r="AB66" s="10"/>
      <c r="AC66" s="10"/>
      <c r="AD66" s="10"/>
      <c r="AE66" s="10"/>
      <c r="AF66" s="10"/>
      <c r="AG66" s="10"/>
      <c r="AH66" s="10"/>
      <c r="AI66" s="10"/>
      <c r="AJ66" s="868" t="str">
        <f>CONCATENATE(M4+14," ","место")</f>
        <v>26 место</v>
      </c>
      <c r="AK66" s="15"/>
      <c r="AL66" s="16"/>
      <c r="AM66" s="10"/>
      <c r="AN66" s="10"/>
      <c r="AO66" s="10"/>
      <c r="AP66" s="10"/>
      <c r="AQ66" s="9"/>
      <c r="AR66" s="10"/>
      <c r="AS66" s="10"/>
      <c r="AT66" s="11"/>
      <c r="AU66" s="10"/>
      <c r="AV66" s="10"/>
      <c r="AW66" s="11"/>
      <c r="AX66" s="10"/>
      <c r="AY66" s="10"/>
      <c r="AZ66" s="6">
        <v>-91</v>
      </c>
      <c r="BA66" s="7" t="str">
        <f>IF(AU58="","",IF(AU58=AR57,AR59,IF(AU58=AR59,AR57)))</f>
        <v/>
      </c>
      <c r="BB66" s="8" t="str">
        <f>IF(BA66="",BA66,VLOOKUP(BA66,'Списки участников'!A:K,12,FALSE))</f>
        <v/>
      </c>
      <c r="BC66" s="73"/>
      <c r="BD66" s="8"/>
      <c r="BE66" s="50" t="str">
        <f>IF(BD67="",BD67,VLOOKUP(BD67,'Списки участников'!A:K,6,FALSE))</f>
        <v/>
      </c>
    </row>
    <row r="67" spans="1:57" ht="11.45" customHeight="1" x14ac:dyDescent="0.2">
      <c r="A67" s="208">
        <v>31</v>
      </c>
      <c r="B67" s="209"/>
      <c r="C67" s="235">
        <f>IF(B67="",B67,VLOOKUP(B67,'Списки участников'!A:K,12,FALSE))</f>
        <v>0</v>
      </c>
      <c r="D67" s="236">
        <f>IF(B67="",B67,VLOOKUP(B67,'Списки участников'!A:K,6,FALSE))</f>
        <v>0</v>
      </c>
      <c r="E67" s="212"/>
      <c r="F67" s="1260"/>
      <c r="G67" s="1137"/>
      <c r="H67" s="237"/>
      <c r="I67" s="231" t="str">
        <f>'Протокол (-32)'!R27</f>
        <v/>
      </c>
      <c r="J67" s="245"/>
      <c r="K67" s="245"/>
      <c r="L67" s="231"/>
      <c r="M67" s="231"/>
      <c r="N67" s="231"/>
      <c r="O67" s="242"/>
      <c r="P67" s="242"/>
      <c r="Q67" s="242"/>
      <c r="R67" s="270"/>
      <c r="S67" s="10"/>
      <c r="T67" s="10"/>
      <c r="U67" s="10"/>
      <c r="V67" s="10"/>
      <c r="W67" s="10"/>
      <c r="X67" s="10"/>
      <c r="Y67" s="61">
        <v>-69</v>
      </c>
      <c r="Z67" s="62" t="str">
        <f>IF(Z62="","",IF(Z62=W60,W64,IF(Z62=W64,W60)))</f>
        <v/>
      </c>
      <c r="AA67" s="253" t="str">
        <f>IF(Z67="",Z67,VLOOKUP(Z67,'Списки участников'!A:K,12,FALSE))</f>
        <v/>
      </c>
      <c r="AB67" s="10"/>
      <c r="AC67" s="10"/>
      <c r="AD67" s="10"/>
      <c r="AE67" s="6">
        <v>-67</v>
      </c>
      <c r="AF67" s="7" t="str">
        <f>IF(W60="","",IF(W60=T59,T61,IF(W60=T61,T59)))</f>
        <v/>
      </c>
      <c r="AG67" s="203" t="str">
        <f>IF(AF67="",AF67,VLOOKUP(AF67,'Списки участников'!A:K,12,FALSE))</f>
        <v/>
      </c>
      <c r="AH67" s="10"/>
      <c r="AI67" s="10"/>
      <c r="AJ67" s="50" t="str">
        <f>IF(AI68="",AI68,VLOOKUP(AI68,'Списки участников'!A:K,6,FALSE))</f>
        <v/>
      </c>
      <c r="AK67" s="15"/>
      <c r="AL67" s="16"/>
      <c r="AM67" s="10"/>
      <c r="AN67" s="10"/>
      <c r="AO67" s="10"/>
      <c r="AP67" s="10"/>
      <c r="AQ67" s="9"/>
      <c r="AR67" s="10"/>
      <c r="AS67" s="10"/>
      <c r="AT67" s="11"/>
      <c r="AU67" s="10"/>
      <c r="AV67" s="10"/>
      <c r="AW67" s="11"/>
      <c r="AX67" s="10"/>
      <c r="AY67" s="10"/>
      <c r="AZ67" s="17"/>
      <c r="BA67" s="17"/>
      <c r="BB67" s="287"/>
      <c r="BC67" s="216">
        <v>94</v>
      </c>
      <c r="BD67" s="28" t="str">
        <f>IF('Протокол (-32)'!F97="","",'Протокол (-32)'!F97)</f>
        <v/>
      </c>
      <c r="BE67" s="238" t="str">
        <f>IF(BD67="",BD67,VLOOKUP(BD67,'Списки участников'!A:K,12,FALSE))</f>
        <v/>
      </c>
    </row>
    <row r="68" spans="1:57" ht="11.45" customHeight="1" x14ac:dyDescent="0.2">
      <c r="A68" s="217"/>
      <c r="B68" s="217"/>
      <c r="C68" s="287"/>
      <c r="D68" s="218">
        <v>16</v>
      </c>
      <c r="E68" s="279">
        <f>'Протокол (-32)'!F19</f>
        <v>0</v>
      </c>
      <c r="F68" s="239">
        <f>IF('Протокол (-32)'!F19="",E68,VLOOKUP(E68,'Списки участников'!A:K,12,FALSE))</f>
        <v>0</v>
      </c>
      <c r="G68" s="240"/>
      <c r="H68" s="241"/>
      <c r="I68" s="231"/>
      <c r="J68" s="245"/>
      <c r="K68" s="245"/>
      <c r="L68" s="231"/>
      <c r="M68" s="231"/>
      <c r="N68" s="231"/>
      <c r="O68" s="231"/>
      <c r="P68" s="231"/>
      <c r="Q68" s="231"/>
      <c r="R68" s="215"/>
      <c r="S68" s="76"/>
      <c r="T68" s="10"/>
      <c r="U68" s="76"/>
      <c r="V68" s="76"/>
      <c r="W68" s="10"/>
      <c r="X68" s="76"/>
      <c r="Y68" s="10"/>
      <c r="Z68" s="10"/>
      <c r="AA68" s="76"/>
      <c r="AB68" s="10"/>
      <c r="AC68" s="10"/>
      <c r="AD68" s="10"/>
      <c r="AE68" s="17"/>
      <c r="AF68" s="17"/>
      <c r="AG68" s="287"/>
      <c r="AH68" s="22" t="s">
        <v>81</v>
      </c>
      <c r="AI68" s="18" t="str">
        <f>IF('Протокол (-32)'!F73="","",'Протокол (-32)'!F73)</f>
        <v/>
      </c>
      <c r="AJ68" s="238" t="str">
        <f>IF(AI68="",AI68,VLOOKUP(AI68,'Списки участников'!A:K,12,FALSE))</f>
        <v/>
      </c>
      <c r="AK68" s="15"/>
      <c r="AL68" s="16"/>
      <c r="AM68" s="10"/>
      <c r="AN68" s="10"/>
      <c r="AO68" s="10"/>
      <c r="AP68" s="76"/>
      <c r="AQ68" s="82"/>
      <c r="AR68" s="76"/>
      <c r="AS68" s="76"/>
      <c r="AT68" s="11"/>
      <c r="AU68" s="10"/>
      <c r="AV68" s="10"/>
      <c r="AW68" s="11"/>
      <c r="AX68" s="10"/>
      <c r="AY68" s="10"/>
      <c r="AZ68" s="24">
        <v>-92</v>
      </c>
      <c r="BA68" s="25" t="str">
        <f>IF(AU62="","",IF(AU62=AR61,AR63,IF(AU62=AR63,AR61)))</f>
        <v/>
      </c>
      <c r="BB68" s="206" t="str">
        <f>IF(BA68="",BA68,VLOOKUP(BA68,'Списки участников'!A:K,12,FALSE))</f>
        <v/>
      </c>
      <c r="BC68" s="65"/>
      <c r="BD68" s="74"/>
      <c r="BE68" s="191">
        <f>'Протокол (-32)'!R97</f>
        <v>0</v>
      </c>
    </row>
    <row r="69" spans="1:57" ht="11.45" customHeight="1" x14ac:dyDescent="0.2">
      <c r="A69" s="223">
        <v>32</v>
      </c>
      <c r="B69" s="224"/>
      <c r="C69" s="225">
        <f>IF(B69="",B69,VLOOKUP(B69,'Списки участников'!A:K,12,FALSE))</f>
        <v>0</v>
      </c>
      <c r="D69" s="226">
        <f>IF(B69="",B69,VLOOKUP(B69,'Списки участников'!A:K,6,FALSE))</f>
        <v>0</v>
      </c>
      <c r="E69" s="227"/>
      <c r="F69" s="231">
        <f>'Протокол (-32)'!R19</f>
        <v>0</v>
      </c>
      <c r="G69" s="245"/>
      <c r="H69" s="245"/>
      <c r="I69" s="231"/>
      <c r="J69" s="231"/>
      <c r="K69" s="231"/>
      <c r="L69" s="242"/>
      <c r="M69" s="242"/>
      <c r="N69" s="242"/>
      <c r="O69" s="242"/>
      <c r="P69" s="242"/>
      <c r="Q69" s="242"/>
      <c r="R69" s="21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24">
        <v>-68</v>
      </c>
      <c r="AF69" s="25" t="str">
        <f>IF(W64="","",IF(W64=T63,T65,IF(W64=T65,T63)))</f>
        <v/>
      </c>
      <c r="AG69" s="222" t="str">
        <f>IF(AF69="",AF69,VLOOKUP(AF69,'Списки участников'!A:K,12,FALSE))</f>
        <v/>
      </c>
      <c r="AH69" s="78"/>
      <c r="AI69" s="21"/>
      <c r="AJ69" s="191" t="str">
        <f>'Протокол (-32)'!R73</f>
        <v/>
      </c>
      <c r="AK69" s="15"/>
      <c r="AL69" s="16"/>
      <c r="AM69" s="10"/>
      <c r="AN69" s="10"/>
      <c r="AO69" s="10"/>
      <c r="AP69" s="713" t="s">
        <v>1037</v>
      </c>
      <c r="AQ69" s="704"/>
      <c r="AR69" s="705"/>
      <c r="AS69" s="705"/>
      <c r="AT69" s="706"/>
      <c r="AU69" s="707"/>
      <c r="AV69" s="708" t="str">
        <f>'Списки участников'!H47</f>
        <v>Винокуров А.К</v>
      </c>
      <c r="AW69" s="11"/>
      <c r="AX69" s="10"/>
      <c r="AY69" s="10"/>
      <c r="AZ69" s="10"/>
      <c r="BA69" s="10"/>
      <c r="BB69" s="10"/>
      <c r="BC69" s="83"/>
      <c r="BD69" s="84"/>
      <c r="BE69" s="868" t="str">
        <f>CONCATENATE(M4+31," ","место")</f>
        <v>43 место</v>
      </c>
    </row>
    <row r="70" spans="1:57" ht="11.45" customHeight="1" x14ac:dyDescent="0.2">
      <c r="A70" s="271"/>
      <c r="B70" s="271"/>
      <c r="C70" s="270"/>
      <c r="D70" s="272"/>
      <c r="E70" s="273"/>
      <c r="F70" s="273"/>
      <c r="G70" s="274"/>
      <c r="H70" s="274"/>
      <c r="I70" s="274"/>
      <c r="J70" s="274"/>
      <c r="K70" s="274"/>
      <c r="L70" s="273"/>
      <c r="M70" s="273"/>
      <c r="N70" s="273"/>
      <c r="O70" s="273"/>
      <c r="P70" s="273"/>
      <c r="Q70" s="273"/>
      <c r="R70" s="21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868" t="str">
        <f>CONCATENATE(M4+15," ","место")</f>
        <v>27 место</v>
      </c>
      <c r="AK70" s="15"/>
      <c r="AL70" s="16"/>
      <c r="AM70" s="10"/>
      <c r="AN70" s="10"/>
      <c r="AO70" s="10"/>
      <c r="AP70" s="714"/>
      <c r="AQ70" s="704"/>
      <c r="AR70" s="705"/>
      <c r="AS70" s="705"/>
      <c r="AT70" s="706"/>
      <c r="AU70" s="707"/>
      <c r="AV70" s="708"/>
      <c r="AW70" s="11"/>
      <c r="AX70" s="10"/>
      <c r="AY70" s="10"/>
      <c r="AZ70" s="85"/>
      <c r="BA70" s="85"/>
      <c r="BB70" s="85"/>
      <c r="BC70" s="11"/>
      <c r="BD70" s="10"/>
      <c r="BE70" s="50" t="str">
        <f>IF(BD71="",BD71,VLOOKUP(BD71,'Списки участников'!A:K,6,FALSE))</f>
        <v/>
      </c>
    </row>
    <row r="71" spans="1:57" ht="11.45" customHeight="1" x14ac:dyDescent="0.2"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50" t="str">
        <f>IF(AI72="",AI72,VLOOKUP(AI72,'Списки участников'!A:K,6,FALSE))</f>
        <v/>
      </c>
      <c r="AK71" s="15"/>
      <c r="AL71" s="16"/>
      <c r="AM71" s="10"/>
      <c r="AN71" s="85"/>
      <c r="AO71" s="85"/>
      <c r="AP71" s="713" t="s">
        <v>1038</v>
      </c>
      <c r="AQ71" s="709"/>
      <c r="AR71" s="710"/>
      <c r="AS71" s="710"/>
      <c r="AT71" s="711"/>
      <c r="AU71" s="712"/>
      <c r="AV71" s="708" t="str">
        <f>'Списки участников'!H48</f>
        <v>Брусин С.Б., Кашулина А.И.</v>
      </c>
      <c r="AW71" s="86"/>
      <c r="AX71" s="85"/>
      <c r="AY71" s="85"/>
      <c r="BC71" s="61">
        <v>-94</v>
      </c>
      <c r="BD71" s="62" t="str">
        <f>IF(BD67="","",IF(BD67=BA66,BA68,IF(BD67=BA68,BA66)))</f>
        <v/>
      </c>
      <c r="BE71" s="253" t="str">
        <f>IF(BD71="",BD71,VLOOKUP(BD71,'Списки участников'!A:K,12,FALSE))</f>
        <v/>
      </c>
    </row>
    <row r="72" spans="1:57" x14ac:dyDescent="0.2"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7">
        <v>-70</v>
      </c>
      <c r="AI72" s="81" t="str">
        <f>IF(AI68="","",IF(AI68=AF67,AF69,IF(AI68=AF69,AF67)))</f>
        <v/>
      </c>
      <c r="AJ72" s="253" t="str">
        <f>IF(AI72="",AI72,VLOOKUP(AI72,'Списки участников'!A:K,12,FALSE))</f>
        <v/>
      </c>
      <c r="AK72" s="15"/>
      <c r="AL72" s="16"/>
      <c r="AM72" s="85"/>
    </row>
  </sheetData>
  <mergeCells count="82">
    <mergeCell ref="F66:F67"/>
    <mergeCell ref="G66:G67"/>
    <mergeCell ref="F58:F59"/>
    <mergeCell ref="G58:G59"/>
    <mergeCell ref="AV60:AV61"/>
    <mergeCell ref="AW60:AW61"/>
    <mergeCell ref="I62:I63"/>
    <mergeCell ref="J62:J63"/>
    <mergeCell ref="X62:X63"/>
    <mergeCell ref="Y62:Y63"/>
    <mergeCell ref="F50:F51"/>
    <mergeCell ref="G50:G51"/>
    <mergeCell ref="X50:X51"/>
    <mergeCell ref="Y50:Y51"/>
    <mergeCell ref="L54:L55"/>
    <mergeCell ref="M54:M55"/>
    <mergeCell ref="F42:F43"/>
    <mergeCell ref="G42:G43"/>
    <mergeCell ref="AV43:AV44"/>
    <mergeCell ref="AW43:AW44"/>
    <mergeCell ref="I46:I47"/>
    <mergeCell ref="J46:J47"/>
    <mergeCell ref="AS47:AS48"/>
    <mergeCell ref="AT47:AT48"/>
    <mergeCell ref="F34:F35"/>
    <mergeCell ref="G34:G35"/>
    <mergeCell ref="O38:O39"/>
    <mergeCell ref="P38:P39"/>
    <mergeCell ref="AS39:AS40"/>
    <mergeCell ref="AT39:AT40"/>
    <mergeCell ref="I30:I31"/>
    <mergeCell ref="J30:J31"/>
    <mergeCell ref="AD31:AD32"/>
    <mergeCell ref="AE31:AE32"/>
    <mergeCell ref="AA33:AA34"/>
    <mergeCell ref="AB33:AB34"/>
    <mergeCell ref="F26:F27"/>
    <mergeCell ref="G26:G27"/>
    <mergeCell ref="AG27:AG28"/>
    <mergeCell ref="AH27:AH28"/>
    <mergeCell ref="AV28:AV29"/>
    <mergeCell ref="AW28:AW29"/>
    <mergeCell ref="L22:L23"/>
    <mergeCell ref="M22:M23"/>
    <mergeCell ref="AD23:AD24"/>
    <mergeCell ref="AE23:AE24"/>
    <mergeCell ref="AJ24:AJ25"/>
    <mergeCell ref="AK24:AK25"/>
    <mergeCell ref="AA25:AA26"/>
    <mergeCell ref="AB25:AB26"/>
    <mergeCell ref="F18:F19"/>
    <mergeCell ref="G18:G19"/>
    <mergeCell ref="AM18:AM19"/>
    <mergeCell ref="I14:I15"/>
    <mergeCell ref="J14:J15"/>
    <mergeCell ref="AD15:AD16"/>
    <mergeCell ref="AE15:AE16"/>
    <mergeCell ref="AV11:AV12"/>
    <mergeCell ref="AW11:AW12"/>
    <mergeCell ref="AT15:AT16"/>
    <mergeCell ref="AA17:AA18"/>
    <mergeCell ref="AB17:AB18"/>
    <mergeCell ref="AS15:AS16"/>
    <mergeCell ref="A3:D3"/>
    <mergeCell ref="AD7:AD8"/>
    <mergeCell ref="AE7:AE8"/>
    <mergeCell ref="AS7:AS8"/>
    <mergeCell ref="AT7:AT8"/>
    <mergeCell ref="AJ8:AJ9"/>
    <mergeCell ref="AK8:AK9"/>
    <mergeCell ref="AA9:AA10"/>
    <mergeCell ref="AB9:AB10"/>
    <mergeCell ref="F10:F11"/>
    <mergeCell ref="G10:G11"/>
    <mergeCell ref="AG11:AG12"/>
    <mergeCell ref="AH11:AH12"/>
    <mergeCell ref="A1:R1"/>
    <mergeCell ref="S1:AM1"/>
    <mergeCell ref="AN1:BE1"/>
    <mergeCell ref="A2:R2"/>
    <mergeCell ref="S2:AM2"/>
    <mergeCell ref="AN2:BE2"/>
  </mergeCells>
  <printOptions horizontalCentered="1"/>
  <pageMargins left="0.19685039370078741" right="0.19685039370078741" top="0.19685039370078741" bottom="0.19685039370078741" header="0.19685039370078741" footer="0.51181102362204722"/>
  <pageSetup paperSize="9" scale="84" fitToWidth="3" orientation="portrait" r:id="rId1"/>
  <headerFooter alignWithMargins="0"/>
  <colBreaks count="2" manualBreakCount="2">
    <brk id="18" max="1048575" man="1"/>
    <brk id="39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T72"/>
  <sheetViews>
    <sheetView showZeros="0" view="pageBreakPreview" zoomScale="120" zoomScaleNormal="100" zoomScaleSheetLayoutView="120" workbookViewId="0">
      <selection activeCell="D2" sqref="D2:P2"/>
    </sheetView>
  </sheetViews>
  <sheetFormatPr defaultRowHeight="12.75" outlineLevelCol="1" x14ac:dyDescent="0.2"/>
  <cols>
    <col min="1" max="1" width="2.83203125" style="202" customWidth="1"/>
    <col min="2" max="2" width="5.5" style="202" hidden="1" customWidth="1" outlineLevel="1"/>
    <col min="3" max="3" width="20.6640625" style="202" customWidth="1" collapsed="1"/>
    <col min="4" max="4" width="5.1640625" style="205" customWidth="1"/>
    <col min="5" max="5" width="5.5" style="202" hidden="1" customWidth="1" outlineLevel="1"/>
    <col min="6" max="6" width="15" style="202" customWidth="1" collapsed="1"/>
    <col min="7" max="7" width="3" style="202" customWidth="1"/>
    <col min="8" max="8" width="5.5" style="202" hidden="1" customWidth="1" outlineLevel="1"/>
    <col min="9" max="9" width="14.83203125" style="202" customWidth="1" collapsed="1"/>
    <col min="10" max="10" width="2.83203125" style="202" customWidth="1"/>
    <col min="11" max="11" width="5.5" style="202" hidden="1" customWidth="1" outlineLevel="1"/>
    <col min="12" max="12" width="14.6640625" style="202" customWidth="1" collapsed="1"/>
    <col min="13" max="13" width="2.83203125" style="202" customWidth="1"/>
    <col min="14" max="14" width="5.5" style="202" hidden="1" customWidth="1" outlineLevel="1"/>
    <col min="15" max="15" width="17" style="202" customWidth="1" collapsed="1"/>
    <col min="16" max="16" width="2.83203125" style="202" customWidth="1"/>
    <col min="17" max="17" width="4.6640625" style="202" hidden="1" customWidth="1" outlineLevel="1"/>
    <col min="18" max="18" width="20.33203125" style="202" customWidth="1" collapsed="1"/>
    <col min="19" max="19" width="3.83203125" style="202" customWidth="1"/>
    <col min="20" max="20" width="5.5" style="202" hidden="1" customWidth="1" outlineLevel="1"/>
    <col min="21" max="21" width="16.1640625" style="202" customWidth="1" collapsed="1"/>
    <col min="22" max="22" width="3.83203125" style="202" customWidth="1"/>
    <col min="23" max="23" width="5.5" style="202" hidden="1" customWidth="1" outlineLevel="1"/>
    <col min="24" max="24" width="23.83203125" style="202" customWidth="1" collapsed="1"/>
    <col min="25" max="25" width="3.6640625" style="202" customWidth="1"/>
    <col min="26" max="26" width="5.1640625" style="202" hidden="1" customWidth="1" outlineLevel="1"/>
    <col min="27" max="27" width="23.1640625" style="202" customWidth="1" collapsed="1"/>
    <col min="28" max="28" width="3.6640625" style="202" customWidth="1"/>
    <col min="29" max="29" width="5.1640625" style="202" hidden="1" customWidth="1" outlineLevel="1"/>
    <col min="30" max="30" width="29.83203125" style="202" customWidth="1" collapsed="1"/>
    <col min="31" max="31" width="3.83203125" style="202" customWidth="1"/>
    <col min="32" max="32" width="7.1640625" style="202" hidden="1" customWidth="1" outlineLevel="1"/>
    <col min="33" max="33" width="16.1640625" style="202" customWidth="1" collapsed="1"/>
    <col min="34" max="34" width="3.83203125" style="202" customWidth="1"/>
    <col min="35" max="35" width="5.6640625" style="202" hidden="1" customWidth="1" outlineLevel="1"/>
    <col min="36" max="36" width="16.1640625" style="202" customWidth="1" collapsed="1"/>
    <col min="37" max="37" width="3.6640625" style="202" customWidth="1"/>
    <col min="38" max="38" width="5.6640625" style="202" hidden="1" customWidth="1" outlineLevel="1"/>
    <col min="39" max="39" width="16.1640625" style="202" customWidth="1" collapsed="1"/>
    <col min="40" max="40" width="3.6640625" style="202" customWidth="1"/>
    <col min="41" max="41" width="5.6640625" style="202" hidden="1" customWidth="1" outlineLevel="1"/>
    <col min="42" max="42" width="16.1640625" style="202" customWidth="1" collapsed="1"/>
    <col min="43" max="43" width="3.6640625" style="202" customWidth="1"/>
    <col min="44" max="44" width="5.5" style="202" hidden="1" customWidth="1" outlineLevel="1"/>
    <col min="45" max="45" width="22.83203125" style="202" customWidth="1" collapsed="1"/>
    <col min="46" max="16384" width="9.33203125" style="202"/>
  </cols>
  <sheetData>
    <row r="1" spans="1:45" ht="15" customHeight="1" x14ac:dyDescent="0.2">
      <c r="A1" s="1134" t="str">
        <f>'Списки участников'!A1</f>
        <v xml:space="preserve">X Спартакиада
среди предприятий Нижегородской области ФСК "Профсоюзов",
под девизом "Будь спортивным - будь успешным!"
</v>
      </c>
      <c r="B1" s="1134"/>
      <c r="C1" s="1134"/>
      <c r="D1" s="1134"/>
      <c r="E1" s="1134"/>
      <c r="F1" s="1134"/>
      <c r="G1" s="1134"/>
      <c r="H1" s="1134"/>
      <c r="I1" s="1134"/>
      <c r="J1" s="1134"/>
      <c r="K1" s="1134"/>
      <c r="L1" s="1134"/>
      <c r="M1" s="1134"/>
      <c r="N1" s="1134"/>
      <c r="O1" s="1134"/>
      <c r="P1" s="1134"/>
      <c r="Q1" s="1134"/>
      <c r="R1" s="1134"/>
      <c r="S1" s="1134" t="str">
        <f>A1</f>
        <v xml:space="preserve">X Спартакиада
среди предприятий Нижегородской области ФСК "Профсоюзов",
под девизом "Будь спортивным - будь успешным!"
</v>
      </c>
      <c r="T1" s="1134"/>
      <c r="U1" s="1134"/>
      <c r="V1" s="1134"/>
      <c r="W1" s="1134"/>
      <c r="X1" s="1134"/>
      <c r="Y1" s="1134"/>
      <c r="Z1" s="1134"/>
      <c r="AA1" s="1134"/>
      <c r="AB1" s="1134"/>
      <c r="AC1" s="1134"/>
      <c r="AD1" s="1134"/>
      <c r="AE1" s="1134" t="str">
        <f>A1</f>
        <v xml:space="preserve">X Спартакиада
среди предприятий Нижегородской области ФСК "Профсоюзов",
под девизом "Будь спортивным - будь успешным!"
</v>
      </c>
      <c r="AF1" s="1134"/>
      <c r="AG1" s="1134"/>
      <c r="AH1" s="1134"/>
      <c r="AI1" s="1134"/>
      <c r="AJ1" s="1134"/>
      <c r="AK1" s="1134"/>
      <c r="AL1" s="1134"/>
      <c r="AM1" s="1134"/>
      <c r="AN1" s="1134"/>
      <c r="AO1" s="1134"/>
      <c r="AP1" s="1134"/>
      <c r="AQ1" s="1134"/>
      <c r="AR1" s="1134"/>
      <c r="AS1" s="1134"/>
    </row>
    <row r="2" spans="1:45" ht="14.25" customHeight="1" thickBot="1" x14ac:dyDescent="0.25">
      <c r="A2" s="690"/>
      <c r="B2" s="690"/>
      <c r="C2" s="797" t="str">
        <f>'Списки участников'!C3</f>
        <v>22 октября 2016 г.</v>
      </c>
      <c r="D2" s="1135" t="str">
        <f>'Списки участников'!A2</f>
        <v>Соревнования по настольному теннису</v>
      </c>
      <c r="E2" s="1135"/>
      <c r="F2" s="1135"/>
      <c r="G2" s="1135"/>
      <c r="H2" s="1135"/>
      <c r="I2" s="1135"/>
      <c r="J2" s="1135"/>
      <c r="K2" s="1135"/>
      <c r="L2" s="1135"/>
      <c r="M2" s="1135"/>
      <c r="N2" s="1135"/>
      <c r="O2" s="1135"/>
      <c r="P2" s="1135"/>
      <c r="Q2" s="690"/>
      <c r="R2" s="691">
        <f>'Списки участников'!H3</f>
        <v>0</v>
      </c>
      <c r="S2" s="1135" t="str">
        <f>D2</f>
        <v>Соревнования по настольному теннису</v>
      </c>
      <c r="T2" s="1135"/>
      <c r="U2" s="1135"/>
      <c r="V2" s="1135"/>
      <c r="W2" s="1135"/>
      <c r="X2" s="1135"/>
      <c r="Y2" s="1135"/>
      <c r="Z2" s="1135"/>
      <c r="AA2" s="1135"/>
      <c r="AB2" s="1135"/>
      <c r="AC2" s="1135"/>
      <c r="AD2" s="1135"/>
      <c r="AE2" s="1135" t="str">
        <f>D2</f>
        <v>Соревнования по настольному теннису</v>
      </c>
      <c r="AF2" s="1135"/>
      <c r="AG2" s="1135"/>
      <c r="AH2" s="1135"/>
      <c r="AI2" s="1135"/>
      <c r="AJ2" s="1135"/>
      <c r="AK2" s="1135"/>
      <c r="AL2" s="1135"/>
      <c r="AM2" s="1135"/>
      <c r="AN2" s="1135"/>
      <c r="AO2" s="1135"/>
      <c r="AP2" s="1135"/>
      <c r="AQ2" s="1135"/>
      <c r="AR2" s="1135"/>
      <c r="AS2" s="1135"/>
    </row>
    <row r="3" spans="1:45" ht="9.75" customHeight="1" x14ac:dyDescent="0.2">
      <c r="A3" s="189"/>
      <c r="B3" s="189"/>
      <c r="C3" s="189"/>
      <c r="D3" s="288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201" t="s">
        <v>89</v>
      </c>
      <c r="S3" s="289"/>
      <c r="T3" s="289"/>
      <c r="U3" s="189"/>
      <c r="V3" s="289"/>
      <c r="W3" s="289"/>
      <c r="X3" s="289"/>
      <c r="Y3" s="289"/>
      <c r="Z3" s="289"/>
      <c r="AA3" s="289"/>
      <c r="AB3" s="289"/>
      <c r="AD3" s="201" t="s">
        <v>90</v>
      </c>
      <c r="AE3" s="289"/>
      <c r="AF3" s="289"/>
      <c r="AG3" s="189"/>
      <c r="AH3" s="289"/>
      <c r="AI3" s="289"/>
      <c r="AJ3" s="289"/>
      <c r="AK3" s="289"/>
      <c r="AL3" s="289"/>
      <c r="AM3" s="289"/>
      <c r="AN3" s="289"/>
      <c r="AS3" s="201" t="s">
        <v>91</v>
      </c>
    </row>
    <row r="4" spans="1:45" ht="13.5" customHeight="1" x14ac:dyDescent="0.2">
      <c r="A4" s="788"/>
      <c r="B4" s="788"/>
      <c r="C4" s="788"/>
      <c r="D4" s="788"/>
      <c r="E4" s="788"/>
      <c r="F4" s="788"/>
      <c r="G4" s="788"/>
      <c r="H4" s="788"/>
      <c r="I4" s="789">
        <f>'Списки участников'!D6</f>
        <v>0</v>
      </c>
      <c r="J4" s="788"/>
      <c r="K4" s="788"/>
      <c r="L4" s="790" t="s">
        <v>2688</v>
      </c>
      <c r="M4" s="788">
        <v>1</v>
      </c>
      <c r="N4" s="788"/>
      <c r="O4" s="788" t="s">
        <v>2689</v>
      </c>
      <c r="P4" s="788"/>
      <c r="Q4" s="788"/>
      <c r="R4" s="788"/>
      <c r="S4" s="1136">
        <f>A4</f>
        <v>0</v>
      </c>
      <c r="T4" s="1136"/>
      <c r="U4" s="1136"/>
      <c r="V4" s="1136"/>
      <c r="W4" s="1136"/>
      <c r="X4" s="1136"/>
      <c r="Y4" s="1136"/>
      <c r="Z4" s="1136"/>
      <c r="AA4" s="1136"/>
      <c r="AB4" s="1136"/>
      <c r="AC4" s="1136"/>
      <c r="AD4" s="1136"/>
      <c r="AE4" s="1136">
        <f>A4</f>
        <v>0</v>
      </c>
      <c r="AF4" s="1136"/>
      <c r="AG4" s="1136"/>
      <c r="AH4" s="1136"/>
      <c r="AI4" s="1136"/>
      <c r="AJ4" s="1136"/>
      <c r="AK4" s="1136"/>
      <c r="AL4" s="1136"/>
      <c r="AM4" s="1136"/>
      <c r="AN4" s="1136"/>
      <c r="AO4" s="1136"/>
      <c r="AP4" s="1136"/>
      <c r="AQ4" s="1136"/>
      <c r="AR4" s="1136"/>
      <c r="AS4" s="1136"/>
    </row>
    <row r="5" spans="1:45" ht="13.5" customHeight="1" x14ac:dyDescent="0.2">
      <c r="A5" s="925"/>
      <c r="B5" s="925"/>
      <c r="C5" s="925"/>
      <c r="D5" s="925"/>
      <c r="E5" s="925"/>
      <c r="F5" s="925"/>
      <c r="G5" s="925"/>
      <c r="H5" s="925"/>
      <c r="I5" s="925"/>
      <c r="J5" s="925"/>
      <c r="K5" s="925"/>
      <c r="L5" s="925"/>
      <c r="M5" s="925"/>
      <c r="N5" s="925"/>
      <c r="O5" s="925"/>
      <c r="P5" s="925"/>
      <c r="Q5" s="925"/>
      <c r="R5" s="925"/>
      <c r="S5" s="925"/>
      <c r="T5" s="925"/>
      <c r="U5" s="925"/>
      <c r="V5" s="925"/>
      <c r="W5" s="925"/>
      <c r="X5" s="925"/>
      <c r="Y5" s="925"/>
      <c r="Z5" s="925"/>
      <c r="AA5" s="925"/>
      <c r="AB5" s="925"/>
      <c r="AC5" s="925"/>
      <c r="AD5" s="925"/>
      <c r="AE5" s="925"/>
      <c r="AF5" s="925"/>
      <c r="AG5" s="925"/>
      <c r="AH5" s="925"/>
      <c r="AI5" s="925"/>
      <c r="AJ5" s="925"/>
      <c r="AK5" s="925"/>
      <c r="AL5" s="925"/>
      <c r="AM5" s="925"/>
      <c r="AN5" s="925"/>
      <c r="AO5" s="925"/>
      <c r="AP5" s="925"/>
      <c r="AQ5" s="925"/>
      <c r="AR5" s="925"/>
      <c r="AS5" s="925"/>
    </row>
    <row r="6" spans="1:45" ht="10.5" customHeight="1" x14ac:dyDescent="0.2">
      <c r="AE6" s="208" t="s">
        <v>881</v>
      </c>
      <c r="AF6" s="290" t="str">
        <f>IF(F9="","",IF(E8=B7,B9,IF(E8=B9,B7)))</f>
        <v/>
      </c>
      <c r="AG6" s="210" t="str">
        <f>IF(F9="",AF6,VLOOKUP(AF6,'Списки участников'!$A:$O,12,FALSE))</f>
        <v/>
      </c>
      <c r="AH6" s="265"/>
      <c r="AI6" s="212"/>
      <c r="AJ6" s="213"/>
      <c r="AK6" s="213"/>
      <c r="AL6" s="213"/>
      <c r="AM6" s="213"/>
      <c r="AN6" s="213"/>
      <c r="AO6" s="213"/>
      <c r="AP6" s="213"/>
      <c r="AQ6" s="213"/>
      <c r="AR6" s="213"/>
      <c r="AS6" s="213"/>
    </row>
    <row r="7" spans="1:45" ht="10.5" customHeight="1" x14ac:dyDescent="0.2">
      <c r="A7" s="208">
        <v>1</v>
      </c>
      <c r="B7" s="209"/>
      <c r="C7" s="210">
        <f>IF(B7="",B7,VLOOKUP(B7,'Списки участников'!$A:$O,3,FALSE))</f>
        <v>0</v>
      </c>
      <c r="D7" s="211">
        <f>IF(B7="",B7,VLOOKUP(B7,'Списки участников'!A:K,6,FALSE))</f>
        <v>0</v>
      </c>
      <c r="E7" s="212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4"/>
      <c r="Q7" s="214"/>
      <c r="R7" s="215"/>
      <c r="S7" s="242"/>
      <c r="T7" s="242"/>
      <c r="U7" s="242"/>
      <c r="V7" s="242"/>
      <c r="W7" s="242"/>
      <c r="X7" s="242"/>
      <c r="Y7" s="231"/>
      <c r="Z7" s="231"/>
      <c r="AA7" s="231"/>
      <c r="AB7" s="231"/>
      <c r="AD7" s="867" t="str">
        <f>CONCATENATE(M4+2," ","место")</f>
        <v>3 место</v>
      </c>
      <c r="AE7" s="217"/>
      <c r="AF7" s="217"/>
      <c r="AG7" s="291"/>
      <c r="AH7" s="218" t="s">
        <v>59</v>
      </c>
      <c r="AI7" s="219">
        <v>0</v>
      </c>
      <c r="AJ7" s="239">
        <v>0</v>
      </c>
      <c r="AK7" s="220"/>
      <c r="AL7" s="220"/>
      <c r="AM7" s="213"/>
      <c r="AN7" s="213"/>
      <c r="AO7" s="213"/>
      <c r="AP7" s="213"/>
      <c r="AQ7" s="213"/>
      <c r="AR7" s="213"/>
      <c r="AS7" s="213"/>
    </row>
    <row r="8" spans="1:45" ht="10.5" customHeight="1" x14ac:dyDescent="0.2">
      <c r="A8" s="217"/>
      <c r="B8" s="217"/>
      <c r="C8" s="292"/>
      <c r="D8" s="218">
        <v>1</v>
      </c>
      <c r="E8" s="219">
        <v>0</v>
      </c>
      <c r="F8" s="210">
        <v>0</v>
      </c>
      <c r="G8" s="220"/>
      <c r="H8" s="220"/>
      <c r="I8" s="213"/>
      <c r="J8" s="213"/>
      <c r="K8" s="213"/>
      <c r="L8" s="213"/>
      <c r="M8" s="213"/>
      <c r="N8" s="213"/>
      <c r="O8" s="213"/>
      <c r="P8" s="213"/>
      <c r="Q8" s="213"/>
      <c r="R8" s="221"/>
      <c r="S8" s="242"/>
      <c r="T8" s="242"/>
      <c r="U8" s="242"/>
      <c r="V8" s="242"/>
      <c r="W8" s="242"/>
      <c r="X8" s="241"/>
      <c r="Y8" s="208" t="s">
        <v>882</v>
      </c>
      <c r="Z8" s="290" t="str">
        <f>IF(O23="","",IF(N22=K14,K30,IF(N22=K30,K14)))</f>
        <v/>
      </c>
      <c r="AA8" s="210" t="str">
        <f>IF(O23="",Z8,VLOOKUP(Z8,'Списки участников'!$A:$O,12,FALSE))</f>
        <v/>
      </c>
      <c r="AB8" s="293"/>
      <c r="AC8" s="245"/>
      <c r="AE8" s="223" t="s">
        <v>883</v>
      </c>
      <c r="AF8" s="294" t="str">
        <f>IF(F13="","",IF(E12=B13,B11,IF(E12=B11,B13)))</f>
        <v/>
      </c>
      <c r="AG8" s="239" t="str">
        <f>IF(AF8="",AF8,VLOOKUP(AF8,'Списки участников'!$A:$O,12,FALSE))</f>
        <v/>
      </c>
      <c r="AH8" s="295"/>
      <c r="AI8" s="227"/>
      <c r="AJ8" s="228" t="s">
        <v>2814</v>
      </c>
      <c r="AK8" s="229"/>
      <c r="AL8" s="296">
        <v>0</v>
      </c>
      <c r="AM8" s="239">
        <v>0</v>
      </c>
      <c r="AN8" s="231"/>
      <c r="AO8" s="231"/>
      <c r="AP8" s="231"/>
      <c r="AQ8" s="231"/>
      <c r="AR8" s="231"/>
      <c r="AS8" s="231"/>
    </row>
    <row r="9" spans="1:45" ht="10.5" customHeight="1" x14ac:dyDescent="0.2">
      <c r="A9" s="223">
        <v>2</v>
      </c>
      <c r="B9" s="224"/>
      <c r="C9" s="239">
        <f>IF(B9="",B9,VLOOKUP(B9,'Списки участников'!$A:$O,3,FALSE))</f>
        <v>0</v>
      </c>
      <c r="D9" s="297">
        <f>IF(B9="",B9,VLOOKUP(B9,'Списки участников'!A:K,6,FALSE))</f>
        <v>0</v>
      </c>
      <c r="E9" s="227"/>
      <c r="F9" s="228" t="s">
        <v>2814</v>
      </c>
      <c r="G9" s="229"/>
      <c r="H9" s="230"/>
      <c r="I9" s="231"/>
      <c r="J9" s="231"/>
      <c r="K9" s="231"/>
      <c r="L9" s="231"/>
      <c r="M9" s="231"/>
      <c r="N9" s="231"/>
      <c r="O9" s="231"/>
      <c r="P9" s="231"/>
      <c r="Q9" s="231"/>
      <c r="R9" s="215"/>
      <c r="S9" s="237"/>
      <c r="T9" s="237"/>
      <c r="U9" s="237"/>
      <c r="V9" s="237"/>
      <c r="W9" s="237"/>
      <c r="X9" s="237"/>
      <c r="Y9" s="217"/>
      <c r="Z9" s="217"/>
      <c r="AA9" s="298"/>
      <c r="AB9" s="299" t="s">
        <v>34</v>
      </c>
      <c r="AC9" s="219">
        <v>0</v>
      </c>
      <c r="AD9" s="239">
        <v>0</v>
      </c>
      <c r="AE9" s="208" t="s">
        <v>884</v>
      </c>
      <c r="AF9" s="290" t="str">
        <f>IF(F17="","",IF(E16=B15,B17,IF(E16=B17,B15)))</f>
        <v/>
      </c>
      <c r="AG9" s="210" t="str">
        <f>IF(AF9="",AF9,VLOOKUP(AF9,'Списки участников'!$A:$O,12,FALSE))</f>
        <v/>
      </c>
      <c r="AH9" s="265"/>
      <c r="AI9" s="212"/>
      <c r="AJ9" s="300"/>
      <c r="AK9" s="243" t="s">
        <v>67</v>
      </c>
      <c r="AL9" s="237"/>
      <c r="AM9" s="228" t="s">
        <v>2814</v>
      </c>
      <c r="AN9" s="229"/>
      <c r="AO9" s="230"/>
      <c r="AP9" s="231"/>
      <c r="AQ9" s="231"/>
      <c r="AR9" s="231"/>
      <c r="AS9" s="231"/>
    </row>
    <row r="10" spans="1:45" ht="10.5" customHeight="1" x14ac:dyDescent="0.2">
      <c r="A10" s="208"/>
      <c r="B10" s="208"/>
      <c r="C10" s="213"/>
      <c r="D10" s="233"/>
      <c r="E10" s="231"/>
      <c r="F10" s="300"/>
      <c r="G10" s="1137">
        <v>17</v>
      </c>
      <c r="H10" s="234">
        <v>0</v>
      </c>
      <c r="I10" s="210">
        <v>0</v>
      </c>
      <c r="J10" s="220"/>
      <c r="K10" s="220"/>
      <c r="L10" s="231"/>
      <c r="M10" s="231"/>
      <c r="N10" s="231"/>
      <c r="O10" s="231"/>
      <c r="P10" s="231"/>
      <c r="Q10" s="231"/>
      <c r="R10" s="215"/>
      <c r="S10" s="237"/>
      <c r="T10" s="237"/>
      <c r="U10" s="241"/>
      <c r="V10" s="237"/>
      <c r="W10" s="237"/>
      <c r="X10" s="237"/>
      <c r="Y10" s="223" t="s">
        <v>885</v>
      </c>
      <c r="Z10" s="294" t="str">
        <f>IF(O55="","",IF(N54=K46,K62,IF(N54=K62,K46)))</f>
        <v/>
      </c>
      <c r="AA10" s="239" t="str">
        <f>IF(O55="",Z10,VLOOKUP(Z10,'Списки участников'!$A:$O,12,FALSE))</f>
        <v/>
      </c>
      <c r="AB10" s="301"/>
      <c r="AC10" s="302"/>
      <c r="AD10" s="455" t="s">
        <v>2814</v>
      </c>
      <c r="AE10" s="217"/>
      <c r="AF10" s="304"/>
      <c r="AG10" s="305"/>
      <c r="AH10" s="218" t="s">
        <v>60</v>
      </c>
      <c r="AI10" s="219">
        <v>0</v>
      </c>
      <c r="AJ10" s="239">
        <v>0</v>
      </c>
      <c r="AK10" s="306"/>
      <c r="AL10" s="237"/>
      <c r="AM10" s="242"/>
      <c r="AN10" s="923"/>
      <c r="AO10" s="230"/>
      <c r="AP10" s="231"/>
      <c r="AQ10" s="231"/>
      <c r="AR10" s="231"/>
      <c r="AS10" s="231"/>
    </row>
    <row r="11" spans="1:45" ht="10.5" customHeight="1" x14ac:dyDescent="0.2">
      <c r="A11" s="208">
        <v>3</v>
      </c>
      <c r="B11" s="209"/>
      <c r="C11" s="210">
        <f>IF(B11="",B11,VLOOKUP(B11,'Списки участников'!$A:$O,3,FALSE))</f>
        <v>0</v>
      </c>
      <c r="D11" s="211">
        <f>IF(B11="",B11,VLOOKUP(B11,'Списки участников'!A:K,6,FALSE))</f>
        <v>0</v>
      </c>
      <c r="E11" s="212"/>
      <c r="F11" s="300"/>
      <c r="G11" s="1137"/>
      <c r="H11" s="237"/>
      <c r="I11" s="228" t="s">
        <v>2814</v>
      </c>
      <c r="J11" s="229"/>
      <c r="K11" s="230"/>
      <c r="L11" s="231"/>
      <c r="M11" s="231"/>
      <c r="N11" s="231"/>
      <c r="O11" s="231"/>
      <c r="P11" s="231"/>
      <c r="Q11" s="231"/>
      <c r="R11" s="215"/>
      <c r="S11" s="237"/>
      <c r="T11" s="237"/>
      <c r="U11" s="237"/>
      <c r="V11" s="237"/>
      <c r="W11" s="237"/>
      <c r="X11" s="237"/>
      <c r="Y11" s="231"/>
      <c r="Z11" s="231"/>
      <c r="AA11" s="231"/>
      <c r="AB11" s="231"/>
      <c r="AC11" s="231"/>
      <c r="AD11" s="867" t="str">
        <f>CONCATENATE(M4+3," ","место")</f>
        <v>4 место</v>
      </c>
      <c r="AE11" s="223" t="s">
        <v>886</v>
      </c>
      <c r="AF11" s="294" t="str">
        <f>IF(F21="","",IF(E20=B19,B21,IF(E20=B21,B19)))</f>
        <v/>
      </c>
      <c r="AG11" s="239" t="str">
        <f>IF(AF11="",AF11,VLOOKUP(AF11,'Списки участников'!$A:$O,12,FALSE))</f>
        <v/>
      </c>
      <c r="AH11" s="295"/>
      <c r="AI11" s="227"/>
      <c r="AJ11" s="228" t="s">
        <v>2814</v>
      </c>
      <c r="AK11" s="245"/>
      <c r="AL11" s="245"/>
      <c r="AM11" s="242"/>
      <c r="AN11" s="243"/>
      <c r="AO11" s="234">
        <v>0</v>
      </c>
      <c r="AP11" s="239">
        <v>0</v>
      </c>
      <c r="AQ11" s="231"/>
      <c r="AR11" s="231"/>
      <c r="AS11" s="231"/>
    </row>
    <row r="12" spans="1:45" ht="10.5" customHeight="1" x14ac:dyDescent="0.2">
      <c r="A12" s="217"/>
      <c r="B12" s="217"/>
      <c r="C12" s="292"/>
      <c r="D12" s="218">
        <v>2</v>
      </c>
      <c r="E12" s="219">
        <v>0</v>
      </c>
      <c r="F12" s="239">
        <v>0</v>
      </c>
      <c r="G12" s="240"/>
      <c r="H12" s="241"/>
      <c r="I12" s="242"/>
      <c r="J12" s="243"/>
      <c r="K12" s="242"/>
      <c r="L12" s="231"/>
      <c r="M12" s="231"/>
      <c r="N12" s="231"/>
      <c r="O12" s="231"/>
      <c r="P12" s="231"/>
      <c r="Q12" s="231"/>
      <c r="R12" s="215"/>
      <c r="S12" s="237"/>
      <c r="T12" s="237"/>
      <c r="U12" s="237"/>
      <c r="V12" s="237"/>
      <c r="W12" s="237"/>
      <c r="X12" s="237"/>
      <c r="Y12" s="231"/>
      <c r="Z12" s="231"/>
      <c r="AA12" s="231"/>
      <c r="AB12" s="231"/>
      <c r="AC12" s="231"/>
      <c r="AE12" s="208" t="s">
        <v>887</v>
      </c>
      <c r="AF12" s="290" t="str">
        <f>IF(F25="","",IF(E24=B23,B25,IF(E24=B25,B23)))</f>
        <v/>
      </c>
      <c r="AG12" s="210" t="str">
        <f>IF(AF12="",AF12,VLOOKUP(AF12,'Списки участников'!$A:$O,12,FALSE))</f>
        <v/>
      </c>
      <c r="AH12" s="265"/>
      <c r="AI12" s="212"/>
      <c r="AJ12" s="231"/>
      <c r="AK12" s="231"/>
      <c r="AL12" s="231"/>
      <c r="AM12" s="242"/>
      <c r="AN12" s="243" t="s">
        <v>730</v>
      </c>
      <c r="AO12" s="237"/>
      <c r="AP12" s="228" t="s">
        <v>2814</v>
      </c>
      <c r="AQ12" s="229"/>
      <c r="AR12" s="230"/>
      <c r="AS12" s="231"/>
    </row>
    <row r="13" spans="1:45" ht="10.5" customHeight="1" x14ac:dyDescent="0.2">
      <c r="A13" s="223">
        <v>4</v>
      </c>
      <c r="B13" s="224"/>
      <c r="C13" s="239">
        <f>IF(B13="",B13,VLOOKUP(B13,'Списки участников'!$A:$O,3,FALSE))</f>
        <v>0</v>
      </c>
      <c r="D13" s="297">
        <f>IF(B13="",B13,VLOOKUP(B13,'Списки участников'!A:K,6,FALSE))</f>
        <v>0</v>
      </c>
      <c r="E13" s="227"/>
      <c r="F13" s="228" t="s">
        <v>2814</v>
      </c>
      <c r="G13" s="245"/>
      <c r="H13" s="245"/>
      <c r="I13" s="242"/>
      <c r="J13" s="243"/>
      <c r="K13" s="242"/>
      <c r="L13" s="231"/>
      <c r="M13" s="231"/>
      <c r="N13" s="231"/>
      <c r="O13" s="231"/>
      <c r="P13" s="231"/>
      <c r="Q13" s="231"/>
      <c r="R13" s="215"/>
      <c r="S13" s="237"/>
      <c r="T13" s="237"/>
      <c r="U13" s="237"/>
      <c r="V13" s="237"/>
      <c r="W13" s="237"/>
      <c r="X13" s="237"/>
      <c r="Y13" s="231"/>
      <c r="Z13" s="231"/>
      <c r="AA13" s="231"/>
      <c r="AB13" s="307" t="s">
        <v>888</v>
      </c>
      <c r="AC13" s="268" t="str">
        <f>IF(AD10="","",IF(AC9=Z8,Z10,IF(AC9=Z10,Z8)))</f>
        <v/>
      </c>
      <c r="AD13" s="239" t="str">
        <f>IF(AD10="",AC13,VLOOKUP(AC13,'Списки участников'!$A:$O,12,FALSE))</f>
        <v/>
      </c>
      <c r="AE13" s="217"/>
      <c r="AF13" s="217"/>
      <c r="AG13" s="292"/>
      <c r="AH13" s="218" t="s">
        <v>61</v>
      </c>
      <c r="AI13" s="219">
        <v>0</v>
      </c>
      <c r="AJ13" s="239">
        <v>0</v>
      </c>
      <c r="AK13" s="220"/>
      <c r="AL13" s="220"/>
      <c r="AM13" s="242"/>
      <c r="AN13" s="243"/>
      <c r="AO13" s="242"/>
      <c r="AP13" s="242"/>
      <c r="AQ13" s="243"/>
      <c r="AR13" s="242"/>
      <c r="AS13" s="231"/>
    </row>
    <row r="14" spans="1:45" ht="10.5" customHeight="1" x14ac:dyDescent="0.2">
      <c r="A14" s="208"/>
      <c r="B14" s="208"/>
      <c r="C14" s="213"/>
      <c r="D14" s="233"/>
      <c r="E14" s="231"/>
      <c r="F14" s="231"/>
      <c r="G14" s="231"/>
      <c r="H14" s="231"/>
      <c r="I14" s="242"/>
      <c r="J14" s="1137">
        <v>25</v>
      </c>
      <c r="K14" s="234">
        <v>0</v>
      </c>
      <c r="L14" s="210">
        <v>0</v>
      </c>
      <c r="M14" s="220"/>
      <c r="N14" s="220"/>
      <c r="O14" s="231"/>
      <c r="P14" s="231"/>
      <c r="Q14" s="231"/>
      <c r="R14" s="231"/>
      <c r="S14" s="308"/>
      <c r="T14" s="309"/>
      <c r="U14" s="237"/>
      <c r="V14" s="310" t="s">
        <v>92</v>
      </c>
      <c r="W14" s="311" t="str">
        <f>IF(L15="","",IF(K14=H10,H18,IF(K14=H18,H10)))</f>
        <v/>
      </c>
      <c r="X14" s="210" t="str">
        <f>IF(L15="",W14,VLOOKUP(W14,'Списки участников'!$A:$O,12,FALSE))</f>
        <v/>
      </c>
      <c r="Y14" s="231"/>
      <c r="Z14" s="231"/>
      <c r="AA14" s="231"/>
      <c r="AB14" s="231"/>
      <c r="AC14" s="231"/>
      <c r="AD14" s="237"/>
      <c r="AE14" s="223" t="s">
        <v>889</v>
      </c>
      <c r="AF14" s="294" t="str">
        <f>IF(F29="","",IF(E28=B27,B29,IF(E28=B29,B27)))</f>
        <v/>
      </c>
      <c r="AG14" s="239" t="str">
        <f>IF(AF14="",AF14,VLOOKUP(AF14,'Списки участников'!$A:$O,12,FALSE))</f>
        <v/>
      </c>
      <c r="AH14" s="295"/>
      <c r="AI14" s="227"/>
      <c r="AJ14" s="228" t="s">
        <v>2814</v>
      </c>
      <c r="AK14" s="229"/>
      <c r="AL14" s="230"/>
      <c r="AM14" s="242"/>
      <c r="AN14" s="243"/>
      <c r="AO14" s="242"/>
      <c r="AP14" s="242"/>
      <c r="AQ14" s="243"/>
      <c r="AR14" s="242"/>
      <c r="AS14" s="231"/>
    </row>
    <row r="15" spans="1:45" ht="10.5" customHeight="1" x14ac:dyDescent="0.2">
      <c r="A15" s="208">
        <v>5</v>
      </c>
      <c r="B15" s="209"/>
      <c r="C15" s="210">
        <f>IF(B15="",B15,VLOOKUP(B15,'Списки участников'!$A:$O,3,FALSE))</f>
        <v>0</v>
      </c>
      <c r="D15" s="211">
        <f>IF(B15="",B15,VLOOKUP(B15,'Списки участников'!A:K,6,FALSE))</f>
        <v>0</v>
      </c>
      <c r="E15" s="212"/>
      <c r="F15" s="231"/>
      <c r="G15" s="231"/>
      <c r="H15" s="231"/>
      <c r="I15" s="242"/>
      <c r="J15" s="1137"/>
      <c r="K15" s="237"/>
      <c r="L15" s="228" t="s">
        <v>2814</v>
      </c>
      <c r="M15" s="229"/>
      <c r="N15" s="230"/>
      <c r="O15" s="231"/>
      <c r="P15" s="231"/>
      <c r="Q15" s="231"/>
      <c r="R15" s="215"/>
      <c r="S15" s="308"/>
      <c r="T15" s="308"/>
      <c r="U15" s="237"/>
      <c r="V15" s="217"/>
      <c r="W15" s="217"/>
      <c r="X15" s="298"/>
      <c r="Y15" s="229" t="s">
        <v>24</v>
      </c>
      <c r="Z15" s="219">
        <v>0</v>
      </c>
      <c r="AA15" s="239">
        <v>0</v>
      </c>
      <c r="AB15" s="241"/>
      <c r="AC15" s="241"/>
      <c r="AD15" s="867" t="str">
        <f>CONCATENATE(M4+4," ","место")</f>
        <v>5 место</v>
      </c>
      <c r="AE15" s="208" t="s">
        <v>890</v>
      </c>
      <c r="AF15" s="290" t="str">
        <f>IF(F33="","",IF(E32=B31,B33,IF(E32=B33,B31)))</f>
        <v/>
      </c>
      <c r="AG15" s="210" t="str">
        <f>IF(AF15="",AF15,VLOOKUP(AF15,'Списки участников'!$A:$O,12,FALSE))</f>
        <v/>
      </c>
      <c r="AH15" s="265"/>
      <c r="AI15" s="212"/>
      <c r="AJ15" s="300"/>
      <c r="AK15" s="243" t="s">
        <v>727</v>
      </c>
      <c r="AL15" s="296">
        <v>0</v>
      </c>
      <c r="AM15" s="239">
        <v>0</v>
      </c>
      <c r="AN15" s="313"/>
      <c r="AO15" s="245"/>
      <c r="AP15" s="242"/>
      <c r="AQ15" s="243"/>
      <c r="AR15" s="242"/>
      <c r="AS15" s="231"/>
    </row>
    <row r="16" spans="1:45" ht="10.5" customHeight="1" x14ac:dyDescent="0.2">
      <c r="A16" s="217"/>
      <c r="B16" s="217"/>
      <c r="C16" s="292"/>
      <c r="D16" s="218">
        <v>3</v>
      </c>
      <c r="E16" s="219">
        <v>0</v>
      </c>
      <c r="F16" s="210">
        <v>0</v>
      </c>
      <c r="G16" s="220"/>
      <c r="H16" s="220"/>
      <c r="I16" s="242"/>
      <c r="J16" s="243"/>
      <c r="K16" s="242"/>
      <c r="L16" s="242"/>
      <c r="M16" s="243"/>
      <c r="N16" s="242"/>
      <c r="O16" s="231"/>
      <c r="P16" s="231"/>
      <c r="Q16" s="231"/>
      <c r="R16" s="215"/>
      <c r="S16" s="308"/>
      <c r="T16" s="309"/>
      <c r="U16" s="237"/>
      <c r="V16" s="223" t="s">
        <v>58</v>
      </c>
      <c r="W16" s="294" t="str">
        <f>IF(L31="","",IF(K30=H26,H34,IF(K30=H34,H26)))</f>
        <v/>
      </c>
      <c r="X16" s="239" t="str">
        <f>IF(L31="",W16,VLOOKUP(W16,'Списки участников'!$A:$O,12,FALSE))</f>
        <v/>
      </c>
      <c r="Y16" s="306"/>
      <c r="Z16" s="302"/>
      <c r="AA16" s="455" t="s">
        <v>2814</v>
      </c>
      <c r="AB16" s="229"/>
      <c r="AC16" s="230"/>
      <c r="AD16" s="314"/>
      <c r="AE16" s="217"/>
      <c r="AF16" s="217"/>
      <c r="AG16" s="292"/>
      <c r="AH16" s="218" t="s">
        <v>62</v>
      </c>
      <c r="AI16" s="219">
        <v>0</v>
      </c>
      <c r="AJ16" s="239">
        <v>0</v>
      </c>
      <c r="AK16" s="240"/>
      <c r="AL16" s="237"/>
      <c r="AM16" s="228" t="s">
        <v>2814</v>
      </c>
      <c r="AN16" s="231"/>
      <c r="AO16" s="231"/>
      <c r="AP16" s="242"/>
      <c r="AQ16" s="243"/>
      <c r="AR16" s="242"/>
    </row>
    <row r="17" spans="1:46" ht="10.5" customHeight="1" x14ac:dyDescent="0.2">
      <c r="A17" s="223">
        <v>6</v>
      </c>
      <c r="B17" s="224"/>
      <c r="C17" s="239">
        <f>IF(B17="",B17,VLOOKUP(B17,'Списки участников'!$A:$O,3,FALSE))</f>
        <v>0</v>
      </c>
      <c r="D17" s="315">
        <f>IF(B17="",B17,VLOOKUP(B17,'Списки участников'!A:K,6,FALSE))</f>
        <v>0</v>
      </c>
      <c r="E17" s="227"/>
      <c r="F17" s="228" t="s">
        <v>2814</v>
      </c>
      <c r="G17" s="229"/>
      <c r="H17" s="230"/>
      <c r="I17" s="242"/>
      <c r="J17" s="243"/>
      <c r="K17" s="242"/>
      <c r="L17" s="242"/>
      <c r="M17" s="243"/>
      <c r="N17" s="242"/>
      <c r="O17" s="231"/>
      <c r="P17" s="231"/>
      <c r="Q17" s="231"/>
      <c r="R17" s="215"/>
      <c r="S17" s="308"/>
      <c r="T17" s="308"/>
      <c r="U17" s="241"/>
      <c r="V17" s="310"/>
      <c r="W17" s="310"/>
      <c r="X17" s="241"/>
      <c r="Y17" s="310"/>
      <c r="Z17" s="310"/>
      <c r="AA17" s="230"/>
      <c r="AB17" s="1137" t="s">
        <v>16</v>
      </c>
      <c r="AC17" s="219">
        <v>0</v>
      </c>
      <c r="AD17" s="239">
        <v>0</v>
      </c>
      <c r="AE17" s="223" t="s">
        <v>891</v>
      </c>
      <c r="AF17" s="294" t="str">
        <f>IF(F37="","",IF(E36=B35,B37,IF(E36=B37,B35)))</f>
        <v/>
      </c>
      <c r="AG17" s="239" t="str">
        <f>IF(AF17="",AF17,VLOOKUP(AF17,'Списки участников'!$A:$O,12,FALSE))</f>
        <v/>
      </c>
      <c r="AH17" s="295"/>
      <c r="AI17" s="227"/>
      <c r="AJ17" s="228" t="s">
        <v>2814</v>
      </c>
      <c r="AK17" s="245"/>
      <c r="AL17" s="245"/>
      <c r="AM17" s="231"/>
      <c r="AN17" s="231"/>
      <c r="AO17" s="231"/>
      <c r="AP17" s="242"/>
      <c r="AQ17" s="243"/>
      <c r="AR17" s="242"/>
      <c r="AS17" s="867" t="str">
        <f>CONCATENATE(M4+16," ","место")</f>
        <v>17 место</v>
      </c>
    </row>
    <row r="18" spans="1:46" ht="10.5" customHeight="1" x14ac:dyDescent="0.2">
      <c r="A18" s="208"/>
      <c r="B18" s="208"/>
      <c r="C18" s="213"/>
      <c r="D18" s="233"/>
      <c r="E18" s="231"/>
      <c r="F18" s="300"/>
      <c r="G18" s="1137" t="s">
        <v>14</v>
      </c>
      <c r="H18" s="234">
        <v>0</v>
      </c>
      <c r="I18" s="210">
        <v>0</v>
      </c>
      <c r="J18" s="240"/>
      <c r="K18" s="241"/>
      <c r="L18" s="242"/>
      <c r="M18" s="243"/>
      <c r="N18" s="242"/>
      <c r="O18" s="231"/>
      <c r="P18" s="231"/>
      <c r="Q18" s="231"/>
      <c r="R18" s="215"/>
      <c r="S18" s="308"/>
      <c r="T18" s="309"/>
      <c r="U18" s="230"/>
      <c r="V18" s="310" t="s">
        <v>56</v>
      </c>
      <c r="W18" s="311" t="str">
        <f>IF(L47="","",IF(K46=H42,H50,IF(K46=H50,H42)))</f>
        <v/>
      </c>
      <c r="X18" s="210" t="str">
        <f>IF(W18="",W18,VLOOKUP(W18,'Списки участников'!$A:$O,12,FALSE))</f>
        <v/>
      </c>
      <c r="Y18" s="310"/>
      <c r="Z18" s="310"/>
      <c r="AA18" s="237"/>
      <c r="AB18" s="1137"/>
      <c r="AC18" s="302"/>
      <c r="AD18" s="455" t="s">
        <v>2814</v>
      </c>
      <c r="AE18" s="208" t="s">
        <v>892</v>
      </c>
      <c r="AF18" s="290" t="str">
        <f>IF(F41="","",IF(E40=B39,B41,IF(E40=B41,B39)))</f>
        <v/>
      </c>
      <c r="AG18" s="210" t="str">
        <f>IF(AF18="",AF18,VLOOKUP(AF18,'Списки участников'!$A:$O,12,FALSE))</f>
        <v/>
      </c>
      <c r="AH18" s="265"/>
      <c r="AI18" s="212"/>
      <c r="AJ18" s="231"/>
      <c r="AK18" s="231"/>
      <c r="AL18" s="231"/>
      <c r="AM18" s="231"/>
      <c r="AN18" s="231"/>
      <c r="AO18" s="231"/>
      <c r="AP18" s="242"/>
      <c r="AQ18" s="1137" t="s">
        <v>68</v>
      </c>
      <c r="AR18" s="219">
        <v>0</v>
      </c>
      <c r="AS18" s="239">
        <v>0</v>
      </c>
    </row>
    <row r="19" spans="1:46" ht="10.5" customHeight="1" x14ac:dyDescent="0.2">
      <c r="A19" s="208">
        <v>7</v>
      </c>
      <c r="B19" s="209"/>
      <c r="C19" s="210">
        <f>IF(B19="",B19,VLOOKUP(B19,'Списки участников'!$A:$O,3,FALSE))</f>
        <v>0</v>
      </c>
      <c r="D19" s="211">
        <f>IF(B19="",B19,VLOOKUP(B19,'Списки участников'!A:K,6,FALSE))</f>
        <v>0</v>
      </c>
      <c r="E19" s="212"/>
      <c r="F19" s="300"/>
      <c r="G19" s="1137"/>
      <c r="H19" s="237"/>
      <c r="I19" s="228" t="s">
        <v>2814</v>
      </c>
      <c r="J19" s="245"/>
      <c r="K19" s="245"/>
      <c r="L19" s="242"/>
      <c r="M19" s="243"/>
      <c r="N19" s="242"/>
      <c r="O19" s="231"/>
      <c r="P19" s="231"/>
      <c r="Q19" s="231"/>
      <c r="R19" s="215"/>
      <c r="S19" s="308"/>
      <c r="T19" s="308"/>
      <c r="U19" s="237"/>
      <c r="V19" s="217"/>
      <c r="W19" s="217"/>
      <c r="X19" s="298"/>
      <c r="Y19" s="229" t="s">
        <v>20</v>
      </c>
      <c r="Z19" s="219">
        <v>0</v>
      </c>
      <c r="AA19" s="239">
        <v>0</v>
      </c>
      <c r="AB19" s="240"/>
      <c r="AC19" s="241"/>
      <c r="AD19" s="867" t="str">
        <f>CONCATENATE(M4+5," ","место")</f>
        <v>6 место</v>
      </c>
      <c r="AE19" s="217"/>
      <c r="AF19" s="217"/>
      <c r="AG19" s="292"/>
      <c r="AH19" s="218" t="s">
        <v>63</v>
      </c>
      <c r="AI19" s="219">
        <v>0</v>
      </c>
      <c r="AJ19" s="239">
        <v>0</v>
      </c>
      <c r="AK19" s="220"/>
      <c r="AL19" s="220"/>
      <c r="AM19" s="231"/>
      <c r="AN19" s="231"/>
      <c r="AO19" s="231"/>
      <c r="AP19" s="242"/>
      <c r="AQ19" s="1137"/>
      <c r="AR19" s="242"/>
      <c r="AS19" s="244" t="s">
        <v>2814</v>
      </c>
    </row>
    <row r="20" spans="1:46" ht="10.5" customHeight="1" x14ac:dyDescent="0.2">
      <c r="A20" s="217"/>
      <c r="B20" s="217"/>
      <c r="C20" s="292"/>
      <c r="D20" s="218">
        <v>4</v>
      </c>
      <c r="E20" s="219">
        <v>0</v>
      </c>
      <c r="F20" s="239">
        <v>0</v>
      </c>
      <c r="G20" s="240"/>
      <c r="H20" s="241"/>
      <c r="I20" s="231"/>
      <c r="J20" s="231"/>
      <c r="K20" s="231"/>
      <c r="L20" s="242"/>
      <c r="M20" s="243"/>
      <c r="N20" s="242"/>
      <c r="O20" s="231"/>
      <c r="P20" s="231"/>
      <c r="Q20" s="231"/>
      <c r="R20" s="215"/>
      <c r="S20" s="308"/>
      <c r="T20" s="309"/>
      <c r="U20" s="237"/>
      <c r="V20" s="223" t="s">
        <v>93</v>
      </c>
      <c r="W20" s="294" t="str">
        <f>IF(L63="","",IF(K62=H58,H66,IF(K62=H66,H58)))</f>
        <v/>
      </c>
      <c r="X20" s="239" t="str">
        <f>IF(L63="",W20,VLOOKUP(W20,'Списки участников'!$A:$O,12,FALSE))</f>
        <v/>
      </c>
      <c r="Y20" s="306"/>
      <c r="Z20" s="302"/>
      <c r="AA20" s="455" t="s">
        <v>2814</v>
      </c>
      <c r="AB20" s="230"/>
      <c r="AC20" s="230"/>
      <c r="AD20" s="210">
        <f>IF(AC20="",AC20,VLOOKUP(AC20,'Списки участников'!$A:$O,12,FALSE))</f>
        <v>0</v>
      </c>
      <c r="AE20" s="223" t="s">
        <v>893</v>
      </c>
      <c r="AF20" s="294" t="str">
        <f>IF(F45="","",IF(E44=B45,B43,IF(E44=B43,B45)))</f>
        <v/>
      </c>
      <c r="AG20" s="239" t="str">
        <f>IF(AF20="",AF20,VLOOKUP(AF20,'Списки участников'!$A:$O,12,FALSE))</f>
        <v/>
      </c>
      <c r="AH20" s="295"/>
      <c r="AI20" s="227"/>
      <c r="AJ20" s="228" t="s">
        <v>2814</v>
      </c>
      <c r="AK20" s="229"/>
      <c r="AL20" s="296">
        <v>0</v>
      </c>
      <c r="AM20" s="239">
        <v>0</v>
      </c>
      <c r="AN20" s="231"/>
      <c r="AO20" s="231"/>
      <c r="AP20" s="242"/>
      <c r="AQ20" s="243"/>
      <c r="AR20" s="242"/>
      <c r="AS20" s="231"/>
    </row>
    <row r="21" spans="1:46" ht="10.5" customHeight="1" x14ac:dyDescent="0.2">
      <c r="A21" s="223">
        <v>8</v>
      </c>
      <c r="B21" s="224"/>
      <c r="C21" s="239">
        <f>IF(B21="",B21,VLOOKUP(B21,'Списки участников'!$A:$O,3,FALSE))</f>
        <v>0</v>
      </c>
      <c r="D21" s="297">
        <f>IF(B21="",B21,VLOOKUP(B21,'Списки участников'!A:K,6,FALSE))</f>
        <v>0</v>
      </c>
      <c r="E21" s="227"/>
      <c r="F21" s="228" t="s">
        <v>2814</v>
      </c>
      <c r="G21" s="245"/>
      <c r="H21" s="245"/>
      <c r="I21" s="231"/>
      <c r="J21" s="231"/>
      <c r="K21" s="231"/>
      <c r="L21" s="242"/>
      <c r="M21" s="243"/>
      <c r="N21" s="242"/>
      <c r="O21" s="231"/>
      <c r="P21" s="231"/>
      <c r="Q21" s="231"/>
      <c r="R21" s="215"/>
      <c r="S21" s="237"/>
      <c r="T21" s="237"/>
      <c r="U21" s="237"/>
      <c r="V21" s="237"/>
      <c r="W21" s="237"/>
      <c r="X21" s="237"/>
      <c r="Y21" s="310"/>
      <c r="Z21" s="310"/>
      <c r="AA21" s="237"/>
      <c r="AB21" s="316" t="s">
        <v>894</v>
      </c>
      <c r="AC21" s="317" t="str">
        <f>IF(AD18="","",IF(AC17=Z15,Z19,IF(AC17=Z19,Z15)))</f>
        <v/>
      </c>
      <c r="AD21" s="239" t="str">
        <f>IF(AD18="",AC21,VLOOKUP(AC21,'Списки участников'!$A:$O,12,FALSE))</f>
        <v/>
      </c>
      <c r="AE21" s="208" t="s">
        <v>2</v>
      </c>
      <c r="AF21" s="290" t="str">
        <f>IF(F49="","",IF(E48=B47,B49,IF(E48=B49,B47)))</f>
        <v/>
      </c>
      <c r="AG21" s="210" t="str">
        <f>IF(AF21="",AF21,VLOOKUP(AF21,'Списки участников'!$A:$O,12,FALSE))</f>
        <v/>
      </c>
      <c r="AH21" s="265"/>
      <c r="AI21" s="212"/>
      <c r="AJ21" s="300"/>
      <c r="AK21" s="243" t="s">
        <v>728</v>
      </c>
      <c r="AL21" s="237"/>
      <c r="AM21" s="228" t="s">
        <v>2814</v>
      </c>
      <c r="AN21" s="229"/>
      <c r="AO21" s="230"/>
      <c r="AP21" s="242"/>
      <c r="AQ21" s="243"/>
      <c r="AR21" s="242"/>
      <c r="AS21" s="231"/>
    </row>
    <row r="22" spans="1:46" ht="10.5" customHeight="1" x14ac:dyDescent="0.2">
      <c r="A22" s="208"/>
      <c r="B22" s="208"/>
      <c r="C22" s="213"/>
      <c r="D22" s="233"/>
      <c r="E22" s="231"/>
      <c r="F22" s="231"/>
      <c r="G22" s="231"/>
      <c r="H22" s="231"/>
      <c r="I22" s="231"/>
      <c r="J22" s="231"/>
      <c r="K22" s="231"/>
      <c r="L22" s="242"/>
      <c r="M22" s="1137">
        <v>29</v>
      </c>
      <c r="N22" s="234">
        <v>0</v>
      </c>
      <c r="O22" s="239">
        <v>0</v>
      </c>
      <c r="P22" s="220"/>
      <c r="Q22" s="220"/>
      <c r="R22" s="215"/>
      <c r="S22" s="237"/>
      <c r="T22" s="237"/>
      <c r="U22" s="237"/>
      <c r="V22" s="237"/>
      <c r="W22" s="237"/>
      <c r="X22" s="237"/>
      <c r="Y22" s="310"/>
      <c r="Z22" s="310"/>
      <c r="AA22" s="302"/>
      <c r="AB22" s="302"/>
      <c r="AC22" s="302" t="str">
        <f>IF(AB1="","",IF(AB1=#REF!,Y17,IF(AB1=Y17,#REF!)))</f>
        <v/>
      </c>
      <c r="AD22" s="237"/>
      <c r="AE22" s="217"/>
      <c r="AF22" s="217"/>
      <c r="AG22" s="292"/>
      <c r="AH22" s="218" t="s">
        <v>64</v>
      </c>
      <c r="AI22" s="219">
        <v>0</v>
      </c>
      <c r="AJ22" s="239">
        <v>0</v>
      </c>
      <c r="AK22" s="240"/>
      <c r="AL22" s="241"/>
      <c r="AM22" s="242"/>
      <c r="AN22" s="243"/>
      <c r="AO22" s="242"/>
      <c r="AP22" s="242"/>
      <c r="AQ22" s="243"/>
      <c r="AR22" s="242"/>
      <c r="AT22" s="318"/>
    </row>
    <row r="23" spans="1:46" ht="10.5" customHeight="1" x14ac:dyDescent="0.2">
      <c r="A23" s="208">
        <v>9</v>
      </c>
      <c r="B23" s="209"/>
      <c r="C23" s="210">
        <f>IF(B23="",B23,VLOOKUP(B23,'Списки участников'!$A:$O,3,FALSE))</f>
        <v>0</v>
      </c>
      <c r="D23" s="211">
        <f>IF(B23="",B23,VLOOKUP(B23,'Списки участников'!A:K,6,FALSE))</f>
        <v>0</v>
      </c>
      <c r="E23" s="212"/>
      <c r="F23" s="231"/>
      <c r="G23" s="231"/>
      <c r="H23" s="231"/>
      <c r="I23" s="231"/>
      <c r="J23" s="231"/>
      <c r="K23" s="231"/>
      <c r="L23" s="242"/>
      <c r="M23" s="1137"/>
      <c r="N23" s="237"/>
      <c r="O23" s="244" t="s">
        <v>2814</v>
      </c>
      <c r="P23" s="229"/>
      <c r="Q23" s="230"/>
      <c r="R23" s="215"/>
      <c r="S23" s="237"/>
      <c r="T23" s="237"/>
      <c r="U23" s="237"/>
      <c r="V23" s="237"/>
      <c r="W23" s="237"/>
      <c r="X23" s="237"/>
      <c r="Y23" s="231"/>
      <c r="Z23" s="231"/>
      <c r="AA23" s="231"/>
      <c r="AB23" s="231"/>
      <c r="AC23" s="231"/>
      <c r="AD23" s="867" t="str">
        <f>CONCATENATE(M4+6," ","место")</f>
        <v>7 место</v>
      </c>
      <c r="AE23" s="223" t="s">
        <v>895</v>
      </c>
      <c r="AF23" s="294" t="str">
        <f>IF(F53="","",IF(E52=B51,B53,IF(E52=B53,B51)))</f>
        <v/>
      </c>
      <c r="AG23" s="239" t="str">
        <f>IF(AF23="",AF23,VLOOKUP(AF23,'Списки участников'!$A:$O,12,FALSE))</f>
        <v/>
      </c>
      <c r="AH23" s="295"/>
      <c r="AI23" s="227"/>
      <c r="AJ23" s="228" t="s">
        <v>2814</v>
      </c>
      <c r="AK23" s="245"/>
      <c r="AL23" s="245"/>
      <c r="AM23" s="242"/>
      <c r="AN23" s="243"/>
      <c r="AO23" s="242"/>
      <c r="AP23" s="242"/>
      <c r="AQ23" s="243"/>
      <c r="AR23" s="242"/>
      <c r="AT23" s="318"/>
    </row>
    <row r="24" spans="1:46" ht="10.5" customHeight="1" x14ac:dyDescent="0.2">
      <c r="A24" s="217"/>
      <c r="B24" s="217"/>
      <c r="C24" s="292"/>
      <c r="D24" s="218">
        <v>5</v>
      </c>
      <c r="E24" s="219">
        <v>0</v>
      </c>
      <c r="F24" s="210">
        <v>0</v>
      </c>
      <c r="G24" s="220"/>
      <c r="H24" s="220"/>
      <c r="I24" s="231"/>
      <c r="J24" s="231"/>
      <c r="K24" s="231"/>
      <c r="L24" s="242"/>
      <c r="M24" s="243"/>
      <c r="N24" s="242"/>
      <c r="O24" s="231"/>
      <c r="P24" s="243"/>
      <c r="Q24" s="242"/>
      <c r="R24" s="215"/>
      <c r="S24" s="237"/>
      <c r="T24" s="237"/>
      <c r="U24" s="241"/>
      <c r="V24" s="237"/>
      <c r="W24" s="237"/>
      <c r="X24" s="241"/>
      <c r="Y24" s="208" t="s">
        <v>896</v>
      </c>
      <c r="Z24" s="290" t="str">
        <f>IF(AA16="","",IF(Z15=W14,W16,IF(Z15=W16,W14)))</f>
        <v/>
      </c>
      <c r="AA24" s="210" t="str">
        <f>IF(AA16="",Z24,VLOOKUP(Z24,'Списки участников'!$A:$O,12,FALSE))</f>
        <v/>
      </c>
      <c r="AB24" s="293"/>
      <c r="AC24" s="293"/>
      <c r="AD24" s="245"/>
      <c r="AE24" s="208" t="s">
        <v>897</v>
      </c>
      <c r="AF24" s="290" t="str">
        <f>IF(F57="","",IF(E56=B55,B57,IF(E56=B57,B55)))</f>
        <v/>
      </c>
      <c r="AG24" s="210" t="str">
        <f>IF(AF24="",AF24,VLOOKUP(AF24,'Списки участников'!$A:$O,12,FALSE))</f>
        <v/>
      </c>
      <c r="AH24" s="265"/>
      <c r="AI24" s="212"/>
      <c r="AJ24" s="231"/>
      <c r="AK24" s="231"/>
      <c r="AL24" s="231"/>
      <c r="AM24" s="242"/>
      <c r="AN24" s="243" t="s">
        <v>731</v>
      </c>
      <c r="AO24" s="219">
        <v>0</v>
      </c>
      <c r="AP24" s="239">
        <v>0</v>
      </c>
      <c r="AQ24" s="313"/>
      <c r="AR24" s="245"/>
      <c r="AS24" s="867" t="str">
        <f>CONCATENATE(M4+17," ","место")</f>
        <v>18 место</v>
      </c>
      <c r="AT24" s="318"/>
    </row>
    <row r="25" spans="1:46" ht="10.5" customHeight="1" x14ac:dyDescent="0.2">
      <c r="A25" s="223">
        <v>10</v>
      </c>
      <c r="B25" s="224"/>
      <c r="C25" s="239">
        <f>IF(B25="",B25,VLOOKUP(B25,'Списки участников'!$A:$O,3,FALSE))</f>
        <v>0</v>
      </c>
      <c r="D25" s="315">
        <f>IF(B25="",B25,VLOOKUP(B25,'Списки участников'!A:K,6,FALSE))</f>
        <v>0</v>
      </c>
      <c r="E25" s="227"/>
      <c r="F25" s="228" t="s">
        <v>2814</v>
      </c>
      <c r="G25" s="229"/>
      <c r="H25" s="230"/>
      <c r="I25" s="231"/>
      <c r="J25" s="231"/>
      <c r="K25" s="231"/>
      <c r="L25" s="242"/>
      <c r="M25" s="243"/>
      <c r="N25" s="242"/>
      <c r="O25" s="231"/>
      <c r="P25" s="243"/>
      <c r="Q25" s="242"/>
      <c r="R25" s="215"/>
      <c r="S25" s="237"/>
      <c r="T25" s="237"/>
      <c r="U25" s="237"/>
      <c r="V25" s="237"/>
      <c r="W25" s="237"/>
      <c r="X25" s="230"/>
      <c r="Y25" s="217"/>
      <c r="Z25" s="217"/>
      <c r="AA25" s="298"/>
      <c r="AB25" s="299" t="s">
        <v>11</v>
      </c>
      <c r="AC25" s="219">
        <v>0</v>
      </c>
      <c r="AD25" s="239">
        <v>0</v>
      </c>
      <c r="AE25" s="217"/>
      <c r="AF25" s="217"/>
      <c r="AG25" s="292"/>
      <c r="AH25" s="218" t="s">
        <v>65</v>
      </c>
      <c r="AI25" s="219">
        <v>0</v>
      </c>
      <c r="AJ25" s="239">
        <v>0</v>
      </c>
      <c r="AK25" s="220"/>
      <c r="AL25" s="220"/>
      <c r="AM25" s="242"/>
      <c r="AN25" s="243"/>
      <c r="AO25" s="242"/>
      <c r="AP25" s="244" t="s">
        <v>2814</v>
      </c>
      <c r="AQ25" s="307" t="s">
        <v>898</v>
      </c>
      <c r="AR25" s="268" t="str">
        <f>IF(AS19="","",IF(AR18=AO11,AO24,IF(AR18=AO24,AO11)))</f>
        <v/>
      </c>
      <c r="AS25" s="239" t="str">
        <f>IF(AR25="",AR25,VLOOKUP(AR25,'Списки участников'!$A:$O,12,FALSE))</f>
        <v/>
      </c>
      <c r="AT25" s="318"/>
    </row>
    <row r="26" spans="1:46" ht="10.5" customHeight="1" x14ac:dyDescent="0.2">
      <c r="A26" s="208"/>
      <c r="B26" s="208"/>
      <c r="C26" s="213"/>
      <c r="D26" s="233"/>
      <c r="E26" s="231"/>
      <c r="F26" s="300"/>
      <c r="G26" s="1137" t="s">
        <v>43</v>
      </c>
      <c r="H26" s="234">
        <v>0</v>
      </c>
      <c r="I26" s="210">
        <v>0</v>
      </c>
      <c r="J26" s="220"/>
      <c r="K26" s="220"/>
      <c r="L26" s="242"/>
      <c r="M26" s="243"/>
      <c r="N26" s="242"/>
      <c r="O26" s="231"/>
      <c r="P26" s="243"/>
      <c r="Q26" s="242"/>
      <c r="R26" s="215"/>
      <c r="S26" s="237"/>
      <c r="T26" s="237"/>
      <c r="U26" s="237"/>
      <c r="V26" s="237"/>
      <c r="W26" s="237"/>
      <c r="X26" s="237"/>
      <c r="Y26" s="223" t="s">
        <v>899</v>
      </c>
      <c r="Z26" s="294" t="str">
        <f>IF(AA20="","",IF(Z19=W18,W20,IF(Z19=W20,W18)))</f>
        <v/>
      </c>
      <c r="AA26" s="239" t="str">
        <f>IF(Z26="",Z26,VLOOKUP(Z26,'Списки участников'!$A:$O,12,FALSE))</f>
        <v/>
      </c>
      <c r="AB26" s="301"/>
      <c r="AC26" s="302"/>
      <c r="AD26" s="455" t="s">
        <v>2814</v>
      </c>
      <c r="AE26" s="223" t="s">
        <v>900</v>
      </c>
      <c r="AF26" s="294" t="str">
        <f>IF(F61="","",IF(E60=B61,B59,IF(E60=B59,B61)))</f>
        <v/>
      </c>
      <c r="AG26" s="239" t="str">
        <f>IF(AF26="",AF26,VLOOKUP(AF26,'Списки участников'!$A:$O,12,FALSE))</f>
        <v/>
      </c>
      <c r="AH26" s="295"/>
      <c r="AI26" s="227"/>
      <c r="AJ26" s="228" t="s">
        <v>2814</v>
      </c>
      <c r="AK26" s="229"/>
      <c r="AL26" s="230"/>
      <c r="AM26" s="242"/>
      <c r="AN26" s="243"/>
      <c r="AO26" s="242"/>
      <c r="AP26" s="231"/>
      <c r="AQ26" s="231"/>
      <c r="AR26" s="231"/>
      <c r="AS26" s="231"/>
      <c r="AT26" s="318"/>
    </row>
    <row r="27" spans="1:46" ht="10.5" customHeight="1" x14ac:dyDescent="0.2">
      <c r="A27" s="208">
        <v>11</v>
      </c>
      <c r="B27" s="209"/>
      <c r="C27" s="210">
        <f>IF(B27="",B27,VLOOKUP(B27,'Списки участников'!$A:$O,3,FALSE))</f>
        <v>0</v>
      </c>
      <c r="D27" s="211">
        <f>IF(B27="",B27,VLOOKUP(B27,'Списки участников'!A:K,6,FALSE))</f>
        <v>0</v>
      </c>
      <c r="E27" s="212"/>
      <c r="F27" s="300"/>
      <c r="G27" s="1137"/>
      <c r="H27" s="237"/>
      <c r="I27" s="228" t="s">
        <v>2814</v>
      </c>
      <c r="J27" s="229"/>
      <c r="K27" s="230"/>
      <c r="L27" s="242"/>
      <c r="M27" s="243"/>
      <c r="N27" s="242"/>
      <c r="O27" s="231"/>
      <c r="P27" s="243"/>
      <c r="Q27" s="242"/>
      <c r="R27" s="215"/>
      <c r="S27" s="237"/>
      <c r="T27" s="237"/>
      <c r="U27" s="302"/>
      <c r="V27" s="237"/>
      <c r="W27" s="237"/>
      <c r="X27" s="237"/>
      <c r="Y27" s="231"/>
      <c r="Z27" s="231"/>
      <c r="AA27" s="231"/>
      <c r="AB27" s="231"/>
      <c r="AC27" s="231"/>
      <c r="AD27" s="867" t="str">
        <f>CONCATENATE(M4+7," ","место")</f>
        <v>8 место</v>
      </c>
      <c r="AE27" s="208" t="s">
        <v>901</v>
      </c>
      <c r="AF27" s="290" t="str">
        <f>IF(F65="","",IF(E64=B65,B63,IF(E64=B63,B65)))</f>
        <v/>
      </c>
      <c r="AG27" s="210" t="str">
        <f>IF(AF27="",AF27,VLOOKUP(AF27,'Списки участников'!$A:$O,12,FALSE))</f>
        <v/>
      </c>
      <c r="AH27" s="265"/>
      <c r="AI27" s="212"/>
      <c r="AJ27" s="300"/>
      <c r="AK27" s="243" t="s">
        <v>729</v>
      </c>
      <c r="AL27" s="296">
        <v>0</v>
      </c>
      <c r="AM27" s="239">
        <v>0</v>
      </c>
      <c r="AN27" s="313"/>
      <c r="AO27" s="245"/>
      <c r="AP27" s="231"/>
      <c r="AQ27" s="231"/>
      <c r="AR27" s="231"/>
      <c r="AT27" s="318"/>
    </row>
    <row r="28" spans="1:46" ht="10.5" customHeight="1" x14ac:dyDescent="0.2">
      <c r="A28" s="217"/>
      <c r="B28" s="217"/>
      <c r="C28" s="292"/>
      <c r="D28" s="218">
        <v>6</v>
      </c>
      <c r="E28" s="219">
        <v>0</v>
      </c>
      <c r="F28" s="239">
        <v>0</v>
      </c>
      <c r="G28" s="240"/>
      <c r="H28" s="241"/>
      <c r="I28" s="242"/>
      <c r="J28" s="243"/>
      <c r="K28" s="242"/>
      <c r="L28" s="242"/>
      <c r="M28" s="243"/>
      <c r="N28" s="242"/>
      <c r="O28" s="231"/>
      <c r="P28" s="243"/>
      <c r="Q28" s="242"/>
      <c r="R28" s="215"/>
      <c r="S28" s="231"/>
      <c r="T28" s="231"/>
      <c r="U28" s="212"/>
      <c r="V28" s="231"/>
      <c r="W28" s="231"/>
      <c r="X28" s="231"/>
      <c r="Y28" s="231"/>
      <c r="Z28" s="231"/>
      <c r="AA28" s="231"/>
      <c r="AB28" s="231"/>
      <c r="AC28" s="231"/>
      <c r="AD28" s="254"/>
      <c r="AE28" s="217"/>
      <c r="AF28" s="217"/>
      <c r="AG28" s="292"/>
      <c r="AH28" s="218" t="s">
        <v>66</v>
      </c>
      <c r="AI28" s="219">
        <v>0</v>
      </c>
      <c r="AJ28" s="239">
        <v>0</v>
      </c>
      <c r="AK28" s="240"/>
      <c r="AL28" s="237"/>
      <c r="AM28" s="228" t="s">
        <v>2814</v>
      </c>
      <c r="AN28" s="208" t="s">
        <v>902</v>
      </c>
      <c r="AO28" s="290" t="str">
        <f>IF(AP12="","",IF(AO11=AL8,AL15,IF(AO11=AL15,AL8)))</f>
        <v/>
      </c>
      <c r="AP28" s="210" t="str">
        <f>IF(AO28="",AO28,VLOOKUP(AO28,'Списки участников'!$A:$O,12,FALSE))</f>
        <v/>
      </c>
      <c r="AQ28" s="293"/>
      <c r="AR28" s="293"/>
      <c r="AS28" s="867" t="str">
        <f>CONCATENATE(M4+18," ","место")</f>
        <v>19 место</v>
      </c>
      <c r="AT28" s="318"/>
    </row>
    <row r="29" spans="1:46" ht="10.5" customHeight="1" x14ac:dyDescent="0.2">
      <c r="A29" s="223">
        <v>12</v>
      </c>
      <c r="B29" s="224"/>
      <c r="C29" s="239">
        <f>IF(B29="",B29,VLOOKUP(B29,'Списки участников'!$A:$O,3,FALSE))</f>
        <v>0</v>
      </c>
      <c r="D29" s="315">
        <f>IF(B29="",B29,VLOOKUP(B29,'Списки участников'!A:K,6,FALSE))</f>
        <v>0</v>
      </c>
      <c r="E29" s="227"/>
      <c r="F29" s="228" t="s">
        <v>2814</v>
      </c>
      <c r="G29" s="245"/>
      <c r="H29" s="245"/>
      <c r="I29" s="242"/>
      <c r="J29" s="243"/>
      <c r="K29" s="242"/>
      <c r="L29" s="242"/>
      <c r="M29" s="243"/>
      <c r="N29" s="242"/>
      <c r="O29" s="231"/>
      <c r="P29" s="243"/>
      <c r="Q29" s="242"/>
      <c r="R29" s="215"/>
      <c r="S29" s="242"/>
      <c r="T29" s="242"/>
      <c r="U29" s="237"/>
      <c r="V29" s="242"/>
      <c r="W29" s="242"/>
      <c r="X29" s="241"/>
      <c r="Y29" s="231"/>
      <c r="Z29" s="231"/>
      <c r="AA29" s="231"/>
      <c r="AB29" s="307" t="s">
        <v>903</v>
      </c>
      <c r="AC29" s="268" t="str">
        <f>IF(AD26="","",IF(AC25=Z24,Z26,IF(AC25=Z26,Z24)))</f>
        <v/>
      </c>
      <c r="AD29" s="239" t="str">
        <f>IF(AD26="",AC29,VLOOKUP(AC29,'Списки участников'!$A:$O,12,FALSE))</f>
        <v/>
      </c>
      <c r="AE29" s="223" t="s">
        <v>904</v>
      </c>
      <c r="AF29" s="294" t="str">
        <f>IF(F69="","",IF(E68=B67,B69,IF(E68=B69,B67)))</f>
        <v/>
      </c>
      <c r="AG29" s="239" t="str">
        <f>IF(AF29="",AF29,VLOOKUP(AF29,'Списки участников'!$A:$O,12,FALSE))</f>
        <v/>
      </c>
      <c r="AH29" s="295"/>
      <c r="AI29" s="227"/>
      <c r="AJ29" s="228" t="s">
        <v>2814</v>
      </c>
      <c r="AK29" s="245"/>
      <c r="AL29" s="245"/>
      <c r="AM29" s="231"/>
      <c r="AN29" s="217"/>
      <c r="AO29" s="217"/>
      <c r="AP29" s="298"/>
      <c r="AQ29" s="299" t="s">
        <v>69</v>
      </c>
      <c r="AR29" s="219">
        <v>0</v>
      </c>
      <c r="AS29" s="239">
        <v>0</v>
      </c>
      <c r="AT29" s="318"/>
    </row>
    <row r="30" spans="1:46" ht="10.5" customHeight="1" x14ac:dyDescent="0.2">
      <c r="A30" s="208"/>
      <c r="B30" s="208"/>
      <c r="C30" s="213"/>
      <c r="D30" s="233"/>
      <c r="E30" s="231"/>
      <c r="F30" s="231"/>
      <c r="G30" s="231"/>
      <c r="H30" s="231"/>
      <c r="I30" s="242"/>
      <c r="J30" s="1137">
        <v>26</v>
      </c>
      <c r="K30" s="234">
        <v>0</v>
      </c>
      <c r="L30" s="210">
        <v>0</v>
      </c>
      <c r="M30" s="240"/>
      <c r="N30" s="241"/>
      <c r="O30" s="231"/>
      <c r="P30" s="243"/>
      <c r="Q30" s="242"/>
      <c r="R30" s="215"/>
      <c r="S30" s="208" t="s">
        <v>905</v>
      </c>
      <c r="T30" s="290" t="str">
        <f>IF(I11="","",IF(H10=E8,E12,IF(H10=E12,E8)))</f>
        <v/>
      </c>
      <c r="U30" s="210" t="str">
        <f>IF(I11="",T30,VLOOKUP(T30,'Списки участников'!$A:$O,12,FALSE))</f>
        <v/>
      </c>
      <c r="V30" s="265"/>
      <c r="W30" s="212"/>
      <c r="X30" s="213"/>
      <c r="Y30" s="213"/>
      <c r="Z30" s="213"/>
      <c r="AA30" s="213"/>
      <c r="AB30" s="213"/>
      <c r="AC30" s="213"/>
      <c r="AD30" s="213"/>
      <c r="AE30" s="310"/>
      <c r="AF30" s="309"/>
      <c r="AG30" s="319"/>
      <c r="AH30" s="320"/>
      <c r="AI30" s="227"/>
      <c r="AJ30" s="231"/>
      <c r="AK30" s="245"/>
      <c r="AL30" s="245"/>
      <c r="AM30" s="231"/>
      <c r="AN30" s="223" t="s">
        <v>906</v>
      </c>
      <c r="AO30" s="294" t="str">
        <f>IF(AP25="","",IF(AO24=AL20,AL27,IF(AO24=AL27,AL20)))</f>
        <v/>
      </c>
      <c r="AP30" s="239" t="str">
        <f>IF(AO30="",AO30,VLOOKUP(AO30,'Списки участников'!$A:$O,12,FALSE))</f>
        <v/>
      </c>
      <c r="AQ30" s="301"/>
      <c r="AR30" s="302"/>
      <c r="AS30" s="455" t="s">
        <v>2814</v>
      </c>
      <c r="AT30" s="318"/>
    </row>
    <row r="31" spans="1:46" ht="10.5" customHeight="1" x14ac:dyDescent="0.2">
      <c r="A31" s="208">
        <v>13</v>
      </c>
      <c r="B31" s="209"/>
      <c r="C31" s="210">
        <f>IF(B31="",B31,VLOOKUP(B31,'Списки участников'!$A:$O,3,FALSE))</f>
        <v>0</v>
      </c>
      <c r="D31" s="211">
        <f>IF(B31="",B31,VLOOKUP(B31,'Списки участников'!A:K,6,FALSE))</f>
        <v>0</v>
      </c>
      <c r="E31" s="212"/>
      <c r="F31" s="231"/>
      <c r="G31" s="231"/>
      <c r="H31" s="231"/>
      <c r="I31" s="242"/>
      <c r="J31" s="1137"/>
      <c r="K31" s="237"/>
      <c r="L31" s="228" t="s">
        <v>2814</v>
      </c>
      <c r="M31" s="245"/>
      <c r="N31" s="245"/>
      <c r="O31" s="231"/>
      <c r="P31" s="243"/>
      <c r="Q31" s="242"/>
      <c r="R31" s="215"/>
      <c r="S31" s="217"/>
      <c r="T31" s="217"/>
      <c r="U31" s="292"/>
      <c r="V31" s="218" t="s">
        <v>21</v>
      </c>
      <c r="W31" s="219">
        <v>0</v>
      </c>
      <c r="X31" s="239">
        <v>0</v>
      </c>
      <c r="Y31" s="220"/>
      <c r="Z31" s="220"/>
      <c r="AA31" s="213"/>
      <c r="AB31" s="213"/>
      <c r="AC31" s="213"/>
      <c r="AD31" s="213"/>
      <c r="AE31" s="310"/>
      <c r="AF31" s="309"/>
      <c r="AG31" s="319"/>
      <c r="AH31" s="320"/>
      <c r="AI31" s="227"/>
      <c r="AJ31" s="231"/>
      <c r="AK31" s="245"/>
      <c r="AL31" s="245"/>
      <c r="AM31" s="231"/>
      <c r="AN31" s="310"/>
      <c r="AO31" s="309"/>
      <c r="AP31" s="302"/>
      <c r="AQ31" s="230"/>
      <c r="AR31" s="230"/>
      <c r="AS31" s="867" t="str">
        <f>CONCATENATE(M4+19," ","место")</f>
        <v>20 место</v>
      </c>
      <c r="AT31" s="318"/>
    </row>
    <row r="32" spans="1:46" ht="10.5" customHeight="1" x14ac:dyDescent="0.2">
      <c r="A32" s="217"/>
      <c r="B32" s="217"/>
      <c r="C32" s="292"/>
      <c r="D32" s="218">
        <v>7</v>
      </c>
      <c r="E32" s="219">
        <v>0</v>
      </c>
      <c r="F32" s="321">
        <v>0</v>
      </c>
      <c r="G32" s="220"/>
      <c r="H32" s="220"/>
      <c r="I32" s="242"/>
      <c r="J32" s="243"/>
      <c r="K32" s="242"/>
      <c r="L32" s="231"/>
      <c r="M32" s="231"/>
      <c r="N32" s="231"/>
      <c r="O32" s="231"/>
      <c r="P32" s="243"/>
      <c r="Q32" s="242"/>
      <c r="R32" s="215"/>
      <c r="S32" s="223" t="s">
        <v>907</v>
      </c>
      <c r="T32" s="294" t="str">
        <f>IF(I19="","",IF(H18=E16,E20,IF(H18=E20,E16)))</f>
        <v/>
      </c>
      <c r="U32" s="239" t="str">
        <f>IF(I19="",T32,VLOOKUP(T32,'Списки участников'!$A:$O,12,FALSE))</f>
        <v/>
      </c>
      <c r="V32" s="295"/>
      <c r="W32" s="302"/>
      <c r="X32" s="455" t="s">
        <v>2814</v>
      </c>
      <c r="Y32" s="229"/>
      <c r="Z32" s="230"/>
      <c r="AA32" s="231"/>
      <c r="AB32" s="231"/>
      <c r="AC32" s="231"/>
      <c r="AD32" s="231"/>
      <c r="AE32" s="310"/>
      <c r="AK32" s="310" t="s">
        <v>908</v>
      </c>
      <c r="AL32" s="311" t="str">
        <f>IF(AM9="","",IF(AL8=AI7,AI10,IF(AL8=AI10,AI7)))</f>
        <v/>
      </c>
      <c r="AM32" s="210" t="str">
        <f>IF(AM9="",AL32,VLOOKUP(AL32,'Списки участников'!$A:$O,12,FALSE))</f>
        <v/>
      </c>
      <c r="AN32" s="231"/>
      <c r="AO32" s="231"/>
      <c r="AP32" s="231"/>
      <c r="AQ32" s="316" t="s">
        <v>909</v>
      </c>
      <c r="AR32" s="317" t="str">
        <f>IF(AS30="","",IF(AR29=AO28,AO30,IF(AR29=AO30,AO28)))</f>
        <v/>
      </c>
      <c r="AS32" s="239" t="str">
        <f>IF(AR32="",AR32,VLOOKUP(AR32,'Списки участников'!$A:$O,12,FALSE))</f>
        <v/>
      </c>
      <c r="AT32" s="318"/>
    </row>
    <row r="33" spans="1:46" ht="10.5" customHeight="1" x14ac:dyDescent="0.2">
      <c r="A33" s="223">
        <v>14</v>
      </c>
      <c r="B33" s="224"/>
      <c r="C33" s="239">
        <f>IF(B33="",B33,VLOOKUP(B33,'Списки участников'!$A:$O,3,FALSE))</f>
        <v>0</v>
      </c>
      <c r="D33" s="315">
        <f>IF(B33="",B33,VLOOKUP(B33,'Списки участников'!A:K,6,FALSE))</f>
        <v>0</v>
      </c>
      <c r="E33" s="227"/>
      <c r="F33" s="228" t="s">
        <v>2814</v>
      </c>
      <c r="G33" s="229"/>
      <c r="H33" s="230"/>
      <c r="I33" s="242"/>
      <c r="J33" s="243"/>
      <c r="K33" s="242"/>
      <c r="L33" s="231"/>
      <c r="M33" s="231"/>
      <c r="N33" s="231"/>
      <c r="O33" s="231"/>
      <c r="P33" s="243"/>
      <c r="Q33" s="242"/>
      <c r="R33" s="215"/>
      <c r="S33" s="208"/>
      <c r="T33" s="208"/>
      <c r="U33" s="213"/>
      <c r="V33" s="233"/>
      <c r="W33" s="231"/>
      <c r="X33" s="1138"/>
      <c r="Y33" s="1137" t="s">
        <v>48</v>
      </c>
      <c r="Z33" s="219">
        <v>0</v>
      </c>
      <c r="AA33" s="239">
        <v>0</v>
      </c>
      <c r="AB33" s="220"/>
      <c r="AC33" s="220"/>
      <c r="AD33" s="231"/>
      <c r="AE33" s="310"/>
      <c r="AK33" s="217"/>
      <c r="AL33" s="217"/>
      <c r="AM33" s="298"/>
      <c r="AN33" s="229" t="s">
        <v>732</v>
      </c>
      <c r="AO33" s="312">
        <v>0</v>
      </c>
      <c r="AP33" s="239">
        <v>0</v>
      </c>
      <c r="AQ33" s="241"/>
      <c r="AR33" s="241"/>
      <c r="AS33" s="254"/>
      <c r="AT33" s="318"/>
    </row>
    <row r="34" spans="1:46" ht="10.5" customHeight="1" x14ac:dyDescent="0.2">
      <c r="A34" s="208"/>
      <c r="B34" s="208"/>
      <c r="C34" s="213"/>
      <c r="D34" s="233"/>
      <c r="E34" s="231"/>
      <c r="F34" s="300"/>
      <c r="G34" s="1137" t="s">
        <v>19</v>
      </c>
      <c r="H34" s="234">
        <v>0</v>
      </c>
      <c r="I34" s="210">
        <v>0</v>
      </c>
      <c r="J34" s="240"/>
      <c r="K34" s="241"/>
      <c r="L34" s="231"/>
      <c r="M34" s="231"/>
      <c r="N34" s="231"/>
      <c r="O34" s="231"/>
      <c r="P34" s="243"/>
      <c r="Q34" s="242"/>
      <c r="R34" s="215"/>
      <c r="S34" s="208" t="s">
        <v>910</v>
      </c>
      <c r="T34" s="290" t="str">
        <f>IF(I27="","",IF(H26=E24,E28,IF(H26=E28,E24)))</f>
        <v/>
      </c>
      <c r="U34" s="210" t="str">
        <f>IF(I27="",T34,VLOOKUP(T34,'Списки участников'!$A:$O,12,FALSE))</f>
        <v/>
      </c>
      <c r="V34" s="265"/>
      <c r="W34" s="212"/>
      <c r="X34" s="1138"/>
      <c r="Y34" s="1137"/>
      <c r="Z34" s="302"/>
      <c r="AA34" s="455" t="s">
        <v>2814</v>
      </c>
      <c r="AB34" s="229"/>
      <c r="AC34" s="230"/>
      <c r="AD34" s="231"/>
      <c r="AE34" s="310"/>
      <c r="AK34" s="223" t="s">
        <v>911</v>
      </c>
      <c r="AL34" s="294" t="str">
        <f>IF(AM16="","",IF(AL15=AI13,AI16,IF(AL15=AI16,AI13)))</f>
        <v/>
      </c>
      <c r="AM34" s="239" t="str">
        <f>IF(AL34="",AL34,VLOOKUP(AL34,'Списки участников'!$A:$O,12,FALSE))</f>
        <v/>
      </c>
      <c r="AN34" s="306"/>
      <c r="AO34" s="217"/>
      <c r="AP34" s="455" t="s">
        <v>2814</v>
      </c>
      <c r="AQ34" s="229"/>
      <c r="AR34" s="230"/>
      <c r="AS34" s="867" t="str">
        <f>CONCATENATE(M4+20," ","место")</f>
        <v>21 место</v>
      </c>
      <c r="AT34" s="318"/>
    </row>
    <row r="35" spans="1:46" ht="10.5" customHeight="1" x14ac:dyDescent="0.2">
      <c r="A35" s="208">
        <v>15</v>
      </c>
      <c r="B35" s="209"/>
      <c r="C35" s="210">
        <f>IF(B35="",B35,VLOOKUP(B35,'Списки участников'!$A:$O,3,FALSE))</f>
        <v>0</v>
      </c>
      <c r="D35" s="211">
        <f>IF(B35="",B35,VLOOKUP(B35,'Списки участников'!A:K,6,FALSE))</f>
        <v>0</v>
      </c>
      <c r="E35" s="212"/>
      <c r="F35" s="300"/>
      <c r="G35" s="1137"/>
      <c r="H35" s="237"/>
      <c r="I35" s="228" t="s">
        <v>2814</v>
      </c>
      <c r="J35" s="245"/>
      <c r="K35" s="245"/>
      <c r="L35" s="231"/>
      <c r="M35" s="231"/>
      <c r="N35" s="231"/>
      <c r="O35" s="231"/>
      <c r="P35" s="243"/>
      <c r="Q35" s="242"/>
      <c r="R35" s="867" t="str">
        <f>CONCATENATE(M4," ","место")</f>
        <v>1 место</v>
      </c>
      <c r="S35" s="217"/>
      <c r="T35" s="217"/>
      <c r="U35" s="292"/>
      <c r="V35" s="218" t="s">
        <v>45</v>
      </c>
      <c r="W35" s="219">
        <v>0</v>
      </c>
      <c r="X35" s="239">
        <v>0</v>
      </c>
      <c r="Y35" s="240"/>
      <c r="Z35" s="241"/>
      <c r="AA35" s="242"/>
      <c r="AB35" s="243"/>
      <c r="AC35" s="242"/>
      <c r="AD35" s="867" t="str">
        <f>CONCATENATE(M4+8," ","место")</f>
        <v>9 место</v>
      </c>
      <c r="AE35" s="310"/>
      <c r="AK35" s="310"/>
      <c r="AL35" s="310"/>
      <c r="AM35" s="241"/>
      <c r="AN35" s="310"/>
      <c r="AO35" s="310"/>
      <c r="AP35" s="230"/>
      <c r="AQ35" s="1137" t="s">
        <v>78</v>
      </c>
      <c r="AR35" s="296">
        <v>0</v>
      </c>
      <c r="AS35" s="239">
        <v>0</v>
      </c>
      <c r="AT35" s="318"/>
    </row>
    <row r="36" spans="1:46" ht="10.5" customHeight="1" x14ac:dyDescent="0.2">
      <c r="A36" s="217"/>
      <c r="B36" s="217"/>
      <c r="C36" s="292"/>
      <c r="D36" s="218">
        <v>8</v>
      </c>
      <c r="E36" s="219">
        <v>0</v>
      </c>
      <c r="F36" s="239">
        <v>0</v>
      </c>
      <c r="G36" s="240"/>
      <c r="H36" s="241"/>
      <c r="I36" s="231"/>
      <c r="J36" s="231"/>
      <c r="K36" s="231"/>
      <c r="L36" s="231"/>
      <c r="M36" s="231"/>
      <c r="N36" s="231"/>
      <c r="O36" s="231"/>
      <c r="P36" s="243"/>
      <c r="Q36" s="242"/>
      <c r="R36" s="215"/>
      <c r="S36" s="223" t="s">
        <v>912</v>
      </c>
      <c r="T36" s="294" t="str">
        <f>IF(I35="","",IF(H34=E32,E36,IF(H34=E36,E32)))</f>
        <v/>
      </c>
      <c r="U36" s="239" t="str">
        <f>IF(I35="",T36,VLOOKUP(T36,'Списки участников'!$A:$O,12,FALSE))</f>
        <v/>
      </c>
      <c r="V36" s="295"/>
      <c r="W36" s="302"/>
      <c r="X36" s="455" t="s">
        <v>2814</v>
      </c>
      <c r="Y36" s="245"/>
      <c r="Z36" s="245"/>
      <c r="AA36" s="242"/>
      <c r="AB36" s="243"/>
      <c r="AC36" s="242"/>
      <c r="AD36" s="231"/>
      <c r="AE36" s="310"/>
      <c r="AK36" s="310" t="s">
        <v>913</v>
      </c>
      <c r="AL36" s="311" t="str">
        <f>IF(AM21="","",IF(AL20=AI19,AI22,IF(AL20=AI22,AI19)))</f>
        <v/>
      </c>
      <c r="AM36" s="210" t="str">
        <f>IF(AL36="",AL36,VLOOKUP(AL36,'Списки участников'!$A:$O,12,FALSE))</f>
        <v/>
      </c>
      <c r="AN36" s="310"/>
      <c r="AO36" s="310"/>
      <c r="AP36" s="237"/>
      <c r="AQ36" s="1137"/>
      <c r="AR36" s="237"/>
      <c r="AS36" s="455" t="s">
        <v>2814</v>
      </c>
      <c r="AT36" s="318"/>
    </row>
    <row r="37" spans="1:46" ht="10.5" customHeight="1" x14ac:dyDescent="0.2">
      <c r="A37" s="223">
        <v>16</v>
      </c>
      <c r="B37" s="224"/>
      <c r="C37" s="239">
        <f>IF(B37="",B37,VLOOKUP(B37,'Списки участников'!$A:$O,3,FALSE))</f>
        <v>0</v>
      </c>
      <c r="D37" s="297">
        <f>IF(B37="",B37,VLOOKUP(B37,'Списки участников'!A:K,6,FALSE))</f>
        <v>0</v>
      </c>
      <c r="E37" s="227"/>
      <c r="F37" s="228" t="s">
        <v>2814</v>
      </c>
      <c r="G37" s="245"/>
      <c r="H37" s="245"/>
      <c r="I37" s="231"/>
      <c r="J37" s="231"/>
      <c r="K37" s="231"/>
      <c r="L37" s="242"/>
      <c r="M37" s="242"/>
      <c r="N37" s="242"/>
      <c r="O37" s="242"/>
      <c r="P37" s="243"/>
      <c r="Q37" s="242"/>
      <c r="R37" s="215"/>
      <c r="S37" s="208"/>
      <c r="T37" s="208"/>
      <c r="U37" s="213"/>
      <c r="V37" s="233"/>
      <c r="W37" s="231"/>
      <c r="X37" s="208"/>
      <c r="Y37" s="231"/>
      <c r="Z37" s="231"/>
      <c r="AA37" s="242"/>
      <c r="AB37" s="1137" t="s">
        <v>50</v>
      </c>
      <c r="AC37" s="219">
        <v>0</v>
      </c>
      <c r="AD37" s="239">
        <v>0</v>
      </c>
      <c r="AK37" s="217"/>
      <c r="AL37" s="217"/>
      <c r="AM37" s="298"/>
      <c r="AN37" s="229" t="s">
        <v>77</v>
      </c>
      <c r="AO37" s="224">
        <v>0</v>
      </c>
      <c r="AP37" s="239">
        <v>0</v>
      </c>
      <c r="AQ37" s="240"/>
      <c r="AR37" s="241"/>
      <c r="AS37" s="867" t="str">
        <f>CONCATENATE(M4+21," ","место")</f>
        <v>22 место</v>
      </c>
    </row>
    <row r="38" spans="1:46" ht="10.5" customHeight="1" x14ac:dyDescent="0.2">
      <c r="A38" s="213"/>
      <c r="B38" s="213"/>
      <c r="C38" s="213"/>
      <c r="D38" s="258"/>
      <c r="E38" s="213"/>
      <c r="F38" s="213"/>
      <c r="G38" s="259"/>
      <c r="H38" s="259"/>
      <c r="I38" s="213"/>
      <c r="J38" s="213"/>
      <c r="K38" s="213"/>
      <c r="L38" s="260"/>
      <c r="M38" s="242"/>
      <c r="N38" s="242"/>
      <c r="O38" s="260"/>
      <c r="P38" s="1137">
        <v>31</v>
      </c>
      <c r="Q38" s="234">
        <v>0</v>
      </c>
      <c r="R38" s="239">
        <v>0</v>
      </c>
      <c r="S38" s="208" t="s">
        <v>914</v>
      </c>
      <c r="T38" s="290" t="str">
        <f>IF(I43="","",IF(H42=E44,E40,IF(H42=E40,E44)))</f>
        <v/>
      </c>
      <c r="U38" s="210" t="str">
        <f>IF(I43="",T38,VLOOKUP(T38,'Списки участников'!$A:$O,12,FALSE))</f>
        <v/>
      </c>
      <c r="V38" s="265"/>
      <c r="W38" s="212"/>
      <c r="X38" s="231"/>
      <c r="Y38" s="231"/>
      <c r="Z38" s="231"/>
      <c r="AA38" s="242"/>
      <c r="AB38" s="1137"/>
      <c r="AC38" s="302"/>
      <c r="AD38" s="455" t="s">
        <v>2814</v>
      </c>
      <c r="AK38" s="223" t="s">
        <v>915</v>
      </c>
      <c r="AL38" s="294" t="str">
        <f>IF(AM28="","",IF(AL27=AI28,AI25,IF(AL27=AI25,AI28)))</f>
        <v/>
      </c>
      <c r="AM38" s="239" t="str">
        <f>IF(AL38="",AL38,VLOOKUP(AL38,'Списки участников'!$A:$O,12,FALSE))</f>
        <v/>
      </c>
      <c r="AN38" s="306"/>
      <c r="AO38" s="310"/>
      <c r="AP38" s="456" t="s">
        <v>2814</v>
      </c>
      <c r="AQ38" s="322" t="s">
        <v>916</v>
      </c>
      <c r="AR38" s="323" t="str">
        <f>IF(AS36="","",IF(AR35=AO33,AO37,IF(AR35=AO37,AO33)))</f>
        <v/>
      </c>
      <c r="AS38" s="239" t="str">
        <f>IF(AS36="",AR38,VLOOKUP(AR38,'Списки участников'!$A:$O,12,FALSE))</f>
        <v/>
      </c>
    </row>
    <row r="39" spans="1:46" ht="10.5" customHeight="1" x14ac:dyDescent="0.2">
      <c r="A39" s="208">
        <v>17</v>
      </c>
      <c r="B39" s="209"/>
      <c r="C39" s="210">
        <f>IF(B39="",B39,VLOOKUP(B39,'Списки участников'!$A:$O,3,FALSE))</f>
        <v>0</v>
      </c>
      <c r="D39" s="211">
        <f>IF(B39="",B39,VLOOKUP(B39,'Списки участников'!A:K,6,FALSE))</f>
        <v>0</v>
      </c>
      <c r="E39" s="212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1137"/>
      <c r="Q39" s="237"/>
      <c r="R39" s="244" t="s">
        <v>2814</v>
      </c>
      <c r="S39" s="217"/>
      <c r="T39" s="217"/>
      <c r="U39" s="292"/>
      <c r="V39" s="218" t="s">
        <v>46</v>
      </c>
      <c r="W39" s="219">
        <v>0</v>
      </c>
      <c r="X39" s="239">
        <v>0</v>
      </c>
      <c r="Y39" s="220"/>
      <c r="Z39" s="220"/>
      <c r="AA39" s="242"/>
      <c r="AB39" s="243"/>
      <c r="AC39" s="242"/>
      <c r="AD39" s="242"/>
      <c r="AK39" s="237"/>
      <c r="AL39" s="237"/>
      <c r="AM39" s="241"/>
      <c r="AN39" s="208" t="s">
        <v>917</v>
      </c>
      <c r="AO39" s="290" t="str">
        <f>IF(AP34="","",IF(AO33=AL32,AL34,IF(AO33=AL34,AL32)))</f>
        <v/>
      </c>
      <c r="AP39" s="210" t="str">
        <f>IF(AO39="",AO39,VLOOKUP(AO39,'Списки участников'!$A:$O,12,FALSE))</f>
        <v/>
      </c>
      <c r="AQ39" s="293"/>
      <c r="AR39" s="293"/>
      <c r="AS39" s="867" t="str">
        <f>CONCATENATE(M4+22," ","место")</f>
        <v>23 место</v>
      </c>
    </row>
    <row r="40" spans="1:46" ht="10.5" customHeight="1" x14ac:dyDescent="0.2">
      <c r="A40" s="217"/>
      <c r="B40" s="217"/>
      <c r="C40" s="292"/>
      <c r="D40" s="218">
        <v>9</v>
      </c>
      <c r="E40" s="219">
        <v>0</v>
      </c>
      <c r="F40" s="210">
        <v>0</v>
      </c>
      <c r="G40" s="220"/>
      <c r="H40" s="220"/>
      <c r="I40" s="213"/>
      <c r="J40" s="213"/>
      <c r="K40" s="213"/>
      <c r="L40" s="213"/>
      <c r="M40" s="213"/>
      <c r="N40" s="213"/>
      <c r="O40" s="213"/>
      <c r="P40" s="263"/>
      <c r="Q40" s="260"/>
      <c r="R40" s="834" t="e">
        <f>VLOOKUP(Q38,'Списки участников'!$A:$O,6,FALSE)</f>
        <v>#N/A</v>
      </c>
      <c r="S40" s="223" t="s">
        <v>918</v>
      </c>
      <c r="T40" s="294" t="str">
        <f>IF(I51="","",IF(H50=E48,E52,IF(H50=E52,E48)))</f>
        <v/>
      </c>
      <c r="U40" s="239" t="str">
        <f>IF(I51="",T40,VLOOKUP(T40,'Списки участников'!$A:$O,12,FALSE))</f>
        <v/>
      </c>
      <c r="V40" s="295"/>
      <c r="W40" s="302"/>
      <c r="X40" s="455" t="s">
        <v>2814</v>
      </c>
      <c r="Y40" s="229"/>
      <c r="Z40" s="230"/>
      <c r="AA40" s="242"/>
      <c r="AB40" s="243"/>
      <c r="AC40" s="242"/>
      <c r="AD40" s="242"/>
      <c r="AK40" s="237"/>
      <c r="AL40" s="237"/>
      <c r="AM40" s="230"/>
      <c r="AN40" s="217"/>
      <c r="AO40" s="217"/>
      <c r="AP40" s="298"/>
      <c r="AQ40" s="299" t="s">
        <v>79</v>
      </c>
      <c r="AR40" s="219">
        <v>0</v>
      </c>
      <c r="AS40" s="239">
        <v>0</v>
      </c>
    </row>
    <row r="41" spans="1:46" ht="10.5" customHeight="1" x14ac:dyDescent="0.2">
      <c r="A41" s="223">
        <v>18</v>
      </c>
      <c r="B41" s="224"/>
      <c r="C41" s="239">
        <f>IF(B41="",B41,VLOOKUP(B41,'Списки участников'!$A:$O,3,FALSE))</f>
        <v>0</v>
      </c>
      <c r="D41" s="315">
        <f>IF(B41="",B41,VLOOKUP(B41,'Списки участников'!A:K,6,FALSE))</f>
        <v>0</v>
      </c>
      <c r="E41" s="227"/>
      <c r="F41" s="228" t="s">
        <v>2814</v>
      </c>
      <c r="G41" s="229"/>
      <c r="H41" s="230"/>
      <c r="I41" s="231"/>
      <c r="J41" s="231"/>
      <c r="K41" s="231"/>
      <c r="L41" s="231"/>
      <c r="M41" s="231"/>
      <c r="N41" s="231"/>
      <c r="O41" s="231"/>
      <c r="P41" s="243"/>
      <c r="Q41" s="242"/>
      <c r="R41" s="215"/>
      <c r="S41" s="208"/>
      <c r="T41" s="208"/>
      <c r="U41" s="213"/>
      <c r="V41" s="233"/>
      <c r="W41" s="231"/>
      <c r="X41" s="1138"/>
      <c r="Y41" s="1137" t="s">
        <v>49</v>
      </c>
      <c r="Z41" s="219">
        <v>0</v>
      </c>
      <c r="AA41" s="239">
        <v>0</v>
      </c>
      <c r="AB41" s="240"/>
      <c r="AC41" s="241"/>
      <c r="AD41" s="867" t="str">
        <f>CONCATENATE(M4+9," ","место")</f>
        <v>10 место</v>
      </c>
      <c r="AJ41" s="319"/>
      <c r="AK41" s="237"/>
      <c r="AL41" s="237"/>
      <c r="AM41" s="237"/>
      <c r="AN41" s="223" t="s">
        <v>98</v>
      </c>
      <c r="AO41" s="294" t="str">
        <f>IF(AP38="","",IF(AO37=AL36,AL38,IF(AO37=AL38,AL36)))</f>
        <v/>
      </c>
      <c r="AP41" s="239" t="str">
        <f>IF(AO41="",AO41,VLOOKUP(AO41,'Списки участников'!$A:$O,12,FALSE))</f>
        <v/>
      </c>
      <c r="AQ41" s="301"/>
      <c r="AR41" s="302"/>
      <c r="AS41" s="455" t="s">
        <v>2814</v>
      </c>
    </row>
    <row r="42" spans="1:46" ht="10.5" customHeight="1" x14ac:dyDescent="0.2">
      <c r="A42" s="208"/>
      <c r="B42" s="208"/>
      <c r="C42" s="213"/>
      <c r="D42" s="233"/>
      <c r="E42" s="231"/>
      <c r="F42" s="300"/>
      <c r="G42" s="1137" t="s">
        <v>36</v>
      </c>
      <c r="H42" s="234">
        <v>0</v>
      </c>
      <c r="I42" s="210">
        <v>0</v>
      </c>
      <c r="J42" s="220"/>
      <c r="K42" s="220"/>
      <c r="L42" s="231"/>
      <c r="M42" s="231"/>
      <c r="N42" s="231"/>
      <c r="O42" s="231"/>
      <c r="P42" s="243"/>
      <c r="Q42" s="242"/>
      <c r="R42" s="215"/>
      <c r="S42" s="208" t="s">
        <v>919</v>
      </c>
      <c r="T42" s="290" t="str">
        <f>IF(I59="","",IF(H58=E60,E56,IF(H58=E56,E60)))</f>
        <v/>
      </c>
      <c r="U42" s="210" t="str">
        <f>IF(I59="",T42,VLOOKUP(T42,'Списки участников'!$A:$O,12,FALSE))</f>
        <v/>
      </c>
      <c r="V42" s="265"/>
      <c r="W42" s="212"/>
      <c r="X42" s="1138"/>
      <c r="Y42" s="1137"/>
      <c r="Z42" s="302"/>
      <c r="AA42" s="455" t="s">
        <v>2814</v>
      </c>
      <c r="AB42" s="245"/>
      <c r="AC42" s="245"/>
      <c r="AD42" s="242"/>
      <c r="AH42" s="324">
        <v>-49</v>
      </c>
      <c r="AI42" s="325" t="str">
        <f>IF(AJ8="","",IF(AI7=AF6,AF8,IF(AI7=AF8,AF6)))</f>
        <v/>
      </c>
      <c r="AJ42" s="239" t="str">
        <f>IF(AI42="",AI42,VLOOKUP(AI42,'Списки участников'!$A:$O,12,FALSE))</f>
        <v/>
      </c>
      <c r="AK42" s="242"/>
      <c r="AL42" s="242"/>
      <c r="AM42" s="241"/>
      <c r="AN42" s="231"/>
      <c r="AO42" s="231"/>
      <c r="AP42" s="231"/>
      <c r="AQ42" s="231"/>
      <c r="AR42" s="231"/>
      <c r="AS42" s="867" t="str">
        <f>CONCATENATE(M4+23," ","место")</f>
        <v>24 место</v>
      </c>
    </row>
    <row r="43" spans="1:46" ht="10.5" customHeight="1" x14ac:dyDescent="0.2">
      <c r="A43" s="208">
        <v>19</v>
      </c>
      <c r="B43" s="209"/>
      <c r="C43" s="210">
        <f>IF(B43="",B43,VLOOKUP(B43,'Списки участников'!$A:$O,3,FALSE))</f>
        <v>0</v>
      </c>
      <c r="D43" s="211">
        <f>IF(B43="",B43,VLOOKUP(B43,'Списки участников'!A:K,6,FALSE))</f>
        <v>0</v>
      </c>
      <c r="E43" s="212"/>
      <c r="F43" s="300"/>
      <c r="G43" s="1137"/>
      <c r="H43" s="237"/>
      <c r="I43" s="228" t="s">
        <v>2814</v>
      </c>
      <c r="J43" s="229"/>
      <c r="K43" s="230"/>
      <c r="L43" s="231"/>
      <c r="M43" s="231"/>
      <c r="N43" s="231"/>
      <c r="O43" s="231"/>
      <c r="P43" s="243"/>
      <c r="Q43" s="242"/>
      <c r="R43" s="215"/>
      <c r="S43" s="217"/>
      <c r="T43" s="217"/>
      <c r="U43" s="292"/>
      <c r="V43" s="218" t="s">
        <v>47</v>
      </c>
      <c r="W43" s="219">
        <v>0</v>
      </c>
      <c r="X43" s="239">
        <v>0</v>
      </c>
      <c r="Y43" s="240"/>
      <c r="Z43" s="241"/>
      <c r="AA43" s="231"/>
      <c r="AB43" s="307" t="s">
        <v>920</v>
      </c>
      <c r="AC43" s="268" t="str">
        <f>IF(AD38="","",IF(AC37=Z33,Z41,IF(AC37=Z41,Z33)))</f>
        <v/>
      </c>
      <c r="AD43" s="239" t="str">
        <f>IF(AD38="",AC43,VLOOKUP(AC43,'Списки участников'!$A:$O,12,FALSE))</f>
        <v/>
      </c>
      <c r="AE43" s="310"/>
      <c r="AF43" s="309"/>
      <c r="AG43" s="319"/>
      <c r="AH43" s="303"/>
      <c r="AI43" s="217"/>
      <c r="AJ43" s="292"/>
      <c r="AK43" s="218" t="s">
        <v>733</v>
      </c>
      <c r="AL43" s="219">
        <v>0</v>
      </c>
      <c r="AM43" s="239">
        <v>0</v>
      </c>
      <c r="AN43" s="231"/>
      <c r="AO43" s="231"/>
      <c r="AP43" s="231"/>
      <c r="AQ43" s="307" t="s">
        <v>921</v>
      </c>
      <c r="AR43" s="268" t="str">
        <f>IF(AS41="","",IF(AR40=AO39,AO41,IF(AR40=AO41,AO39)))</f>
        <v/>
      </c>
      <c r="AS43" s="239" t="str">
        <f>IF(AR43="",AR43,VLOOKUP(AR43,'Списки участников'!$A:$O,12,FALSE))</f>
        <v/>
      </c>
    </row>
    <row r="44" spans="1:46" ht="10.5" customHeight="1" x14ac:dyDescent="0.2">
      <c r="A44" s="217"/>
      <c r="B44" s="217"/>
      <c r="C44" s="292"/>
      <c r="D44" s="218">
        <v>10</v>
      </c>
      <c r="E44" s="219">
        <v>0</v>
      </c>
      <c r="F44" s="239">
        <v>0</v>
      </c>
      <c r="G44" s="240"/>
      <c r="H44" s="241"/>
      <c r="I44" s="242"/>
      <c r="J44" s="243"/>
      <c r="K44" s="242"/>
      <c r="L44" s="231"/>
      <c r="M44" s="231"/>
      <c r="N44" s="231"/>
      <c r="O44" s="231"/>
      <c r="P44" s="243"/>
      <c r="Q44" s="242"/>
      <c r="R44" s="215"/>
      <c r="S44" s="223" t="s">
        <v>922</v>
      </c>
      <c r="T44" s="294" t="str">
        <f>IF(I67="","",IF(H66=E64,E68,IF(H66=E68,E64)))</f>
        <v/>
      </c>
      <c r="U44" s="239" t="str">
        <f>IF(I67="",T44,VLOOKUP(T44,'Списки участников'!$A:$O,12,FALSE))</f>
        <v/>
      </c>
      <c r="V44" s="295"/>
      <c r="W44" s="302"/>
      <c r="X44" s="455" t="s">
        <v>2814</v>
      </c>
      <c r="Y44" s="245"/>
      <c r="Z44" s="245"/>
      <c r="AA44" s="231"/>
      <c r="AB44" s="231"/>
      <c r="AC44" s="231"/>
      <c r="AD44" s="242"/>
      <c r="AE44" s="310"/>
      <c r="AF44" s="309"/>
      <c r="AG44" s="319"/>
      <c r="AH44" s="322" t="s">
        <v>923</v>
      </c>
      <c r="AI44" s="294" t="str">
        <f>IF(AJ11="","",IF(AI10=AF9,AF11,IF(AI10=AF11,AF9)))</f>
        <v/>
      </c>
      <c r="AJ44" s="239" t="str">
        <f>IF(AI44="",AI44,VLOOKUP(AI44,'Списки участников'!$A:$O,12,FALSE))</f>
        <v/>
      </c>
      <c r="AK44" s="295"/>
      <c r="AL44" s="227"/>
      <c r="AM44" s="228" t="s">
        <v>2814</v>
      </c>
      <c r="AN44" s="229"/>
      <c r="AO44" s="219">
        <v>0</v>
      </c>
      <c r="AP44" s="239">
        <v>0</v>
      </c>
      <c r="AQ44" s="231"/>
      <c r="AR44" s="231"/>
      <c r="AS44" s="231"/>
    </row>
    <row r="45" spans="1:46" ht="10.5" customHeight="1" x14ac:dyDescent="0.2">
      <c r="A45" s="223">
        <v>20</v>
      </c>
      <c r="B45" s="224"/>
      <c r="C45" s="239">
        <f>IF(B45="",B45,VLOOKUP(B45,'Списки участников'!$A:$O,3,FALSE))</f>
        <v>0</v>
      </c>
      <c r="D45" s="297">
        <f>IF(B45="",B45,VLOOKUP(B45,'Списки участников'!A:K,6,FALSE))</f>
        <v>0</v>
      </c>
      <c r="E45" s="227"/>
      <c r="F45" s="228" t="s">
        <v>2814</v>
      </c>
      <c r="G45" s="245"/>
      <c r="H45" s="245"/>
      <c r="I45" s="242"/>
      <c r="J45" s="243"/>
      <c r="K45" s="242"/>
      <c r="L45" s="231"/>
      <c r="M45" s="231"/>
      <c r="N45" s="231"/>
      <c r="O45" s="231"/>
      <c r="P45" s="243"/>
      <c r="Q45" s="242"/>
      <c r="R45" s="215"/>
      <c r="S45" s="310"/>
      <c r="T45" s="309"/>
      <c r="U45" s="319"/>
      <c r="V45" s="320"/>
      <c r="W45" s="227"/>
      <c r="X45" s="231"/>
      <c r="Y45" s="245"/>
      <c r="Z45" s="245"/>
      <c r="AA45" s="231"/>
      <c r="AB45" s="231"/>
      <c r="AC45" s="231"/>
      <c r="AD45" s="867" t="str">
        <f>CONCATENATE(M4+10," ","место")</f>
        <v>11 место</v>
      </c>
      <c r="AE45" s="310"/>
      <c r="AF45" s="309"/>
      <c r="AG45" s="319"/>
      <c r="AH45" s="245" t="s">
        <v>924</v>
      </c>
      <c r="AI45" s="290" t="str">
        <f>IF(AJ14="","",IF(AI13=AF12,AF14,IF(AI13=AF14,AF12)))</f>
        <v/>
      </c>
      <c r="AJ45" s="239" t="str">
        <f>IF(AI45="",AI45,VLOOKUP(AI45,'Списки участников'!$A:$O,12,FALSE))</f>
        <v/>
      </c>
      <c r="AK45" s="265"/>
      <c r="AL45" s="212"/>
      <c r="AM45" s="924"/>
      <c r="AN45" s="243" t="s">
        <v>87</v>
      </c>
      <c r="AO45" s="227"/>
      <c r="AP45" s="228" t="s">
        <v>2814</v>
      </c>
      <c r="AQ45" s="229"/>
      <c r="AR45" s="230"/>
      <c r="AS45" s="231"/>
    </row>
    <row r="46" spans="1:46" ht="10.5" customHeight="1" x14ac:dyDescent="0.2">
      <c r="A46" s="208"/>
      <c r="B46" s="208"/>
      <c r="C46" s="213"/>
      <c r="D46" s="233"/>
      <c r="E46" s="231"/>
      <c r="F46" s="231"/>
      <c r="G46" s="231"/>
      <c r="H46" s="231"/>
      <c r="I46" s="242"/>
      <c r="J46" s="1137">
        <v>27</v>
      </c>
      <c r="K46" s="234">
        <v>0</v>
      </c>
      <c r="L46" s="210">
        <v>0</v>
      </c>
      <c r="M46" s="220"/>
      <c r="N46" s="220"/>
      <c r="O46" s="231"/>
      <c r="P46" s="243"/>
      <c r="Q46" s="242"/>
      <c r="R46" s="215"/>
      <c r="Y46" s="208" t="s">
        <v>925</v>
      </c>
      <c r="Z46" s="290" t="str">
        <f>IF(AA34="","",IF(Z33=W35,W31,IF(Z33=W31,W35)))</f>
        <v/>
      </c>
      <c r="AA46" s="210" t="str">
        <f>IF(AA34="",Z46,VLOOKUP(Z46,'Списки участников'!$A:$O,12,FALSE))</f>
        <v/>
      </c>
      <c r="AB46" s="293"/>
      <c r="AC46" s="293"/>
      <c r="AD46" s="245"/>
      <c r="AE46" s="310"/>
      <c r="AF46" s="309"/>
      <c r="AG46" s="319"/>
      <c r="AH46" s="303"/>
      <c r="AI46" s="217"/>
      <c r="AJ46" s="210">
        <f>IF(AI46="",AI46,VLOOKUP(AI46,'Списки участников'!$A:$O,12,FALSE))</f>
        <v>0</v>
      </c>
      <c r="AK46" s="218" t="s">
        <v>81</v>
      </c>
      <c r="AL46" s="219">
        <v>0</v>
      </c>
      <c r="AM46" s="239">
        <v>0</v>
      </c>
      <c r="AN46" s="240"/>
      <c r="AO46" s="241"/>
      <c r="AP46" s="242"/>
      <c r="AQ46" s="243"/>
      <c r="AR46" s="242"/>
      <c r="AS46" s="867" t="str">
        <f>CONCATENATE(M4+24," ","место")</f>
        <v>25 место</v>
      </c>
    </row>
    <row r="47" spans="1:46" ht="10.5" customHeight="1" x14ac:dyDescent="0.2">
      <c r="A47" s="208">
        <v>21</v>
      </c>
      <c r="B47" s="209"/>
      <c r="C47" s="210">
        <f>IF(B47="",B47,VLOOKUP(B47,'Списки участников'!$A:$O,3,FALSE))</f>
        <v>0</v>
      </c>
      <c r="D47" s="211">
        <f>IF(B47="",B47,VLOOKUP(B47,'Списки участников'!A:K,6,FALSE))</f>
        <v>0</v>
      </c>
      <c r="E47" s="212"/>
      <c r="F47" s="231"/>
      <c r="G47" s="231"/>
      <c r="H47" s="231"/>
      <c r="I47" s="242"/>
      <c r="J47" s="1137"/>
      <c r="K47" s="237"/>
      <c r="L47" s="228" t="s">
        <v>2814</v>
      </c>
      <c r="M47" s="229"/>
      <c r="N47" s="230"/>
      <c r="O47" s="231"/>
      <c r="P47" s="243"/>
      <c r="Q47" s="242"/>
      <c r="R47" s="215"/>
      <c r="Y47" s="217"/>
      <c r="Z47" s="217"/>
      <c r="AA47" s="298"/>
      <c r="AB47" s="299" t="s">
        <v>51</v>
      </c>
      <c r="AC47" s="219">
        <v>0</v>
      </c>
      <c r="AD47" s="239">
        <v>0</v>
      </c>
      <c r="AE47" s="310"/>
      <c r="AF47" s="309"/>
      <c r="AG47" s="319"/>
      <c r="AH47" s="322" t="s">
        <v>926</v>
      </c>
      <c r="AI47" s="294" t="str">
        <f>IF(AJ17="","",IF(AI16=AF17,AF15,IF(AI16=AF15,AF17)))</f>
        <v/>
      </c>
      <c r="AJ47" s="239" t="str">
        <f>IF(AI47="",AI47,VLOOKUP(AI47,'Списки участников'!$A:$O,12,FALSE))</f>
        <v/>
      </c>
      <c r="AK47" s="295"/>
      <c r="AL47" s="227"/>
      <c r="AM47" s="244" t="s">
        <v>2814</v>
      </c>
      <c r="AN47" s="245"/>
      <c r="AO47" s="245"/>
      <c r="AP47" s="242"/>
      <c r="AQ47" s="243"/>
      <c r="AR47" s="219">
        <v>0</v>
      </c>
      <c r="AS47" s="239">
        <v>0</v>
      </c>
    </row>
    <row r="48" spans="1:46" ht="10.5" customHeight="1" x14ac:dyDescent="0.2">
      <c r="A48" s="217"/>
      <c r="B48" s="217"/>
      <c r="C48" s="292"/>
      <c r="D48" s="218">
        <v>11</v>
      </c>
      <c r="E48" s="219">
        <v>0</v>
      </c>
      <c r="F48" s="210">
        <v>0</v>
      </c>
      <c r="G48" s="220"/>
      <c r="H48" s="220"/>
      <c r="I48" s="242"/>
      <c r="J48" s="243"/>
      <c r="K48" s="242"/>
      <c r="L48" s="242"/>
      <c r="M48" s="243"/>
      <c r="N48" s="242"/>
      <c r="O48" s="231"/>
      <c r="P48" s="243"/>
      <c r="Q48" s="242"/>
      <c r="R48" s="215"/>
      <c r="Y48" s="223" t="s">
        <v>927</v>
      </c>
      <c r="Z48" s="294" t="str">
        <f>IF(AA42="","",IF(Z41=W39,W43,IF(Z41=W43,W39)))</f>
        <v/>
      </c>
      <c r="AA48" s="239" t="str">
        <f>IF(AA42="",Z48,VLOOKUP(Z48,'Списки участников'!$A:$O,12,FALSE))</f>
        <v/>
      </c>
      <c r="AB48" s="301"/>
      <c r="AC48" s="302"/>
      <c r="AD48" s="455" t="s">
        <v>2814</v>
      </c>
      <c r="AE48" s="310"/>
      <c r="AF48" s="309"/>
      <c r="AG48" s="319"/>
      <c r="AH48" s="245" t="s">
        <v>928</v>
      </c>
      <c r="AI48" s="290" t="str">
        <f>IF(AJ20="","",IF(AI19=AF20,AF18,IF(AI19=AF18,AF20)))</f>
        <v/>
      </c>
      <c r="AJ48" s="210" t="str">
        <f>IF(AI48="",AI48,VLOOKUP(AI48,'Списки участников'!$A:$O,12,FALSE))</f>
        <v/>
      </c>
      <c r="AK48" s="265"/>
      <c r="AL48" s="212"/>
      <c r="AM48" s="231"/>
      <c r="AN48" s="231"/>
      <c r="AO48" s="231"/>
      <c r="AP48" s="242"/>
      <c r="AQ48" s="1137" t="s">
        <v>861</v>
      </c>
      <c r="AR48" s="227"/>
      <c r="AS48" s="228" t="s">
        <v>2814</v>
      </c>
    </row>
    <row r="49" spans="1:45" ht="10.5" customHeight="1" x14ac:dyDescent="0.2">
      <c r="A49" s="223">
        <v>22</v>
      </c>
      <c r="B49" s="224"/>
      <c r="C49" s="239">
        <f>IF(B49="",B49,VLOOKUP(B49,'Списки участников'!$A:$O,3,FALSE))</f>
        <v>0</v>
      </c>
      <c r="D49" s="297">
        <f>IF(B49="",B49,VLOOKUP(B49,'Списки участников'!A:K,6,FALSE))</f>
        <v>0</v>
      </c>
      <c r="E49" s="227"/>
      <c r="F49" s="228" t="s">
        <v>2814</v>
      </c>
      <c r="G49" s="229"/>
      <c r="H49" s="230"/>
      <c r="I49" s="242"/>
      <c r="J49" s="243"/>
      <c r="K49" s="242"/>
      <c r="L49" s="242"/>
      <c r="M49" s="243"/>
      <c r="N49" s="242"/>
      <c r="O49" s="231"/>
      <c r="P49" s="243"/>
      <c r="Q49" s="242"/>
      <c r="R49" s="215"/>
      <c r="Y49" s="231"/>
      <c r="Z49" s="231"/>
      <c r="AA49" s="231"/>
      <c r="AB49" s="231"/>
      <c r="AC49" s="231"/>
      <c r="AD49" s="867" t="str">
        <f>CONCATENATE(M4+11," ","место")</f>
        <v>12 место</v>
      </c>
      <c r="AE49" s="310"/>
      <c r="AF49" s="309"/>
      <c r="AG49" s="319"/>
      <c r="AH49" s="303"/>
      <c r="AI49" s="217"/>
      <c r="AJ49" s="292"/>
      <c r="AK49" s="218" t="s">
        <v>82</v>
      </c>
      <c r="AL49" s="219">
        <v>0</v>
      </c>
      <c r="AM49" s="239">
        <v>0</v>
      </c>
      <c r="AN49" s="220"/>
      <c r="AO49" s="220"/>
      <c r="AP49" s="242"/>
      <c r="AQ49" s="1137"/>
      <c r="AR49" s="242"/>
      <c r="AS49" s="242"/>
    </row>
    <row r="50" spans="1:45" ht="10.5" customHeight="1" x14ac:dyDescent="0.2">
      <c r="A50" s="208"/>
      <c r="B50" s="208"/>
      <c r="C50" s="213"/>
      <c r="D50" s="265"/>
      <c r="E50" s="212"/>
      <c r="F50" s="300"/>
      <c r="G50" s="1137" t="s">
        <v>27</v>
      </c>
      <c r="H50" s="234">
        <v>0</v>
      </c>
      <c r="I50" s="210">
        <v>0</v>
      </c>
      <c r="J50" s="240"/>
      <c r="K50" s="241"/>
      <c r="L50" s="242"/>
      <c r="M50" s="243"/>
      <c r="N50" s="242"/>
      <c r="O50" s="231"/>
      <c r="P50" s="243"/>
      <c r="Q50" s="242"/>
      <c r="R50" s="215"/>
      <c r="Y50" s="231"/>
      <c r="Z50" s="231"/>
      <c r="AA50" s="231"/>
      <c r="AB50" s="231"/>
      <c r="AC50" s="231"/>
      <c r="AD50" s="254"/>
      <c r="AE50" s="310"/>
      <c r="AF50" s="309"/>
      <c r="AG50" s="319"/>
      <c r="AH50" s="322" t="s">
        <v>929</v>
      </c>
      <c r="AI50" s="294" t="str">
        <f>IF(AJ23="","",IF(AI22=AF21,AF23,IF(AI22=AF23,AF21)))</f>
        <v/>
      </c>
      <c r="AJ50" s="239" t="str">
        <f>IF(AI50="",AI50,VLOOKUP(AI50,'Списки участников'!$A:$O,12,FALSE))</f>
        <v/>
      </c>
      <c r="AK50" s="295"/>
      <c r="AL50" s="227"/>
      <c r="AM50" s="228" t="s">
        <v>2814</v>
      </c>
      <c r="AN50" s="229"/>
      <c r="AO50" s="230"/>
      <c r="AP50" s="242"/>
      <c r="AQ50" s="243"/>
      <c r="AR50" s="242"/>
      <c r="AS50" s="242"/>
    </row>
    <row r="51" spans="1:45" ht="10.5" customHeight="1" x14ac:dyDescent="0.2">
      <c r="A51" s="208">
        <v>23</v>
      </c>
      <c r="B51" s="209"/>
      <c r="C51" s="210">
        <f>IF(B51="",B51,VLOOKUP(B51,'Списки участников'!$A:$O,3,FALSE))</f>
        <v>0</v>
      </c>
      <c r="D51" s="211">
        <f>IF(B51="",B51,VLOOKUP(B51,'Списки участников'!A:K,6,FALSE))</f>
        <v>0</v>
      </c>
      <c r="E51" s="212"/>
      <c r="F51" s="300"/>
      <c r="G51" s="1137"/>
      <c r="H51" s="237"/>
      <c r="I51" s="228" t="s">
        <v>2814</v>
      </c>
      <c r="J51" s="245"/>
      <c r="K51" s="245"/>
      <c r="L51" s="242"/>
      <c r="M51" s="243"/>
      <c r="N51" s="242"/>
      <c r="O51" s="231"/>
      <c r="P51" s="243"/>
      <c r="Q51" s="242"/>
      <c r="R51" s="215"/>
      <c r="Y51" s="231"/>
      <c r="Z51" s="231"/>
      <c r="AA51" s="231"/>
      <c r="AB51" s="307" t="s">
        <v>930</v>
      </c>
      <c r="AC51" s="268" t="str">
        <f>IF(AD48="","",IF(AC47=Z46,Z48,IF(AC47=Z48,Z46)))</f>
        <v/>
      </c>
      <c r="AD51" s="239" t="str">
        <f>IF(AD48="",AC51,VLOOKUP(AC51,'Списки участников'!$A:$O,12,FALSE))</f>
        <v/>
      </c>
      <c r="AE51" s="310"/>
      <c r="AH51" s="245" t="s">
        <v>931</v>
      </c>
      <c r="AI51" s="290" t="str">
        <f>IF(AJ26="","",IF(AI25=AF24,AF26,IF(AI25=AF26,AF24)))</f>
        <v/>
      </c>
      <c r="AJ51" s="210" t="str">
        <f>IF(AI51="",AI51,VLOOKUP(AI51,'Списки участников'!$A:$O,12,FALSE))</f>
        <v/>
      </c>
      <c r="AK51" s="265"/>
      <c r="AL51" s="212"/>
      <c r="AM51" s="924"/>
      <c r="AN51" s="243" t="s">
        <v>88</v>
      </c>
      <c r="AO51" s="219">
        <v>0</v>
      </c>
      <c r="AP51" s="239">
        <v>0</v>
      </c>
      <c r="AQ51" s="313"/>
      <c r="AR51" s="245"/>
      <c r="AS51" s="867" t="str">
        <f>CONCATENATE(M4+25," ","место")</f>
        <v>26 место</v>
      </c>
    </row>
    <row r="52" spans="1:45" ht="10.5" customHeight="1" x14ac:dyDescent="0.2">
      <c r="A52" s="217"/>
      <c r="B52" s="217"/>
      <c r="C52" s="292"/>
      <c r="D52" s="218">
        <v>12</v>
      </c>
      <c r="E52" s="219">
        <v>0</v>
      </c>
      <c r="F52" s="239">
        <v>0</v>
      </c>
      <c r="G52" s="240"/>
      <c r="H52" s="241"/>
      <c r="I52" s="231"/>
      <c r="J52" s="231"/>
      <c r="K52" s="231"/>
      <c r="L52" s="242"/>
      <c r="M52" s="243"/>
      <c r="N52" s="242"/>
      <c r="O52" s="231"/>
      <c r="P52" s="243"/>
      <c r="Q52" s="242"/>
      <c r="R52" s="215"/>
      <c r="V52" s="310" t="s">
        <v>932</v>
      </c>
      <c r="W52" s="311" t="str">
        <f>IF(X32="","",IF(W31=T30,T32,IF(W31=T32,T30)))</f>
        <v/>
      </c>
      <c r="X52" s="210" t="str">
        <f>IF(W52="",W52,VLOOKUP(W52,'Списки участников'!$A:$O,12,FALSE))</f>
        <v/>
      </c>
      <c r="Y52" s="231"/>
      <c r="Z52" s="231"/>
      <c r="AA52" s="231"/>
      <c r="AB52" s="231"/>
      <c r="AC52" s="231"/>
      <c r="AD52" s="237"/>
      <c r="AE52" s="310"/>
      <c r="AH52" s="303"/>
      <c r="AI52" s="217"/>
      <c r="AJ52" s="292"/>
      <c r="AK52" s="218" t="s">
        <v>86</v>
      </c>
      <c r="AL52" s="219">
        <v>0</v>
      </c>
      <c r="AM52" s="239">
        <v>0</v>
      </c>
      <c r="AN52" s="240"/>
      <c r="AO52" s="227"/>
      <c r="AP52" s="228" t="s">
        <v>2814</v>
      </c>
      <c r="AQ52" s="307" t="s">
        <v>933</v>
      </c>
      <c r="AR52" s="268">
        <f>IF(AR47="","",IF(AR47=AO44,AO51,IF(AR47=AO51,AO44)))</f>
        <v>0</v>
      </c>
      <c r="AS52" s="239" t="str">
        <f>IF(AS48="","",VLOOKUP(AR52,'Списки участников'!$A:$O,12,FALSE))</f>
        <v/>
      </c>
    </row>
    <row r="53" spans="1:45" ht="10.5" customHeight="1" x14ac:dyDescent="0.2">
      <c r="A53" s="223">
        <v>24</v>
      </c>
      <c r="B53" s="224"/>
      <c r="C53" s="239">
        <f>IF(B53="",B53,VLOOKUP(B53,'Списки участников'!$A:$O,3,FALSE))</f>
        <v>0</v>
      </c>
      <c r="D53" s="297">
        <f>IF(B53="",B53,VLOOKUP(B53,'Списки участников'!A:K,6,FALSE))</f>
        <v>0</v>
      </c>
      <c r="E53" s="227"/>
      <c r="F53" s="228" t="s">
        <v>2814</v>
      </c>
      <c r="G53" s="245"/>
      <c r="H53" s="245"/>
      <c r="I53" s="231"/>
      <c r="J53" s="231"/>
      <c r="K53" s="231"/>
      <c r="L53" s="242"/>
      <c r="M53" s="243"/>
      <c r="N53" s="242"/>
      <c r="O53" s="231"/>
      <c r="P53" s="243"/>
      <c r="Q53" s="242"/>
      <c r="R53" s="215"/>
      <c r="V53" s="217"/>
      <c r="W53" s="217"/>
      <c r="X53" s="298"/>
      <c r="Y53" s="229" t="s">
        <v>52</v>
      </c>
      <c r="Z53" s="219">
        <v>0</v>
      </c>
      <c r="AA53" s="239">
        <v>0</v>
      </c>
      <c r="AB53" s="241"/>
      <c r="AC53" s="241"/>
      <c r="AD53" s="867" t="str">
        <f>CONCATENATE(M4+12," ","место")</f>
        <v>13 место</v>
      </c>
      <c r="AE53" s="310"/>
      <c r="AH53" s="322" t="s">
        <v>934</v>
      </c>
      <c r="AI53" s="294" t="str">
        <f>IF(AJ29="","",IF(AI28=AF27,AF29,IF(AI28=AF29,AF27)))</f>
        <v/>
      </c>
      <c r="AJ53" s="239" t="str">
        <f>IF(AI53="",AI53,VLOOKUP(AI53,'Списки участников'!$A:$O,12,FALSE))</f>
        <v/>
      </c>
      <c r="AK53" s="295"/>
      <c r="AL53" s="227"/>
      <c r="AM53" s="457" t="s">
        <v>2814</v>
      </c>
      <c r="AN53" s="208" t="s">
        <v>935</v>
      </c>
      <c r="AO53" s="290" t="str">
        <f>IF(AP45="","",IF(AO44=AL46,AL43,IF(AO44=AL43,AL46)))</f>
        <v/>
      </c>
      <c r="AP53" s="210" t="str">
        <f>IF(AP45="",AO53,VLOOKUP(AO53,'Списки участников'!$A:$O,12,FALSE))</f>
        <v/>
      </c>
      <c r="AQ53" s="293"/>
      <c r="AR53" s="293"/>
      <c r="AS53" s="867" t="str">
        <f>CONCATENATE(M4+26," ","место")</f>
        <v>27 место</v>
      </c>
    </row>
    <row r="54" spans="1:45" ht="10.5" customHeight="1" x14ac:dyDescent="0.2">
      <c r="A54" s="208"/>
      <c r="B54" s="208"/>
      <c r="C54" s="213"/>
      <c r="D54" s="233"/>
      <c r="E54" s="231"/>
      <c r="F54" s="231"/>
      <c r="G54" s="231"/>
      <c r="H54" s="231"/>
      <c r="I54" s="231"/>
      <c r="J54" s="231"/>
      <c r="K54" s="231"/>
      <c r="L54" s="242"/>
      <c r="M54" s="1137">
        <v>30</v>
      </c>
      <c r="N54" s="219">
        <v>0</v>
      </c>
      <c r="O54" s="239">
        <v>0</v>
      </c>
      <c r="P54" s="240"/>
      <c r="Q54" s="241"/>
      <c r="R54" s="215"/>
      <c r="V54" s="223" t="s">
        <v>936</v>
      </c>
      <c r="W54" s="294" t="str">
        <f>IF(X36="","",IF(W35=T36,T34,IF(W35=T34,T36)))</f>
        <v/>
      </c>
      <c r="X54" s="239" t="str">
        <f>IF(X36="",W54,VLOOKUP(W54,'Списки участников'!$A:$O,12,FALSE))</f>
        <v/>
      </c>
      <c r="Y54" s="306"/>
      <c r="Z54" s="302"/>
      <c r="AA54" s="455" t="s">
        <v>2814</v>
      </c>
      <c r="AB54" s="229"/>
      <c r="AC54" s="230"/>
      <c r="AD54" s="314"/>
      <c r="AE54" s="310"/>
      <c r="AN54" s="217"/>
      <c r="AO54" s="217"/>
      <c r="AP54" s="298"/>
      <c r="AQ54" s="299" t="s">
        <v>862</v>
      </c>
      <c r="AR54" s="219">
        <v>0</v>
      </c>
      <c r="AS54" s="239">
        <v>0</v>
      </c>
    </row>
    <row r="55" spans="1:45" ht="10.5" customHeight="1" x14ac:dyDescent="0.2">
      <c r="A55" s="208">
        <v>25</v>
      </c>
      <c r="B55" s="209"/>
      <c r="C55" s="210">
        <f>IF(B55="",B55,VLOOKUP(B55,'Списки участников'!$A:$O,3,FALSE))</f>
        <v>0</v>
      </c>
      <c r="D55" s="211">
        <f>IF(B55="",B55,VLOOKUP(B55,'Списки участников'!A:K,6,FALSE))</f>
        <v>0</v>
      </c>
      <c r="E55" s="212"/>
      <c r="F55" s="231"/>
      <c r="G55" s="231"/>
      <c r="H55" s="231"/>
      <c r="I55" s="231"/>
      <c r="J55" s="231"/>
      <c r="K55" s="231"/>
      <c r="L55" s="242"/>
      <c r="M55" s="1137"/>
      <c r="N55" s="237"/>
      <c r="O55" s="244" t="s">
        <v>2814</v>
      </c>
      <c r="P55" s="245"/>
      <c r="Q55" s="245"/>
      <c r="R55" s="215"/>
      <c r="V55" s="310"/>
      <c r="W55" s="310"/>
      <c r="X55" s="241"/>
      <c r="Y55" s="310"/>
      <c r="Z55" s="310"/>
      <c r="AA55" s="230"/>
      <c r="AB55" s="1137" t="s">
        <v>54</v>
      </c>
      <c r="AC55" s="219">
        <v>0</v>
      </c>
      <c r="AD55" s="239">
        <v>0</v>
      </c>
      <c r="AE55" s="310"/>
      <c r="AN55" s="223" t="s">
        <v>937</v>
      </c>
      <c r="AO55" s="294" t="str">
        <f>IF(AP52="","",IF(AO51=AL49,AL52,IF(AO51=AL52,AL49)))</f>
        <v/>
      </c>
      <c r="AP55" s="239" t="str">
        <f>IF(AP52="",AO55,VLOOKUP(AO55,'Списки участников'!$A:$O,12,FALSE))</f>
        <v/>
      </c>
      <c r="AQ55" s="301"/>
      <c r="AR55" s="227"/>
      <c r="AS55" s="228" t="s">
        <v>2814</v>
      </c>
    </row>
    <row r="56" spans="1:45" ht="10.5" customHeight="1" x14ac:dyDescent="0.2">
      <c r="A56" s="217"/>
      <c r="B56" s="217"/>
      <c r="C56" s="292"/>
      <c r="D56" s="218">
        <v>13</v>
      </c>
      <c r="E56" s="219">
        <v>0</v>
      </c>
      <c r="F56" s="210">
        <v>0</v>
      </c>
      <c r="G56" s="220"/>
      <c r="H56" s="220"/>
      <c r="I56" s="231"/>
      <c r="J56" s="231"/>
      <c r="K56" s="231"/>
      <c r="L56" s="242"/>
      <c r="M56" s="243"/>
      <c r="N56" s="242"/>
      <c r="O56" s="231"/>
      <c r="P56" s="231"/>
      <c r="Q56" s="231"/>
      <c r="R56" s="215"/>
      <c r="V56" s="310" t="s">
        <v>938</v>
      </c>
      <c r="W56" s="311" t="str">
        <f>IF(X40="","",IF(W39=T38,T40,IF(W39=T40,T38)))</f>
        <v/>
      </c>
      <c r="X56" s="210" t="str">
        <f>IF(X40="",W56,VLOOKUP(W56,'Списки участников'!$A:$O,12,FALSE))</f>
        <v/>
      </c>
      <c r="Y56" s="310"/>
      <c r="Z56" s="310"/>
      <c r="AA56" s="237"/>
      <c r="AB56" s="1137"/>
      <c r="AC56" s="302"/>
      <c r="AD56" s="403" t="s">
        <v>2814</v>
      </c>
      <c r="AE56" s="310"/>
      <c r="AN56" s="231"/>
      <c r="AO56" s="231"/>
      <c r="AP56" s="231"/>
      <c r="AQ56" s="231"/>
      <c r="AR56" s="231"/>
      <c r="AS56" s="867" t="str">
        <f>CONCATENATE(M4+27," ","место")</f>
        <v>28 место</v>
      </c>
    </row>
    <row r="57" spans="1:45" ht="10.5" customHeight="1" x14ac:dyDescent="0.2">
      <c r="A57" s="223">
        <v>26</v>
      </c>
      <c r="B57" s="224"/>
      <c r="C57" s="239">
        <f>IF(B57="",B57,VLOOKUP(B57,'Списки участников'!$A:$O,3,FALSE))</f>
        <v>0</v>
      </c>
      <c r="D57" s="297">
        <f>IF(B57="",B57,VLOOKUP(B57,'Списки участников'!A:K,6,FALSE))</f>
        <v>0</v>
      </c>
      <c r="E57" s="227"/>
      <c r="F57" s="228" t="s">
        <v>2814</v>
      </c>
      <c r="G57" s="229"/>
      <c r="H57" s="230"/>
      <c r="I57" s="231"/>
      <c r="J57" s="231"/>
      <c r="K57" s="231"/>
      <c r="L57" s="242"/>
      <c r="M57" s="243"/>
      <c r="N57" s="242"/>
      <c r="O57" s="231"/>
      <c r="P57" s="231"/>
      <c r="Q57" s="231"/>
      <c r="R57" s="867" t="str">
        <f>CONCATENATE(M4+1," ","место")</f>
        <v>2 место</v>
      </c>
      <c r="V57" s="217"/>
      <c r="W57" s="217"/>
      <c r="X57" s="298"/>
      <c r="Y57" s="229" t="s">
        <v>53</v>
      </c>
      <c r="Z57" s="219">
        <v>0</v>
      </c>
      <c r="AA57" s="239">
        <v>0</v>
      </c>
      <c r="AB57" s="240"/>
      <c r="AC57" s="241"/>
      <c r="AD57" s="867" t="str">
        <f>CONCATENATE(M4+13," ","место")</f>
        <v>14 место</v>
      </c>
      <c r="AE57" s="310"/>
      <c r="AK57" s="223" t="s">
        <v>939</v>
      </c>
      <c r="AL57" s="311" t="str">
        <f>IF(AM44="","",IF(AL43=AI44,AI42,IF(AL43=AI42,AI44)))</f>
        <v/>
      </c>
      <c r="AM57" s="210" t="str">
        <f>IF(AL57="",AL57,VLOOKUP(AL57,'Списки участников'!$A:$O,12,FALSE))</f>
        <v/>
      </c>
      <c r="AN57" s="231"/>
      <c r="AO57" s="231"/>
      <c r="AP57" s="231"/>
      <c r="AQ57" s="307" t="s">
        <v>940</v>
      </c>
      <c r="AR57" s="268" t="str">
        <f>IF(AS55="","",IF(AR54=AO53,AO55,IF(AR54=AO55,AO53)))</f>
        <v/>
      </c>
      <c r="AS57" s="239" t="str">
        <f>IF(AS55="",AR57,VLOOKUP(AR57,'Списки участников'!$A:$O,12,FALSE))</f>
        <v/>
      </c>
    </row>
    <row r="58" spans="1:45" ht="10.5" customHeight="1" x14ac:dyDescent="0.2">
      <c r="A58" s="208"/>
      <c r="B58" s="208"/>
      <c r="C58" s="213"/>
      <c r="D58" s="233"/>
      <c r="E58" s="231"/>
      <c r="F58" s="300"/>
      <c r="G58" s="1137" t="s">
        <v>40</v>
      </c>
      <c r="H58" s="234">
        <v>0</v>
      </c>
      <c r="I58" s="210">
        <v>0</v>
      </c>
      <c r="J58" s="220"/>
      <c r="K58" s="220"/>
      <c r="L58" s="242"/>
      <c r="M58" s="243"/>
      <c r="N58" s="242"/>
      <c r="O58" s="231"/>
      <c r="P58" s="231"/>
      <c r="Q58" s="231"/>
      <c r="R58" s="215"/>
      <c r="V58" s="223" t="s">
        <v>941</v>
      </c>
      <c r="W58" s="294" t="str">
        <f>IF(X44="","",IF(W43=T42,T44,IF(W43=T44,T42)))</f>
        <v/>
      </c>
      <c r="X58" s="239" t="str">
        <f>IF(X44="",W58,VLOOKUP(W58,'Списки участников'!$A:$O,12,FALSE))</f>
        <v/>
      </c>
      <c r="Y58" s="306"/>
      <c r="Z58" s="302"/>
      <c r="AA58" s="455" t="s">
        <v>2814</v>
      </c>
      <c r="AB58" s="230"/>
      <c r="AC58" s="230"/>
      <c r="AE58" s="310"/>
      <c r="AK58" s="217"/>
      <c r="AL58" s="217"/>
      <c r="AM58" s="298"/>
      <c r="AN58" s="229" t="s">
        <v>863</v>
      </c>
      <c r="AO58" s="219">
        <v>0</v>
      </c>
      <c r="AP58" s="239">
        <v>0</v>
      </c>
      <c r="AQ58" s="241"/>
      <c r="AR58" s="241"/>
      <c r="AS58" s="254"/>
    </row>
    <row r="59" spans="1:45" ht="10.5" customHeight="1" x14ac:dyDescent="0.2">
      <c r="A59" s="208">
        <v>27</v>
      </c>
      <c r="B59" s="209"/>
      <c r="C59" s="210">
        <f>IF(B59="",B59,VLOOKUP(B59,'Списки участников'!$A:$O,3,FALSE))</f>
        <v>0</v>
      </c>
      <c r="D59" s="211">
        <f>IF(B59="",B59,VLOOKUP(B59,'Списки участников'!A:K,6,FALSE))</f>
        <v>0</v>
      </c>
      <c r="E59" s="212"/>
      <c r="F59" s="300"/>
      <c r="G59" s="1137"/>
      <c r="H59" s="237"/>
      <c r="I59" s="228" t="s">
        <v>2814</v>
      </c>
      <c r="J59" s="229"/>
      <c r="K59" s="230"/>
      <c r="L59" s="242"/>
      <c r="M59" s="243"/>
      <c r="N59" s="242"/>
      <c r="O59" s="231"/>
      <c r="P59" s="231"/>
      <c r="Q59" s="231"/>
      <c r="R59" s="215"/>
      <c r="V59" s="237"/>
      <c r="W59" s="237"/>
      <c r="X59" s="237"/>
      <c r="Y59" s="310"/>
      <c r="Z59" s="310"/>
      <c r="AA59" s="237"/>
      <c r="AB59" s="316" t="s">
        <v>942</v>
      </c>
      <c r="AC59" s="317" t="str">
        <f>IF(AD56="","",IF(AC55=Z53,Z57,IF(AC55=Z57,Z53)))</f>
        <v/>
      </c>
      <c r="AD59" s="239" t="str">
        <f>IF(AD56="",AC59,VLOOKUP(AC59,'Списки участников'!$A:$O,12,FALSE))</f>
        <v/>
      </c>
      <c r="AE59" s="310"/>
      <c r="AK59" s="223" t="s">
        <v>943</v>
      </c>
      <c r="AL59" s="294" t="str">
        <f>IF(AM47="","",IF(AL46=AI47,AI45,IF(AL46=AI45,AI47)))</f>
        <v/>
      </c>
      <c r="AM59" s="239" t="str">
        <f>IF(AL59="",AL59,VLOOKUP(AL59,'Списки участников'!$A:$O,12,FALSE))</f>
        <v/>
      </c>
      <c r="AN59" s="306"/>
      <c r="AO59" s="227"/>
      <c r="AP59" s="228" t="s">
        <v>2814</v>
      </c>
      <c r="AQ59" s="229"/>
      <c r="AR59" s="230"/>
      <c r="AS59" s="935" t="str">
        <f>CONCATENATE(M4+28," ","место")</f>
        <v>29 место</v>
      </c>
    </row>
    <row r="60" spans="1:45" ht="10.5" customHeight="1" x14ac:dyDescent="0.2">
      <c r="A60" s="217"/>
      <c r="B60" s="217"/>
      <c r="C60" s="292"/>
      <c r="D60" s="218">
        <v>14</v>
      </c>
      <c r="E60" s="219">
        <v>0</v>
      </c>
      <c r="F60" s="239">
        <v>0</v>
      </c>
      <c r="G60" s="240"/>
      <c r="H60" s="241"/>
      <c r="I60" s="242"/>
      <c r="J60" s="243"/>
      <c r="K60" s="242"/>
      <c r="L60" s="242"/>
      <c r="M60" s="243"/>
      <c r="N60" s="242"/>
      <c r="O60" s="231"/>
      <c r="P60" s="245" t="s">
        <v>70</v>
      </c>
      <c r="Q60" s="268" t="str">
        <f>IF(R39="","",IF(Q38=N22,N54,IF(Q38=N54,N22)))</f>
        <v/>
      </c>
      <c r="R60" s="210" t="str">
        <f>IF(R39="",Q60,VLOOKUP(Q60,'Списки участников'!$A:$O,12,FALSE))</f>
        <v/>
      </c>
      <c r="V60" s="237"/>
      <c r="W60" s="237"/>
      <c r="X60" s="237"/>
      <c r="Y60" s="310"/>
      <c r="Z60" s="310"/>
      <c r="AA60" s="302"/>
      <c r="AB60" s="302"/>
      <c r="AC60" s="302" t="str">
        <f>IF(AB40="","",IF(AB40=#REF!,Y55,IF(AB40=Y55,#REF!)))</f>
        <v/>
      </c>
      <c r="AD60" s="237"/>
      <c r="AE60" s="310"/>
      <c r="AK60" s="310"/>
      <c r="AL60" s="310"/>
      <c r="AM60" s="241"/>
      <c r="AN60" s="310"/>
      <c r="AO60" s="310"/>
      <c r="AP60" s="230"/>
      <c r="AQ60" s="1137" t="s">
        <v>865</v>
      </c>
      <c r="AR60" s="219">
        <v>0</v>
      </c>
      <c r="AS60" s="239">
        <v>0</v>
      </c>
    </row>
    <row r="61" spans="1:45" ht="10.5" customHeight="1" x14ac:dyDescent="0.2">
      <c r="A61" s="223">
        <v>28</v>
      </c>
      <c r="B61" s="224"/>
      <c r="C61" s="239">
        <f>IF(B61="",B61,VLOOKUP(B61,'Списки участников'!$A:$O,3,FALSE))</f>
        <v>0</v>
      </c>
      <c r="D61" s="315">
        <f>IF(B61="",B61,VLOOKUP(B61,'Списки участников'!A:K,6,FALSE))</f>
        <v>0</v>
      </c>
      <c r="E61" s="227"/>
      <c r="F61" s="228" t="s">
        <v>2814</v>
      </c>
      <c r="G61" s="245"/>
      <c r="H61" s="245"/>
      <c r="I61" s="242"/>
      <c r="J61" s="243"/>
      <c r="K61" s="242"/>
      <c r="L61" s="242"/>
      <c r="M61" s="243"/>
      <c r="N61" s="242"/>
      <c r="O61" s="231"/>
      <c r="P61" s="231"/>
      <c r="Q61" s="231"/>
      <c r="R61" s="835" t="e">
        <f>VLOOKUP(Q60,'Списки участников'!$A:$O,6,FALSE)</f>
        <v>#N/A</v>
      </c>
      <c r="V61" s="237"/>
      <c r="W61" s="237"/>
      <c r="X61" s="237"/>
      <c r="Y61" s="231"/>
      <c r="Z61" s="231"/>
      <c r="AA61" s="231"/>
      <c r="AB61" s="231"/>
      <c r="AC61" s="231"/>
      <c r="AD61" s="867" t="str">
        <f>CONCATENATE(M4+14," ","место")</f>
        <v>15 место</v>
      </c>
      <c r="AE61" s="310"/>
      <c r="AK61" s="310" t="s">
        <v>944</v>
      </c>
      <c r="AL61" s="311" t="str">
        <f>IF(AM50="","",IF(AL49=AI48,AI50,IF(AL49=AI50,AI48)))</f>
        <v/>
      </c>
      <c r="AM61" s="210" t="str">
        <f>IF(AL61="",AL61,VLOOKUP(AL61,'Списки участников'!$A:$O,12,FALSE))</f>
        <v/>
      </c>
      <c r="AN61" s="310"/>
      <c r="AO61" s="310"/>
      <c r="AP61" s="237"/>
      <c r="AQ61" s="1137"/>
      <c r="AR61" s="227"/>
      <c r="AS61" s="228" t="s">
        <v>2814</v>
      </c>
    </row>
    <row r="62" spans="1:45" ht="10.5" customHeight="1" x14ac:dyDescent="0.2">
      <c r="A62" s="208"/>
      <c r="B62" s="208"/>
      <c r="C62" s="213"/>
      <c r="D62" s="233"/>
      <c r="E62" s="231"/>
      <c r="F62" s="231"/>
      <c r="G62" s="245"/>
      <c r="H62" s="245"/>
      <c r="I62" s="242"/>
      <c r="J62" s="1137">
        <v>28</v>
      </c>
      <c r="K62" s="234">
        <v>0</v>
      </c>
      <c r="L62" s="210">
        <v>0</v>
      </c>
      <c r="M62" s="240"/>
      <c r="N62" s="241"/>
      <c r="O62" s="231"/>
      <c r="P62" s="231"/>
      <c r="Q62" s="231"/>
      <c r="R62" s="215"/>
      <c r="V62" s="237"/>
      <c r="W62" s="237"/>
      <c r="X62" s="241"/>
      <c r="Y62" s="208" t="s">
        <v>945</v>
      </c>
      <c r="Z62" s="290" t="str">
        <f>IF(AA54="","",IF(Z53=W52,W54,IF(Z53=W54,W52)))</f>
        <v/>
      </c>
      <c r="AA62" s="210" t="str">
        <f>IF(Z62="",Z62,VLOOKUP(Z62,'Списки участников'!$A:$O,12,FALSE))</f>
        <v/>
      </c>
      <c r="AB62" s="293"/>
      <c r="AC62" s="293"/>
      <c r="AD62" s="245"/>
      <c r="AK62" s="217"/>
      <c r="AL62" s="217"/>
      <c r="AM62" s="298"/>
      <c r="AN62" s="229" t="s">
        <v>864</v>
      </c>
      <c r="AO62" s="219">
        <v>0</v>
      </c>
      <c r="AP62" s="239">
        <v>0</v>
      </c>
      <c r="AQ62" s="240"/>
      <c r="AR62" s="241"/>
      <c r="AS62" s="867" t="str">
        <f>CONCATENATE(M4+29," ","место")</f>
        <v>30 место</v>
      </c>
    </row>
    <row r="63" spans="1:45" ht="10.5" customHeight="1" x14ac:dyDescent="0.2">
      <c r="A63" s="208">
        <v>29</v>
      </c>
      <c r="B63" s="209"/>
      <c r="C63" s="210">
        <f>IF(B63="",B63,VLOOKUP(B63,'Списки участников'!$A:$O,3,FALSE))</f>
        <v>0</v>
      </c>
      <c r="D63" s="211">
        <f>IF(B63="",B63,VLOOKUP(B63,'Списки участников'!A:K,6,FALSE))</f>
        <v>0</v>
      </c>
      <c r="E63" s="212"/>
      <c r="F63" s="231"/>
      <c r="G63" s="231"/>
      <c r="H63" s="231"/>
      <c r="I63" s="242"/>
      <c r="J63" s="1137"/>
      <c r="K63" s="237"/>
      <c r="L63" s="228" t="s">
        <v>2814</v>
      </c>
      <c r="M63" s="245"/>
      <c r="N63" s="245"/>
      <c r="O63" s="231"/>
      <c r="P63" s="231"/>
      <c r="Q63" s="231"/>
      <c r="R63" s="231"/>
      <c r="V63" s="237"/>
      <c r="W63" s="237"/>
      <c r="X63" s="230"/>
      <c r="Y63" s="217"/>
      <c r="Z63" s="217"/>
      <c r="AA63" s="298"/>
      <c r="AB63" s="299" t="s">
        <v>55</v>
      </c>
      <c r="AC63" s="219">
        <v>0</v>
      </c>
      <c r="AD63" s="239">
        <v>0</v>
      </c>
      <c r="AK63" s="223" t="s">
        <v>946</v>
      </c>
      <c r="AL63" s="294" t="str">
        <f>IF(AM53="","",IF(AL52=AI51,AI53,IF(AL52=AI53,AI51)))</f>
        <v/>
      </c>
      <c r="AM63" s="239" t="str">
        <f>IF(AL63="",AL63,VLOOKUP(AL63,'Списки участников'!$A:$O,12,FALSE))</f>
        <v/>
      </c>
      <c r="AN63" s="306"/>
      <c r="AO63" s="227"/>
      <c r="AP63" s="228" t="s">
        <v>2814</v>
      </c>
      <c r="AQ63" s="316" t="s">
        <v>947</v>
      </c>
      <c r="AR63" s="317" t="str">
        <f>IF(AS61="","",IF(AR60=AO58,AO62,IF(AR60=AO62,AO58)))</f>
        <v/>
      </c>
      <c r="AS63" s="239" t="str">
        <f>IF(AR63="",AR63,VLOOKUP(AR63,'Списки участников'!$A:$O,12,FALSE))</f>
        <v/>
      </c>
    </row>
    <row r="64" spans="1:45" ht="10.5" customHeight="1" x14ac:dyDescent="0.2">
      <c r="A64" s="217"/>
      <c r="B64" s="217"/>
      <c r="C64" s="292"/>
      <c r="D64" s="218">
        <v>15</v>
      </c>
      <c r="E64" s="219">
        <v>0</v>
      </c>
      <c r="F64" s="321">
        <v>0</v>
      </c>
      <c r="G64" s="220"/>
      <c r="H64" s="220"/>
      <c r="I64" s="242"/>
      <c r="J64" s="243"/>
      <c r="K64" s="242"/>
      <c r="L64" s="231"/>
      <c r="M64" s="231"/>
      <c r="N64" s="231"/>
      <c r="O64" s="231"/>
      <c r="P64" s="231"/>
      <c r="Q64" s="231"/>
      <c r="R64" s="215"/>
      <c r="V64" s="237"/>
      <c r="W64" s="237"/>
      <c r="X64" s="237"/>
      <c r="Y64" s="223" t="s">
        <v>948</v>
      </c>
      <c r="Z64" s="294" t="str">
        <f>IF(AA58="","",IF(Z57=W56,W58,IF(Z57=W58,W56)))</f>
        <v/>
      </c>
      <c r="AA64" s="239" t="str">
        <f>IF(AA58="",Z64,VLOOKUP(Z64,'Списки участников'!$A:$O,12,FALSE))</f>
        <v/>
      </c>
      <c r="AB64" s="301"/>
      <c r="AC64" s="302"/>
      <c r="AD64" s="403" t="s">
        <v>2814</v>
      </c>
      <c r="AK64" s="237"/>
      <c r="AL64" s="237"/>
      <c r="AM64" s="237"/>
      <c r="AN64" s="310"/>
      <c r="AO64" s="310"/>
      <c r="AP64" s="302"/>
      <c r="AQ64" s="302"/>
      <c r="AR64" s="302" t="str">
        <f>IF(AQ50="","",IF(AQ50=#REF!,AN60,IF(AQ50=AN60,#REF!)))</f>
        <v/>
      </c>
      <c r="AS64" s="237"/>
    </row>
    <row r="65" spans="1:45" ht="10.5" customHeight="1" x14ac:dyDescent="0.2">
      <c r="A65" s="223">
        <v>30</v>
      </c>
      <c r="B65" s="224"/>
      <c r="C65" s="239">
        <f>IF(B65="",B65,VLOOKUP(B65,'Списки участников'!$A:$O,3,FALSE))</f>
        <v>0</v>
      </c>
      <c r="D65" s="315">
        <f>IF(B65="",B65,VLOOKUP(B65,'Списки участников'!A:K,6,FALSE))</f>
        <v>0</v>
      </c>
      <c r="E65" s="227"/>
      <c r="F65" s="228" t="s">
        <v>2814</v>
      </c>
      <c r="G65" s="229"/>
      <c r="H65" s="230"/>
      <c r="I65" s="242"/>
      <c r="J65" s="243"/>
      <c r="K65" s="242"/>
      <c r="L65" s="231"/>
      <c r="M65" s="231"/>
      <c r="N65" s="231"/>
      <c r="O65" s="231"/>
      <c r="P65" s="231"/>
      <c r="Q65" s="231"/>
      <c r="R65" s="215"/>
      <c r="V65" s="237"/>
      <c r="W65" s="237"/>
      <c r="X65" s="237"/>
      <c r="Y65" s="231"/>
      <c r="Z65" s="231"/>
      <c r="AA65" s="231"/>
      <c r="AB65" s="231"/>
      <c r="AC65" s="231"/>
      <c r="AD65" s="867" t="str">
        <f>CONCATENATE(M4+15," ","место")</f>
        <v>16 место</v>
      </c>
      <c r="AK65" s="237"/>
      <c r="AL65" s="237"/>
      <c r="AM65" s="237"/>
      <c r="AN65" s="208" t="s">
        <v>949</v>
      </c>
      <c r="AO65" s="290" t="str">
        <f>IF(AP59="","",IF(AO58=AL57,AL59,IF(AO58=AL59,AL57)))</f>
        <v/>
      </c>
      <c r="AP65" s="210" t="str">
        <f>IF(AO65="",AO65,VLOOKUP(AO65,'Списки участников'!$A:$O,12,FALSE))</f>
        <v/>
      </c>
      <c r="AQ65" s="293"/>
      <c r="AR65" s="293"/>
      <c r="AS65" s="867" t="str">
        <f>CONCATENATE(M4+30," ","место")</f>
        <v>31 место</v>
      </c>
    </row>
    <row r="66" spans="1:45" ht="10.5" customHeight="1" x14ac:dyDescent="0.2">
      <c r="A66" s="208"/>
      <c r="B66" s="208"/>
      <c r="C66" s="213"/>
      <c r="D66" s="233"/>
      <c r="E66" s="231"/>
      <c r="F66" s="300"/>
      <c r="G66" s="1137" t="s">
        <v>9</v>
      </c>
      <c r="H66" s="234">
        <v>0</v>
      </c>
      <c r="I66" s="210">
        <v>0</v>
      </c>
      <c r="J66" s="240"/>
      <c r="K66" s="241"/>
      <c r="L66" s="231"/>
      <c r="M66" s="231"/>
      <c r="N66" s="231"/>
      <c r="O66" s="242"/>
      <c r="P66" s="242"/>
      <c r="Q66" s="242"/>
      <c r="R66" s="270"/>
      <c r="V66" s="231"/>
      <c r="W66" s="231"/>
      <c r="X66" s="231"/>
      <c r="Y66" s="231"/>
      <c r="Z66" s="231"/>
      <c r="AA66" s="231"/>
      <c r="AB66" s="231"/>
      <c r="AC66" s="231"/>
      <c r="AD66" s="254"/>
      <c r="AK66" s="237"/>
      <c r="AL66" s="237"/>
      <c r="AM66" s="237"/>
      <c r="AN66" s="217"/>
      <c r="AO66" s="217"/>
      <c r="AP66" s="298"/>
      <c r="AQ66" s="299" t="s">
        <v>866</v>
      </c>
      <c r="AR66" s="219">
        <v>0</v>
      </c>
      <c r="AS66" s="239">
        <v>0</v>
      </c>
    </row>
    <row r="67" spans="1:45" ht="10.5" customHeight="1" x14ac:dyDescent="0.2">
      <c r="A67" s="208">
        <v>31</v>
      </c>
      <c r="B67" s="209"/>
      <c r="C67" s="239">
        <f>IF(B67="",B67,VLOOKUP(B67,'Списки участников'!$A:$O,3,FALSE))</f>
        <v>0</v>
      </c>
      <c r="D67" s="211">
        <f>IF(B67="",B67,VLOOKUP(B67,'Списки участников'!A:K,6,FALSE))</f>
        <v>0</v>
      </c>
      <c r="E67" s="212"/>
      <c r="F67" s="300"/>
      <c r="G67" s="1137"/>
      <c r="H67" s="237"/>
      <c r="I67" s="228" t="s">
        <v>2814</v>
      </c>
      <c r="J67" s="245"/>
      <c r="K67" s="245"/>
      <c r="L67" s="231"/>
      <c r="M67" s="231"/>
      <c r="N67" s="231"/>
      <c r="O67" s="242"/>
      <c r="P67" s="242"/>
      <c r="Q67" s="242"/>
      <c r="R67" s="270"/>
      <c r="V67" s="242"/>
      <c r="W67" s="242"/>
      <c r="X67" s="241"/>
      <c r="Y67" s="231"/>
      <c r="Z67" s="231"/>
      <c r="AA67" s="231"/>
      <c r="AB67" s="307" t="s">
        <v>950</v>
      </c>
      <c r="AC67" s="268" t="str">
        <f>IF(AD64="","",IF(AC63=Z62,Z64,IF(AC63=Z64,Z62)))</f>
        <v/>
      </c>
      <c r="AD67" s="239" t="str">
        <f>IF(AC67="",AC67,VLOOKUP(AC67,'Списки участников'!$A:$O,12,FALSE))</f>
        <v/>
      </c>
      <c r="AE67" s="715" t="s">
        <v>1037</v>
      </c>
      <c r="AF67" s="716"/>
      <c r="AG67" s="716"/>
      <c r="AH67" s="716"/>
      <c r="AI67" s="717"/>
      <c r="AJ67" s="708"/>
      <c r="AK67" s="1140" t="str">
        <f>'Списки участников'!H47</f>
        <v>Винокуров А.К</v>
      </c>
      <c r="AL67" s="1140"/>
      <c r="AM67" s="1140"/>
      <c r="AN67" s="223" t="s">
        <v>951</v>
      </c>
      <c r="AO67" s="294" t="str">
        <f>IF(AP63="","",IF(AO62=AL61,AL63,IF(AO62=AL63,AL61)))</f>
        <v/>
      </c>
      <c r="AP67" s="239" t="str">
        <f>IF(AO67="",AO67,VLOOKUP(AO67,'Списки участников'!$A:$O,12,FALSE))</f>
        <v/>
      </c>
      <c r="AQ67" s="301"/>
      <c r="AR67" s="227"/>
      <c r="AS67" s="228" t="s">
        <v>2814</v>
      </c>
    </row>
    <row r="68" spans="1:45" ht="10.5" customHeight="1" x14ac:dyDescent="0.2">
      <c r="A68" s="217"/>
      <c r="B68" s="217"/>
      <c r="C68" s="210">
        <f>IF(B68="",B68,VLOOKUP(B68,'Списки участников'!$A:$O,3,FALSE))</f>
        <v>0</v>
      </c>
      <c r="D68" s="218">
        <v>16</v>
      </c>
      <c r="E68" s="219">
        <v>0</v>
      </c>
      <c r="F68" s="239">
        <v>0</v>
      </c>
      <c r="G68" s="240"/>
      <c r="H68" s="241"/>
      <c r="I68" s="231"/>
      <c r="J68" s="245"/>
      <c r="K68" s="245"/>
      <c r="L68" s="231"/>
      <c r="M68" s="231"/>
      <c r="N68" s="231"/>
      <c r="O68" s="231"/>
      <c r="P68" s="231"/>
      <c r="Q68" s="231"/>
      <c r="R68" s="215"/>
      <c r="AE68" s="718"/>
      <c r="AF68" s="719"/>
      <c r="AG68" s="719"/>
      <c r="AH68" s="719"/>
      <c r="AI68" s="720"/>
      <c r="AJ68" s="708"/>
      <c r="AK68" s="721"/>
      <c r="AL68" s="721"/>
      <c r="AM68" s="721"/>
      <c r="AN68" s="231"/>
      <c r="AO68" s="231"/>
      <c r="AP68" s="231"/>
      <c r="AQ68" s="231"/>
      <c r="AR68" s="231"/>
      <c r="AS68" s="867" t="str">
        <f>CONCATENATE(M4+31," ","место")</f>
        <v>32 место</v>
      </c>
    </row>
    <row r="69" spans="1:45" ht="10.5" customHeight="1" x14ac:dyDescent="0.2">
      <c r="A69" s="223" t="s">
        <v>34</v>
      </c>
      <c r="B69" s="224"/>
      <c r="C69" s="239">
        <f>IF(B69="",B69,VLOOKUP(B69,'Списки участников'!$A:$O,3,FALSE))</f>
        <v>0</v>
      </c>
      <c r="D69" s="297">
        <f>IF(B69="",B69,VLOOKUP(B69,'Списки участников'!A:K,6,FALSE))</f>
        <v>0</v>
      </c>
      <c r="E69" s="227"/>
      <c r="F69" s="228" t="s">
        <v>2814</v>
      </c>
      <c r="G69" s="245"/>
      <c r="H69" s="245"/>
      <c r="I69" s="231"/>
      <c r="J69" s="231"/>
      <c r="K69" s="231"/>
      <c r="L69" s="242"/>
      <c r="M69" s="242"/>
      <c r="N69" s="242"/>
      <c r="O69" s="242"/>
      <c r="P69" s="242"/>
      <c r="Q69" s="242"/>
      <c r="R69" s="215"/>
      <c r="AE69" s="703" t="s">
        <v>1038</v>
      </c>
      <c r="AF69" s="718"/>
      <c r="AG69" s="718"/>
      <c r="AH69" s="718"/>
      <c r="AI69" s="718"/>
      <c r="AJ69" s="708"/>
      <c r="AK69" s="1140" t="str">
        <f>'Списки участников'!H48</f>
        <v>Брусин С.Б., Кашулина А.И.</v>
      </c>
      <c r="AL69" s="1140"/>
      <c r="AM69" s="1140"/>
      <c r="AN69" s="231"/>
      <c r="AO69" s="231"/>
      <c r="AP69" s="231"/>
      <c r="AQ69" s="307" t="s">
        <v>952</v>
      </c>
      <c r="AR69" s="268" t="str">
        <f>IF(AS67="","",IF(AR66=AO65,AO67,IF(AR66=AO67,AO65)))</f>
        <v/>
      </c>
      <c r="AS69" s="239" t="str">
        <f>IF(AR69="",AR69,VLOOKUP(AR69,'Списки участников'!$A:$O,12,FALSE))</f>
        <v/>
      </c>
    </row>
    <row r="70" spans="1:45" ht="10.5" customHeight="1" x14ac:dyDescent="0.2">
      <c r="A70" s="271"/>
      <c r="B70" s="271"/>
      <c r="C70" s="270"/>
      <c r="D70" s="272"/>
      <c r="E70" s="273"/>
      <c r="F70" s="273"/>
      <c r="G70" s="274"/>
      <c r="H70" s="274"/>
      <c r="I70" s="274"/>
      <c r="J70" s="274"/>
      <c r="K70" s="274"/>
      <c r="L70" s="273"/>
      <c r="M70" s="273"/>
      <c r="N70" s="273"/>
      <c r="O70" s="273"/>
      <c r="P70" s="273"/>
      <c r="Q70" s="273"/>
      <c r="R70" s="215"/>
      <c r="AK70" s="242"/>
      <c r="AL70" s="242"/>
      <c r="AM70" s="241"/>
    </row>
    <row r="71" spans="1:45" ht="10.5" customHeight="1" x14ac:dyDescent="0.2"/>
    <row r="72" spans="1:45" ht="10.5" customHeight="1" x14ac:dyDescent="0.2"/>
  </sheetData>
  <mergeCells count="36">
    <mergeCell ref="A1:R1"/>
    <mergeCell ref="S1:AD1"/>
    <mergeCell ref="AE1:AS1"/>
    <mergeCell ref="D2:P2"/>
    <mergeCell ref="S2:AD2"/>
    <mergeCell ref="AE2:AS2"/>
    <mergeCell ref="S4:AD4"/>
    <mergeCell ref="AE4:AS4"/>
    <mergeCell ref="G10:G11"/>
    <mergeCell ref="J14:J15"/>
    <mergeCell ref="AB17:AB18"/>
    <mergeCell ref="G18:G19"/>
    <mergeCell ref="AQ18:AQ19"/>
    <mergeCell ref="M22:M23"/>
    <mergeCell ref="G26:G27"/>
    <mergeCell ref="J30:J31"/>
    <mergeCell ref="X33:X34"/>
    <mergeCell ref="Y33:Y34"/>
    <mergeCell ref="G34:G35"/>
    <mergeCell ref="G58:G59"/>
    <mergeCell ref="AQ35:AQ36"/>
    <mergeCell ref="AB37:AB38"/>
    <mergeCell ref="P38:P39"/>
    <mergeCell ref="X41:X42"/>
    <mergeCell ref="Y41:Y42"/>
    <mergeCell ref="G42:G43"/>
    <mergeCell ref="J46:J47"/>
    <mergeCell ref="AQ48:AQ49"/>
    <mergeCell ref="G50:G51"/>
    <mergeCell ref="M54:M55"/>
    <mergeCell ref="AB55:AB56"/>
    <mergeCell ref="AQ60:AQ61"/>
    <mergeCell ref="J62:J63"/>
    <mergeCell ref="G66:G67"/>
    <mergeCell ref="AK67:AM67"/>
    <mergeCell ref="AK69:AM69"/>
  </mergeCells>
  <printOptions horizontalCentered="1"/>
  <pageMargins left="0.39370078740157483" right="0.19685039370078741" top="0.39370078740157483" bottom="0.39370078740157483" header="0.19685039370078741" footer="0.31496062992125984"/>
  <pageSetup scale="90" orientation="portrait" r:id="rId1"/>
  <headerFooter alignWithMargins="0"/>
  <colBreaks count="2" manualBreakCount="2">
    <brk id="18" max="67" man="1"/>
    <brk id="30" max="67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rgb="FF00B0F0"/>
  </sheetPr>
  <dimension ref="A1:AZ80"/>
  <sheetViews>
    <sheetView view="pageBreakPreview" topLeftCell="A22" zoomScale="90" zoomScaleNormal="60" zoomScaleSheetLayoutView="90" workbookViewId="0">
      <selection activeCell="O19" sqref="O19"/>
    </sheetView>
  </sheetViews>
  <sheetFormatPr defaultColWidth="21.83203125" defaultRowHeight="10.35" customHeight="1" outlineLevelCol="1" x14ac:dyDescent="0.2"/>
  <cols>
    <col min="1" max="1" width="3.1640625" style="536" customWidth="1"/>
    <col min="2" max="2" width="4.33203125" style="536" customWidth="1" outlineLevel="1"/>
    <col min="3" max="3" width="25" style="535" customWidth="1"/>
    <col min="4" max="4" width="3.1640625" style="535" customWidth="1"/>
    <col min="5" max="5" width="4.6640625" style="535" customWidth="1" outlineLevel="1"/>
    <col min="6" max="6" width="21.5" style="530" customWidth="1"/>
    <col min="7" max="7" width="3.1640625" style="535" customWidth="1"/>
    <col min="8" max="8" width="5.6640625" style="530" customWidth="1" outlineLevel="1"/>
    <col min="9" max="9" width="21.5" style="535" customWidth="1"/>
    <col min="10" max="10" width="3.1640625" style="535" customWidth="1"/>
    <col min="11" max="11" width="4.33203125" style="535" customWidth="1" outlineLevel="1"/>
    <col min="12" max="12" width="21.6640625" style="530" customWidth="1"/>
    <col min="13" max="13" width="3.33203125" style="530" customWidth="1"/>
    <col min="14" max="14" width="5.33203125" style="530" customWidth="1" outlineLevel="1"/>
    <col min="15" max="15" width="21.5" style="535" customWidth="1"/>
    <col min="16" max="16" width="3.83203125" style="530" customWidth="1"/>
    <col min="17" max="17" width="4.33203125" style="530" customWidth="1"/>
    <col min="18" max="18" width="3.1640625" style="535" customWidth="1"/>
    <col min="19" max="19" width="16" style="530" customWidth="1"/>
    <col min="20" max="20" width="3.1640625" style="535" customWidth="1"/>
    <col min="21" max="21" width="3.1640625" style="530" customWidth="1"/>
    <col min="22" max="22" width="16" style="530" customWidth="1"/>
    <col min="23" max="23" width="3.1640625" style="535" customWidth="1"/>
    <col min="24" max="24" width="3.1640625" style="530" customWidth="1"/>
    <col min="25" max="25" width="16" style="535" customWidth="1"/>
    <col min="26" max="27" width="3.1640625" style="530" customWidth="1"/>
    <col min="28" max="28" width="15.5" style="535" customWidth="1"/>
    <col min="29" max="29" width="3.1640625" style="530" customWidth="1"/>
    <col min="30" max="30" width="16.1640625" style="530" customWidth="1"/>
    <col min="31" max="31" width="3.1640625" style="535" customWidth="1"/>
    <col min="32" max="32" width="3.6640625" style="530" customWidth="1"/>
    <col min="33" max="33" width="21.83203125" style="530" customWidth="1"/>
    <col min="34" max="34" width="21.83203125" style="535" customWidth="1"/>
    <col min="35" max="36" width="21.83203125" style="530" customWidth="1"/>
    <col min="37" max="41" width="21.83203125" style="535" customWidth="1"/>
    <col min="42" max="43" width="21.83203125" style="530" customWidth="1"/>
    <col min="44" max="44" width="21.83203125" style="535" customWidth="1"/>
    <col min="45" max="46" width="21.83203125" style="530" customWidth="1"/>
    <col min="47" max="47" width="21.83203125" style="535" customWidth="1"/>
    <col min="48" max="49" width="21.83203125" style="530" customWidth="1"/>
    <col min="50" max="50" width="21.83203125" style="535" customWidth="1"/>
    <col min="51" max="52" width="21.83203125" style="530" customWidth="1"/>
    <col min="53" max="16384" width="21.83203125" style="535"/>
  </cols>
  <sheetData>
    <row r="1" spans="1:31" ht="16.5" customHeight="1" x14ac:dyDescent="0.2">
      <c r="A1" s="1264" t="str">
        <f>'Списки участников'!A1</f>
        <v xml:space="preserve">X Спартакиада
среди предприятий Нижегородской области ФСК "Профсоюзов",
под девизом "Будь спортивным - будь успешным!"
</v>
      </c>
      <c r="B1" s="1264"/>
      <c r="C1" s="1264"/>
      <c r="D1" s="1264"/>
      <c r="E1" s="1264"/>
      <c r="F1" s="1264"/>
      <c r="G1" s="1264"/>
      <c r="H1" s="1264"/>
      <c r="I1" s="1264"/>
      <c r="J1" s="1264"/>
      <c r="K1" s="1264"/>
      <c r="L1" s="1264"/>
      <c r="M1" s="1264"/>
      <c r="N1" s="1264"/>
      <c r="O1" s="1264"/>
      <c r="P1" s="1264"/>
      <c r="Q1" s="1264"/>
      <c r="R1" s="529"/>
      <c r="T1" s="530"/>
      <c r="W1" s="531"/>
      <c r="X1" s="532"/>
      <c r="Y1" s="533"/>
      <c r="AB1" s="530"/>
      <c r="AD1" s="534"/>
      <c r="AE1" s="530"/>
    </row>
    <row r="2" spans="1:31" ht="14.25" customHeight="1" x14ac:dyDescent="0.2">
      <c r="A2" s="1265" t="str">
        <f>'Списки участников'!A2</f>
        <v>Соревнования по настольному теннису</v>
      </c>
      <c r="B2" s="1265"/>
      <c r="C2" s="1265"/>
      <c r="D2" s="1265"/>
      <c r="E2" s="1265"/>
      <c r="F2" s="1265"/>
      <c r="G2" s="1265"/>
      <c r="H2" s="1265"/>
      <c r="I2" s="1265"/>
      <c r="J2" s="1265"/>
      <c r="K2" s="1265"/>
      <c r="L2" s="1265"/>
      <c r="M2" s="1265"/>
      <c r="N2" s="1265"/>
      <c r="O2" s="1265"/>
      <c r="P2" s="1265"/>
      <c r="Q2" s="1265"/>
      <c r="R2" s="529"/>
      <c r="T2" s="530"/>
      <c r="W2" s="531"/>
      <c r="X2" s="532"/>
      <c r="Y2" s="533"/>
      <c r="AB2" s="530"/>
      <c r="AE2" s="530"/>
    </row>
    <row r="3" spans="1:31" ht="17.25" customHeight="1" x14ac:dyDescent="0.2">
      <c r="A3" s="1266" t="str">
        <f>'Списки участников'!C3</f>
        <v>22 октября 2016 г.</v>
      </c>
      <c r="B3" s="1266"/>
      <c r="C3" s="1266"/>
      <c r="D3" s="1266"/>
      <c r="E3" s="1266"/>
      <c r="I3" s="881" t="s">
        <v>2622</v>
      </c>
      <c r="J3" s="882" t="s">
        <v>10</v>
      </c>
      <c r="K3" s="883"/>
      <c r="L3" s="884" t="s">
        <v>2724</v>
      </c>
      <c r="M3" s="1266">
        <f>'Списки участников'!H3</f>
        <v>0</v>
      </c>
      <c r="N3" s="1266"/>
      <c r="O3" s="1266"/>
      <c r="P3" s="1266"/>
      <c r="Q3" s="1266"/>
      <c r="R3" s="529"/>
      <c r="T3" s="530"/>
      <c r="W3" s="530"/>
      <c r="Y3" s="530"/>
      <c r="AB3" s="530"/>
      <c r="AE3" s="530"/>
    </row>
    <row r="4" spans="1:31" ht="15" customHeight="1" x14ac:dyDescent="0.2">
      <c r="A4" s="538">
        <v>1</v>
      </c>
      <c r="B4" s="539"/>
      <c r="C4" s="540" t="str">
        <f>IF(B4="","",VLOOKUP(B4,'Списки участников'!A:K,3,FALSE))</f>
        <v/>
      </c>
      <c r="E4" s="541"/>
      <c r="F4" s="535"/>
      <c r="G4" s="536"/>
      <c r="H4" s="536"/>
      <c r="I4" s="542"/>
      <c r="J4" s="536"/>
      <c r="K4" s="536"/>
      <c r="L4" s="535"/>
      <c r="M4" s="535"/>
      <c r="N4" s="535"/>
      <c r="P4" s="535"/>
      <c r="Q4" s="535"/>
      <c r="R4" s="533"/>
      <c r="S4" s="543"/>
      <c r="T4" s="530"/>
      <c r="W4" s="530"/>
      <c r="Y4" s="530"/>
      <c r="AB4" s="530"/>
      <c r="AE4" s="530"/>
    </row>
    <row r="5" spans="1:31" ht="15" customHeight="1" x14ac:dyDescent="0.2">
      <c r="B5" s="544"/>
      <c r="C5" s="545"/>
      <c r="D5" s="546" t="s">
        <v>10</v>
      </c>
      <c r="E5" s="547"/>
      <c r="F5" s="548" t="str">
        <f>IF(E5="","",VLOOKUP(E5,'Списки участников'!A:K,3,FALSE))</f>
        <v/>
      </c>
      <c r="G5" s="549"/>
      <c r="I5" s="530"/>
      <c r="K5" s="530"/>
      <c r="M5" s="535"/>
      <c r="N5" s="535"/>
      <c r="O5" s="530"/>
      <c r="Q5" s="535"/>
      <c r="R5" s="529"/>
      <c r="T5" s="530"/>
      <c r="W5" s="533"/>
      <c r="Y5" s="537"/>
      <c r="AB5" s="530"/>
      <c r="AE5" s="530"/>
    </row>
    <row r="6" spans="1:31" ht="15" customHeight="1" x14ac:dyDescent="0.2">
      <c r="A6" s="550" t="s">
        <v>41</v>
      </c>
      <c r="B6" s="539"/>
      <c r="C6" s="540" t="str">
        <f>IF(B6="","",VLOOKUP(B6,'Списки участников'!A:K,3,FALSE))</f>
        <v/>
      </c>
      <c r="D6" s="551"/>
      <c r="E6" s="543"/>
      <c r="F6" s="552" t="s">
        <v>2725</v>
      </c>
      <c r="G6" s="553"/>
      <c r="H6" s="537"/>
      <c r="I6" s="530"/>
      <c r="K6" s="530"/>
      <c r="M6" s="535"/>
      <c r="N6" s="535"/>
      <c r="O6" s="530"/>
      <c r="Q6" s="535"/>
      <c r="R6" s="533"/>
      <c r="S6" s="543"/>
      <c r="T6" s="530"/>
      <c r="W6" s="530"/>
      <c r="Y6" s="530"/>
      <c r="AB6" s="530"/>
      <c r="AE6" s="530"/>
    </row>
    <row r="7" spans="1:31" ht="15" customHeight="1" x14ac:dyDescent="0.2">
      <c r="B7" s="544"/>
      <c r="C7" s="554"/>
      <c r="E7" s="543"/>
      <c r="F7" s="552"/>
      <c r="G7" s="555">
        <v>9</v>
      </c>
      <c r="H7" s="547"/>
      <c r="I7" s="548" t="str">
        <f>IF(H7="","",VLOOKUP(H7,'Списки участников'!A:K,3,FALSE))</f>
        <v/>
      </c>
      <c r="J7" s="549"/>
      <c r="K7" s="530"/>
      <c r="M7" s="535"/>
      <c r="N7" s="535"/>
      <c r="O7" s="530"/>
      <c r="Q7" s="535"/>
      <c r="R7" s="529"/>
      <c r="T7" s="533"/>
      <c r="V7" s="543"/>
      <c r="W7" s="530"/>
      <c r="Y7" s="530"/>
      <c r="AB7" s="530"/>
      <c r="AE7" s="530"/>
    </row>
    <row r="8" spans="1:31" ht="15" customHeight="1" x14ac:dyDescent="0.2">
      <c r="A8" s="550" t="s">
        <v>35</v>
      </c>
      <c r="B8" s="539"/>
      <c r="C8" s="540" t="str">
        <f>IF(B8="","",VLOOKUP(B8,'Списки участников'!A:K,3,FALSE))</f>
        <v/>
      </c>
      <c r="D8" s="549"/>
      <c r="E8" s="543"/>
      <c r="F8" s="552"/>
      <c r="G8" s="556"/>
      <c r="H8" s="537"/>
      <c r="I8" s="552" t="s">
        <v>2725</v>
      </c>
      <c r="J8" s="553"/>
      <c r="K8" s="537"/>
      <c r="M8" s="535"/>
      <c r="N8" s="535"/>
      <c r="O8" s="530"/>
      <c r="Q8" s="535"/>
      <c r="R8" s="533"/>
      <c r="S8" s="543"/>
      <c r="T8" s="530"/>
      <c r="W8" s="530"/>
      <c r="Y8" s="530"/>
      <c r="AB8" s="530"/>
      <c r="AE8" s="530"/>
    </row>
    <row r="9" spans="1:31" ht="15" customHeight="1" x14ac:dyDescent="0.2">
      <c r="B9" s="544"/>
      <c r="C9" s="554"/>
      <c r="D9" s="546" t="s">
        <v>41</v>
      </c>
      <c r="E9" s="547"/>
      <c r="F9" s="548" t="str">
        <f>IF(E9="","",VLOOKUP(E9,'Списки участников'!A:K,3,FALSE))</f>
        <v/>
      </c>
      <c r="G9" s="551"/>
      <c r="H9" s="537"/>
      <c r="I9" s="552"/>
      <c r="J9" s="556"/>
      <c r="K9" s="537"/>
      <c r="M9" s="535"/>
      <c r="N9" s="535"/>
      <c r="O9" s="530"/>
      <c r="Q9" s="535"/>
      <c r="R9" s="529"/>
      <c r="T9" s="530"/>
      <c r="W9" s="530"/>
      <c r="Y9" s="530"/>
      <c r="Z9" s="533"/>
      <c r="AB9" s="537"/>
      <c r="AE9" s="530"/>
    </row>
    <row r="10" spans="1:31" ht="15" customHeight="1" x14ac:dyDescent="0.2">
      <c r="A10" s="550" t="s">
        <v>15</v>
      </c>
      <c r="B10" s="539"/>
      <c r="C10" s="540" t="str">
        <f>IF(B10="","",VLOOKUP(B10,'Списки участников'!A:K,3,FALSE))</f>
        <v/>
      </c>
      <c r="D10" s="551"/>
      <c r="E10" s="543"/>
      <c r="F10" s="552" t="s">
        <v>2726</v>
      </c>
      <c r="H10" s="537"/>
      <c r="I10" s="552"/>
      <c r="J10" s="556"/>
      <c r="K10" s="537"/>
      <c r="M10" s="535"/>
      <c r="N10" s="535"/>
      <c r="O10" s="530"/>
      <c r="Q10" s="535"/>
      <c r="R10" s="533"/>
      <c r="S10" s="543"/>
      <c r="T10" s="530"/>
      <c r="W10" s="530"/>
      <c r="Y10" s="530"/>
      <c r="AB10" s="530"/>
      <c r="AE10" s="530"/>
    </row>
    <row r="11" spans="1:31" ht="15" customHeight="1" x14ac:dyDescent="0.2">
      <c r="B11" s="544"/>
      <c r="C11" s="554"/>
      <c r="E11" s="543"/>
      <c r="F11" s="552"/>
      <c r="H11" s="537"/>
      <c r="I11" s="552"/>
      <c r="J11" s="557" t="s">
        <v>23</v>
      </c>
      <c r="K11" s="547"/>
      <c r="L11" s="548" t="str">
        <f>IF(K11="","",VLOOKUP(K11,'Списки участников'!A:K,3,FALSE))</f>
        <v/>
      </c>
      <c r="M11" s="549"/>
      <c r="O11" s="530"/>
      <c r="Q11" s="535"/>
      <c r="R11" s="529"/>
      <c r="T11" s="533"/>
      <c r="V11" s="543"/>
      <c r="W11" s="530"/>
      <c r="Y11" s="530"/>
      <c r="AB11" s="530"/>
      <c r="AE11" s="530"/>
    </row>
    <row r="12" spans="1:31" ht="15" customHeight="1" x14ac:dyDescent="0.2">
      <c r="A12" s="550" t="s">
        <v>37</v>
      </c>
      <c r="B12" s="539"/>
      <c r="C12" s="540" t="str">
        <f>IF(B12="","",VLOOKUP(B12,'Списки участников'!A:K,3,FALSE))</f>
        <v/>
      </c>
      <c r="D12" s="549"/>
      <c r="E12" s="543"/>
      <c r="F12" s="552"/>
      <c r="H12" s="537"/>
      <c r="I12" s="552"/>
      <c r="J12" s="556"/>
      <c r="K12" s="537"/>
      <c r="L12" s="552" t="s">
        <v>2726</v>
      </c>
      <c r="M12" s="553"/>
      <c r="O12" s="530"/>
      <c r="Q12" s="535"/>
      <c r="R12" s="533"/>
      <c r="S12" s="543"/>
      <c r="T12" s="530"/>
      <c r="W12" s="530"/>
      <c r="Y12" s="530"/>
      <c r="AB12" s="530"/>
      <c r="AE12" s="530"/>
    </row>
    <row r="13" spans="1:31" ht="15" customHeight="1" x14ac:dyDescent="0.2">
      <c r="B13" s="544"/>
      <c r="C13" s="554"/>
      <c r="D13" s="546" t="s">
        <v>35</v>
      </c>
      <c r="E13" s="547"/>
      <c r="F13" s="548" t="str">
        <f>IF(E13="","",VLOOKUP(E13,'Списки участников'!A:K,3,FALSE))</f>
        <v/>
      </c>
      <c r="G13" s="549"/>
      <c r="H13" s="537"/>
      <c r="I13" s="552"/>
      <c r="J13" s="556"/>
      <c r="K13" s="537"/>
      <c r="L13" s="552"/>
      <c r="M13" s="556"/>
      <c r="O13" s="530"/>
      <c r="Q13" s="535"/>
      <c r="R13" s="529"/>
      <c r="T13" s="530"/>
      <c r="W13" s="533"/>
      <c r="Y13" s="543"/>
      <c r="AB13" s="530"/>
      <c r="AE13" s="530"/>
    </row>
    <row r="14" spans="1:31" ht="15" customHeight="1" x14ac:dyDescent="0.2">
      <c r="A14" s="550" t="s">
        <v>42</v>
      </c>
      <c r="B14" s="539"/>
      <c r="C14" s="540" t="str">
        <f>IF(B14="","",VLOOKUP(B14,'Списки участников'!A:K,3,FALSE))</f>
        <v/>
      </c>
      <c r="D14" s="551"/>
      <c r="E14" s="543"/>
      <c r="F14" s="552" t="s">
        <v>2725</v>
      </c>
      <c r="G14" s="553"/>
      <c r="H14" s="537"/>
      <c r="I14" s="552"/>
      <c r="J14" s="556"/>
      <c r="K14" s="537"/>
      <c r="L14" s="552"/>
      <c r="M14" s="556"/>
      <c r="O14" s="530"/>
      <c r="Q14" s="535"/>
      <c r="R14" s="533"/>
      <c r="S14" s="543"/>
      <c r="T14" s="530"/>
      <c r="W14" s="530"/>
      <c r="Y14" s="530"/>
      <c r="AB14" s="530"/>
      <c r="AE14" s="530"/>
    </row>
    <row r="15" spans="1:31" ht="15" customHeight="1" x14ac:dyDescent="0.2">
      <c r="B15" s="544"/>
      <c r="C15" s="554"/>
      <c r="E15" s="543"/>
      <c r="F15" s="552"/>
      <c r="G15" s="557" t="s">
        <v>30</v>
      </c>
      <c r="H15" s="547"/>
      <c r="I15" s="548" t="str">
        <f>IF(H15="","",VLOOKUP(H15,'Списки участников'!A:K,3,FALSE))</f>
        <v/>
      </c>
      <c r="J15" s="551"/>
      <c r="K15" s="537"/>
      <c r="L15" s="552"/>
      <c r="M15" s="556"/>
      <c r="O15" s="530"/>
      <c r="Q15" s="535"/>
      <c r="R15" s="529"/>
      <c r="T15" s="533"/>
      <c r="V15" s="543"/>
      <c r="W15" s="530"/>
      <c r="Y15" s="530"/>
      <c r="AB15" s="530"/>
      <c r="AE15" s="530"/>
    </row>
    <row r="16" spans="1:31" ht="15" customHeight="1" x14ac:dyDescent="0.2">
      <c r="A16" s="550" t="s">
        <v>28</v>
      </c>
      <c r="B16" s="539"/>
      <c r="C16" s="540" t="str">
        <f>IF(B16="","",VLOOKUP(B16,'Списки участников'!A:K,3,FALSE))</f>
        <v/>
      </c>
      <c r="D16" s="549"/>
      <c r="E16" s="543"/>
      <c r="F16" s="552"/>
      <c r="G16" s="556"/>
      <c r="H16" s="537"/>
      <c r="I16" s="552" t="s">
        <v>2726</v>
      </c>
      <c r="K16" s="537"/>
      <c r="L16" s="552"/>
      <c r="M16" s="556"/>
      <c r="O16" s="530"/>
      <c r="Q16" s="535"/>
      <c r="R16" s="533"/>
      <c r="S16" s="543"/>
      <c r="T16" s="530"/>
      <c r="W16" s="530"/>
      <c r="Y16" s="530"/>
      <c r="AB16" s="530"/>
      <c r="AE16" s="530"/>
    </row>
    <row r="17" spans="1:32" ht="15" customHeight="1" x14ac:dyDescent="0.2">
      <c r="B17" s="544"/>
      <c r="C17" s="554"/>
      <c r="D17" s="546" t="s">
        <v>15</v>
      </c>
      <c r="E17" s="547"/>
      <c r="F17" s="548" t="str">
        <f>IF(E17="","",VLOOKUP(E17,'Списки участников'!A:K,3,FALSE))</f>
        <v/>
      </c>
      <c r="G17" s="551"/>
      <c r="H17" s="537"/>
      <c r="I17" s="552"/>
      <c r="K17" s="537"/>
      <c r="L17" s="552"/>
      <c r="M17" s="556"/>
      <c r="O17" s="530"/>
      <c r="Q17" s="535"/>
      <c r="R17" s="529"/>
      <c r="T17" s="530"/>
      <c r="W17" s="530"/>
      <c r="Y17" s="530"/>
      <c r="AB17" s="530"/>
      <c r="AC17" s="533"/>
      <c r="AD17" s="537"/>
      <c r="AE17" s="530"/>
      <c r="AF17" s="533"/>
    </row>
    <row r="18" spans="1:32" ht="15" customHeight="1" x14ac:dyDescent="0.2">
      <c r="A18" s="550" t="s">
        <v>22</v>
      </c>
      <c r="B18" s="539"/>
      <c r="C18" s="540" t="str">
        <f>IF(B18="","",VLOOKUP(B18,'Списки участников'!A:K,3,FALSE))</f>
        <v/>
      </c>
      <c r="D18" s="551"/>
      <c r="E18" s="543"/>
      <c r="F18" s="552" t="s">
        <v>2725</v>
      </c>
      <c r="H18" s="537"/>
      <c r="I18" s="552"/>
      <c r="K18" s="537"/>
      <c r="L18" s="552"/>
      <c r="M18" s="556"/>
      <c r="O18" s="558"/>
      <c r="Q18" s="535"/>
      <c r="R18" s="533"/>
      <c r="S18" s="543"/>
      <c r="T18" s="530"/>
      <c r="W18" s="530"/>
      <c r="Y18" s="530"/>
      <c r="AB18" s="530"/>
      <c r="AE18" s="530"/>
    </row>
    <row r="19" spans="1:32" ht="15" customHeight="1" x14ac:dyDescent="0.2">
      <c r="B19" s="544"/>
      <c r="C19" s="554"/>
      <c r="E19" s="543"/>
      <c r="F19" s="552"/>
      <c r="H19" s="537"/>
      <c r="I19" s="552"/>
      <c r="K19" s="537"/>
      <c r="L19" s="552"/>
      <c r="M19" s="557" t="s">
        <v>12</v>
      </c>
      <c r="N19" s="559">
        <v>19</v>
      </c>
      <c r="O19" s="548" t="str">
        <f>IF(N19="","",CONCATENATE(VLOOKUP(N19,'Списки участников'!A:K,7,FALSE),"/",VLOOKUP(N19,'Списки участников'!A:K,4,FALSE)))</f>
        <v>/К</v>
      </c>
      <c r="P19" s="549"/>
      <c r="Q19" s="885" t="str">
        <f>CONCATENATE(J3," ","м")</f>
        <v>1 м</v>
      </c>
      <c r="R19" s="529"/>
      <c r="T19" s="533"/>
      <c r="V19" s="543"/>
      <c r="W19" s="530"/>
      <c r="Y19" s="530"/>
      <c r="AB19" s="530"/>
      <c r="AE19" s="530"/>
    </row>
    <row r="20" spans="1:32" ht="15" customHeight="1" x14ac:dyDescent="0.2">
      <c r="A20" s="550" t="s">
        <v>38</v>
      </c>
      <c r="B20" s="539"/>
      <c r="C20" s="540" t="str">
        <f>IF(B20="","",VLOOKUP(B20,'Списки участников'!A:K,3,FALSE))</f>
        <v/>
      </c>
      <c r="D20" s="549"/>
      <c r="E20" s="543"/>
      <c r="F20" s="552"/>
      <c r="H20" s="537"/>
      <c r="I20" s="552"/>
      <c r="K20" s="537"/>
      <c r="L20" s="552"/>
      <c r="M20" s="556"/>
      <c r="O20" s="552" t="s">
        <v>2725</v>
      </c>
      <c r="Q20" s="535"/>
      <c r="R20" s="533"/>
      <c r="S20" s="543"/>
      <c r="T20" s="530"/>
      <c r="W20" s="530"/>
      <c r="Y20" s="530"/>
      <c r="AB20" s="530"/>
      <c r="AE20" s="530"/>
    </row>
    <row r="21" spans="1:32" ht="15" customHeight="1" x14ac:dyDescent="0.2">
      <c r="B21" s="544"/>
      <c r="C21" s="554"/>
      <c r="D21" s="546" t="s">
        <v>37</v>
      </c>
      <c r="E21" s="547"/>
      <c r="F21" s="548" t="str">
        <f>IF(E21="","",VLOOKUP(E21,'Списки участников'!A:K,3,FALSE))</f>
        <v/>
      </c>
      <c r="G21" s="549"/>
      <c r="H21" s="537"/>
      <c r="I21" s="552"/>
      <c r="K21" s="537"/>
      <c r="L21" s="552"/>
      <c r="M21" s="556"/>
      <c r="O21" s="552"/>
      <c r="Q21" s="535"/>
      <c r="R21" s="529"/>
      <c r="T21" s="530"/>
      <c r="W21" s="533"/>
      <c r="Y21" s="543"/>
      <c r="AB21" s="530"/>
      <c r="AE21" s="530"/>
    </row>
    <row r="22" spans="1:32" ht="15" customHeight="1" x14ac:dyDescent="0.2">
      <c r="A22" s="550" t="s">
        <v>30</v>
      </c>
      <c r="B22" s="539"/>
      <c r="C22" s="540" t="str">
        <f>IF(B22="","",VLOOKUP(B22,'Списки участников'!A:K,3,FALSE))</f>
        <v/>
      </c>
      <c r="D22" s="551"/>
      <c r="E22" s="543"/>
      <c r="F22" s="552" t="s">
        <v>2725</v>
      </c>
      <c r="G22" s="553"/>
      <c r="H22" s="537"/>
      <c r="I22" s="552"/>
      <c r="K22" s="537"/>
      <c r="L22" s="552"/>
      <c r="M22" s="556"/>
      <c r="O22" s="552"/>
      <c r="Q22" s="535"/>
      <c r="R22" s="533"/>
      <c r="S22" s="543"/>
      <c r="T22" s="530"/>
      <c r="W22" s="530"/>
      <c r="Y22" s="530"/>
      <c r="AB22" s="530"/>
      <c r="AE22" s="530"/>
    </row>
    <row r="23" spans="1:32" ht="15" customHeight="1" x14ac:dyDescent="0.2">
      <c r="B23" s="544"/>
      <c r="C23" s="554"/>
      <c r="E23" s="543"/>
      <c r="F23" s="552"/>
      <c r="G23" s="557" t="s">
        <v>25</v>
      </c>
      <c r="H23" s="547"/>
      <c r="I23" s="548" t="str">
        <f>IF(H23="","",VLOOKUP(H23,'Списки участников'!A:K,3,FALSE))</f>
        <v/>
      </c>
      <c r="J23" s="549"/>
      <c r="K23" s="537"/>
      <c r="L23" s="552"/>
      <c r="M23" s="556"/>
      <c r="O23" s="552"/>
      <c r="Q23" s="535"/>
      <c r="R23" s="529"/>
      <c r="T23" s="533"/>
      <c r="V23" s="543"/>
      <c r="W23" s="530"/>
      <c r="Y23" s="530"/>
      <c r="AB23" s="530"/>
      <c r="AE23" s="530"/>
    </row>
    <row r="24" spans="1:32" ht="15" customHeight="1" x14ac:dyDescent="0.2">
      <c r="A24" s="550" t="s">
        <v>25</v>
      </c>
      <c r="B24" s="539"/>
      <c r="C24" s="540" t="str">
        <f>IF(B24="","",VLOOKUP(B24,'Списки участников'!A:K,3,FALSE))</f>
        <v/>
      </c>
      <c r="D24" s="549"/>
      <c r="E24" s="543"/>
      <c r="F24" s="552"/>
      <c r="G24" s="556"/>
      <c r="H24" s="537"/>
      <c r="I24" s="552" t="s">
        <v>2725</v>
      </c>
      <c r="J24" s="553"/>
      <c r="K24" s="537"/>
      <c r="L24" s="552"/>
      <c r="M24" s="556"/>
      <c r="O24" s="552"/>
      <c r="Q24" s="535"/>
      <c r="R24" s="533"/>
      <c r="S24" s="543"/>
      <c r="T24" s="530"/>
      <c r="W24" s="530"/>
      <c r="Y24" s="530"/>
      <c r="AB24" s="530"/>
      <c r="AE24" s="530"/>
    </row>
    <row r="25" spans="1:32" ht="15" customHeight="1" x14ac:dyDescent="0.2">
      <c r="B25" s="544"/>
      <c r="C25" s="554"/>
      <c r="D25" s="546" t="s">
        <v>42</v>
      </c>
      <c r="E25" s="547"/>
      <c r="F25" s="548" t="str">
        <f>IF(E25="","",VLOOKUP(E25,'Списки участников'!A:K,3,FALSE))</f>
        <v/>
      </c>
      <c r="G25" s="551"/>
      <c r="H25" s="537"/>
      <c r="I25" s="552"/>
      <c r="J25" s="556"/>
      <c r="K25" s="537"/>
      <c r="L25" s="552"/>
      <c r="M25" s="556"/>
      <c r="O25" s="552"/>
      <c r="Q25" s="535"/>
      <c r="R25" s="529"/>
      <c r="T25" s="530"/>
      <c r="W25" s="530"/>
      <c r="Y25" s="530"/>
      <c r="Z25" s="533"/>
      <c r="AB25" s="543"/>
      <c r="AE25" s="530"/>
    </row>
    <row r="26" spans="1:32" ht="15" customHeight="1" x14ac:dyDescent="0.2">
      <c r="A26" s="550" t="s">
        <v>17</v>
      </c>
      <c r="B26" s="539"/>
      <c r="C26" s="540" t="str">
        <f>IF(B26="","",VLOOKUP(B26,'Списки участников'!A:K,3,FALSE))</f>
        <v/>
      </c>
      <c r="D26" s="551"/>
      <c r="E26" s="543"/>
      <c r="F26" s="552" t="s">
        <v>2726</v>
      </c>
      <c r="H26" s="537"/>
      <c r="I26" s="552"/>
      <c r="J26" s="556"/>
      <c r="K26" s="537"/>
      <c r="L26" s="552"/>
      <c r="M26" s="556"/>
      <c r="O26" s="552"/>
      <c r="Q26" s="535"/>
      <c r="R26" s="533"/>
      <c r="S26" s="543"/>
      <c r="T26" s="530"/>
      <c r="W26" s="530"/>
      <c r="Y26" s="530"/>
      <c r="AB26" s="530"/>
      <c r="AE26" s="530"/>
    </row>
    <row r="27" spans="1:32" ht="15" customHeight="1" x14ac:dyDescent="0.2">
      <c r="B27" s="544"/>
      <c r="C27" s="554"/>
      <c r="E27" s="543"/>
      <c r="F27" s="552"/>
      <c r="H27" s="537"/>
      <c r="I27" s="552"/>
      <c r="J27" s="557" t="s">
        <v>7</v>
      </c>
      <c r="K27" s="547"/>
      <c r="L27" s="548" t="str">
        <f>IF(K27="","",VLOOKUP(K27,'Списки участников'!A:K,3,FALSE))</f>
        <v/>
      </c>
      <c r="M27" s="551"/>
      <c r="O27" s="552"/>
      <c r="Q27" s="535"/>
      <c r="R27" s="529"/>
      <c r="T27" s="533"/>
      <c r="V27" s="543"/>
      <c r="W27" s="530"/>
      <c r="Y27" s="530"/>
      <c r="AB27" s="530"/>
      <c r="AE27" s="530"/>
    </row>
    <row r="28" spans="1:32" ht="15" customHeight="1" x14ac:dyDescent="0.2">
      <c r="A28" s="550" t="s">
        <v>23</v>
      </c>
      <c r="B28" s="539"/>
      <c r="C28" s="540" t="str">
        <f>IF(B28="","",VLOOKUP(B28,'Списки участников'!A:K,3,FALSE))</f>
        <v/>
      </c>
      <c r="D28" s="549"/>
      <c r="E28" s="543"/>
      <c r="F28" s="552"/>
      <c r="H28" s="537"/>
      <c r="I28" s="552"/>
      <c r="J28" s="556"/>
      <c r="K28" s="537"/>
      <c r="L28" s="552" t="s">
        <v>2725</v>
      </c>
      <c r="M28" s="535"/>
      <c r="N28" s="535"/>
      <c r="O28" s="552"/>
      <c r="Q28" s="535"/>
      <c r="R28" s="533"/>
      <c r="S28" s="543"/>
      <c r="T28" s="530"/>
      <c r="W28" s="530"/>
      <c r="Y28" s="530"/>
      <c r="AB28" s="530"/>
      <c r="AE28" s="530"/>
    </row>
    <row r="29" spans="1:32" ht="15" customHeight="1" x14ac:dyDescent="0.2">
      <c r="B29" s="544"/>
      <c r="C29" s="554"/>
      <c r="D29" s="546" t="s">
        <v>28</v>
      </c>
      <c r="E29" s="547"/>
      <c r="F29" s="548" t="str">
        <f>IF(E29="","",VLOOKUP(E29,'Списки участников'!A:K,3,FALSE))</f>
        <v/>
      </c>
      <c r="G29" s="549"/>
      <c r="H29" s="537"/>
      <c r="I29" s="552"/>
      <c r="J29" s="556"/>
      <c r="K29" s="537"/>
      <c r="L29" s="552"/>
      <c r="M29" s="535"/>
      <c r="N29" s="535"/>
      <c r="O29" s="552"/>
      <c r="Q29" s="535"/>
      <c r="R29" s="529"/>
      <c r="T29" s="530"/>
      <c r="W29" s="533"/>
      <c r="Y29" s="543"/>
      <c r="AB29" s="530"/>
      <c r="AC29" s="529"/>
      <c r="AD29" s="560"/>
      <c r="AE29" s="530"/>
      <c r="AF29" s="533"/>
    </row>
    <row r="30" spans="1:32" ht="15" customHeight="1" x14ac:dyDescent="0.2">
      <c r="A30" s="550" t="s">
        <v>7</v>
      </c>
      <c r="B30" s="539"/>
      <c r="C30" s="540" t="str">
        <f>IF(B30="","",VLOOKUP(B30,'Списки участников'!A:K,3,FALSE))</f>
        <v/>
      </c>
      <c r="D30" s="551"/>
      <c r="E30" s="543"/>
      <c r="F30" s="552" t="s">
        <v>2725</v>
      </c>
      <c r="G30" s="553"/>
      <c r="H30" s="537"/>
      <c r="I30" s="561"/>
      <c r="J30" s="556"/>
      <c r="K30" s="537"/>
      <c r="M30" s="535"/>
      <c r="N30" s="535"/>
      <c r="O30" s="552"/>
      <c r="Q30" s="535"/>
      <c r="R30" s="533"/>
      <c r="S30" s="543"/>
      <c r="T30" s="530"/>
      <c r="W30" s="530"/>
      <c r="Y30" s="530"/>
      <c r="AB30" s="530"/>
      <c r="AE30" s="530"/>
    </row>
    <row r="31" spans="1:32" ht="15" customHeight="1" x14ac:dyDescent="0.2">
      <c r="B31" s="544"/>
      <c r="C31" s="554"/>
      <c r="E31" s="543"/>
      <c r="F31" s="552"/>
      <c r="G31" s="557" t="s">
        <v>17</v>
      </c>
      <c r="H31" s="547"/>
      <c r="I31" s="548" t="str">
        <f>IF(H31="","",VLOOKUP(H31,'Списки участников'!A:K,3,FALSE))</f>
        <v/>
      </c>
      <c r="J31" s="551"/>
      <c r="K31" s="537"/>
      <c r="M31" s="536" t="s">
        <v>901</v>
      </c>
      <c r="N31" s="562" t="str">
        <f>IF(N19="","",IF(N19=K11,K27,IF(N19=K27,K11,"Ошибка")))</f>
        <v>Ошибка</v>
      </c>
      <c r="O31" s="563" t="e">
        <f>IF(N31="","",VLOOKUP(N31,'Списки участников'!A:K,3,FALSE))</f>
        <v>#N/A</v>
      </c>
      <c r="P31" s="549"/>
      <c r="Q31" s="885" t="str">
        <f>CONCATENATE(J3+1," ","м")</f>
        <v>2 м</v>
      </c>
      <c r="R31" s="529"/>
      <c r="T31" s="533"/>
      <c r="V31" s="543"/>
      <c r="W31" s="530"/>
      <c r="Y31" s="530"/>
      <c r="AA31" s="533"/>
      <c r="AB31" s="564"/>
      <c r="AE31" s="530"/>
    </row>
    <row r="32" spans="1:32" ht="15" customHeight="1" x14ac:dyDescent="0.2">
      <c r="A32" s="550" t="s">
        <v>12</v>
      </c>
      <c r="B32" s="539"/>
      <c r="C32" s="540" t="str">
        <f>IF(B32="","",VLOOKUP(B32,'Списки участников'!A:K,3,FALSE))</f>
        <v/>
      </c>
      <c r="D32" s="549"/>
      <c r="E32" s="543"/>
      <c r="F32" s="552"/>
      <c r="G32" s="556"/>
      <c r="H32" s="537"/>
      <c r="I32" s="552" t="s">
        <v>2725</v>
      </c>
      <c r="K32" s="530"/>
      <c r="L32" s="552"/>
      <c r="M32" s="535"/>
      <c r="N32" s="535"/>
      <c r="O32" s="552"/>
      <c r="Q32" s="535"/>
      <c r="R32" s="533"/>
      <c r="S32" s="543"/>
      <c r="T32" s="530"/>
      <c r="W32" s="530"/>
      <c r="Y32" s="530"/>
      <c r="AB32" s="530"/>
      <c r="AC32" s="533"/>
      <c r="AD32" s="564"/>
      <c r="AE32" s="530"/>
      <c r="AF32" s="533"/>
    </row>
    <row r="33" spans="1:32" ht="15" customHeight="1" x14ac:dyDescent="0.2">
      <c r="B33" s="544"/>
      <c r="C33" s="554"/>
      <c r="D33" s="546" t="s">
        <v>22</v>
      </c>
      <c r="E33" s="547"/>
      <c r="F33" s="548" t="str">
        <f>IF(E33="","",VLOOKUP(E33,'Списки участников'!A:K,3,FALSE))</f>
        <v/>
      </c>
      <c r="G33" s="551"/>
      <c r="H33" s="537"/>
      <c r="I33" s="552"/>
      <c r="J33" s="549" t="s">
        <v>897</v>
      </c>
      <c r="K33" s="565" t="str">
        <f>IF(K11="","",IF(K11=H7,H15,IF(K11=H15,H7,"Ошибка")))</f>
        <v/>
      </c>
      <c r="L33" s="563" t="str">
        <f>IF(K33="","",VLOOKUP(K33,'Списки участников'!A:K,3,FALSE))</f>
        <v/>
      </c>
      <c r="M33" s="549"/>
      <c r="O33" s="552"/>
      <c r="Q33" s="535"/>
      <c r="R33" s="529"/>
      <c r="T33" s="530"/>
      <c r="W33" s="530"/>
      <c r="Y33" s="530"/>
      <c r="AA33" s="533"/>
      <c r="AB33" s="564"/>
      <c r="AE33" s="530"/>
    </row>
    <row r="34" spans="1:32" ht="15" customHeight="1" x14ac:dyDescent="0.2">
      <c r="A34" s="550" t="s">
        <v>29</v>
      </c>
      <c r="B34" s="539"/>
      <c r="C34" s="540" t="str">
        <f>IF(B34="","",VLOOKUP(B34,'Списки участников'!A:K,3,FALSE))</f>
        <v/>
      </c>
      <c r="D34" s="551"/>
      <c r="E34" s="537"/>
      <c r="F34" s="552" t="s">
        <v>2725</v>
      </c>
      <c r="I34" s="530"/>
      <c r="K34" s="530"/>
      <c r="L34" s="552"/>
      <c r="M34" s="546" t="s">
        <v>29</v>
      </c>
      <c r="N34" s="559"/>
      <c r="O34" s="563" t="str">
        <f>IF(N34="","",VLOOKUP(N34,'Списки участников'!A:K,3,FALSE))</f>
        <v/>
      </c>
      <c r="P34" s="549"/>
      <c r="Q34" s="885" t="str">
        <f>CONCATENATE(J3+2," ","м")</f>
        <v>3 м</v>
      </c>
      <c r="R34" s="529"/>
      <c r="T34" s="530"/>
      <c r="W34" s="530"/>
      <c r="X34" s="533"/>
      <c r="Y34" s="564"/>
      <c r="AB34" s="530"/>
      <c r="AC34" s="529"/>
      <c r="AD34" s="564"/>
      <c r="AE34" s="530"/>
      <c r="AF34" s="533"/>
    </row>
    <row r="35" spans="1:32" ht="15" customHeight="1" x14ac:dyDescent="0.2">
      <c r="E35" s="530"/>
      <c r="I35" s="530"/>
      <c r="J35" s="549" t="s">
        <v>900</v>
      </c>
      <c r="K35" s="565" t="str">
        <f>IF(K27="","",IF(K27=H23,H31,IF(K27=H31,H23,"Ошибка")))</f>
        <v/>
      </c>
      <c r="L35" s="563" t="str">
        <f>IF(K35="","",VLOOKUP(K35,'Списки участников'!A:K,3,FALSE))</f>
        <v/>
      </c>
      <c r="M35" s="551"/>
      <c r="O35" s="552" t="s">
        <v>2726</v>
      </c>
      <c r="Q35" s="871"/>
      <c r="R35" s="529"/>
      <c r="T35" s="530"/>
      <c r="W35" s="530"/>
      <c r="Y35" s="530"/>
      <c r="Z35" s="533"/>
      <c r="AB35" s="543"/>
      <c r="AE35" s="530"/>
    </row>
    <row r="36" spans="1:32" ht="15" customHeight="1" x14ac:dyDescent="0.2">
      <c r="E36" s="530"/>
      <c r="G36" s="549" t="s">
        <v>892</v>
      </c>
      <c r="H36" s="566" t="str">
        <f>IF(H7="","",IF(H7=E5,E9,IF(H7=E9,E5,"Ошибка")))</f>
        <v/>
      </c>
      <c r="I36" s="563" t="str">
        <f>IF(H36="","",VLOOKUP(H36,'Списки участников'!A:K,3,FALSE))</f>
        <v/>
      </c>
      <c r="J36" s="549"/>
      <c r="K36" s="530"/>
      <c r="L36" s="552"/>
      <c r="M36" s="536" t="s">
        <v>904</v>
      </c>
      <c r="N36" s="562" t="str">
        <f>IF(N34="","",IF(N34=K33,K35,IF(N34=K35,K33,"Ошибка")))</f>
        <v/>
      </c>
      <c r="O36" s="563" t="str">
        <f>IF(N36="","",VLOOKUP(N36,'Списки участников'!A:K,3,FALSE))</f>
        <v/>
      </c>
      <c r="P36" s="549"/>
      <c r="Q36" s="885" t="str">
        <f>CONCATENATE(J3+3," ","м")</f>
        <v>4 м</v>
      </c>
      <c r="R36" s="529"/>
      <c r="T36" s="530"/>
      <c r="W36" s="530"/>
      <c r="X36" s="533"/>
      <c r="Y36" s="564"/>
      <c r="AB36" s="530"/>
      <c r="AE36" s="530"/>
    </row>
    <row r="37" spans="1:32" ht="15" customHeight="1" x14ac:dyDescent="0.2">
      <c r="E37" s="530"/>
      <c r="I37" s="552"/>
      <c r="J37" s="546" t="s">
        <v>13</v>
      </c>
      <c r="K37" s="567"/>
      <c r="L37" s="563" t="str">
        <f>IF(K37="","",VLOOKUP(K37,'Списки участников'!A:K,3,FALSE))</f>
        <v/>
      </c>
      <c r="M37" s="549"/>
      <c r="O37" s="552"/>
      <c r="Q37" s="871"/>
      <c r="R37" s="529"/>
      <c r="T37" s="530"/>
      <c r="W37" s="530"/>
      <c r="Y37" s="530"/>
      <c r="AB37" s="530"/>
      <c r="AC37" s="533"/>
      <c r="AD37" s="543"/>
      <c r="AE37" s="530"/>
      <c r="AF37" s="533"/>
    </row>
    <row r="38" spans="1:32" ht="15" customHeight="1" x14ac:dyDescent="0.2">
      <c r="E38" s="530"/>
      <c r="G38" s="549" t="s">
        <v>893</v>
      </c>
      <c r="H38" s="566" t="str">
        <f>IF(H15="","",IF(H15=E13,E17,IF(H15=E17,E13,"Ошибка")))</f>
        <v/>
      </c>
      <c r="I38" s="563" t="str">
        <f>IF(H38="","",VLOOKUP(H38,'Списки участников'!A:K,3,FALSE))</f>
        <v/>
      </c>
      <c r="J38" s="551"/>
      <c r="K38" s="530"/>
      <c r="L38" s="552" t="s">
        <v>2726</v>
      </c>
      <c r="M38" s="553"/>
      <c r="O38" s="552"/>
      <c r="Q38" s="871"/>
      <c r="R38" s="529"/>
      <c r="T38" s="530"/>
      <c r="W38" s="530"/>
      <c r="X38" s="533"/>
      <c r="Y38" s="564"/>
      <c r="AB38" s="530"/>
      <c r="AE38" s="530"/>
    </row>
    <row r="39" spans="1:32" ht="15" customHeight="1" x14ac:dyDescent="0.2">
      <c r="E39" s="530"/>
      <c r="I39" s="552"/>
      <c r="K39" s="530"/>
      <c r="L39" s="552"/>
      <c r="M39" s="557" t="s">
        <v>31</v>
      </c>
      <c r="N39" s="568"/>
      <c r="O39" s="563" t="str">
        <f>IF(N39="","",VLOOKUP(N39,'Списки участников'!A:K,3,FALSE))</f>
        <v/>
      </c>
      <c r="P39" s="549"/>
      <c r="Q39" s="885" t="str">
        <f>CONCATENATE(J3+4," ","м")</f>
        <v>5 м</v>
      </c>
      <c r="R39" s="529"/>
      <c r="T39" s="530"/>
      <c r="W39" s="530"/>
      <c r="Y39" s="530"/>
      <c r="Z39" s="533"/>
      <c r="AB39" s="543"/>
      <c r="AE39" s="530"/>
    </row>
    <row r="40" spans="1:32" ht="15" customHeight="1" x14ac:dyDescent="0.2">
      <c r="E40" s="530"/>
      <c r="G40" s="549" t="s">
        <v>2</v>
      </c>
      <c r="H40" s="565" t="str">
        <f>IF(H23="","",IF(H23=E21,E25,IF(H23=E25,E21,"Ошибка")))</f>
        <v/>
      </c>
      <c r="I40" s="563" t="str">
        <f>IF(H40="","",VLOOKUP(H40,'Списки участников'!A:K,3,FALSE))</f>
        <v/>
      </c>
      <c r="J40" s="549"/>
      <c r="K40" s="530"/>
      <c r="L40" s="552"/>
      <c r="M40" s="556"/>
      <c r="O40" s="552" t="s">
        <v>2725</v>
      </c>
      <c r="Q40" s="871"/>
      <c r="R40" s="529"/>
      <c r="T40" s="530"/>
      <c r="W40" s="530"/>
      <c r="X40" s="533"/>
      <c r="Y40" s="564"/>
      <c r="AB40" s="530"/>
      <c r="AC40" s="529"/>
      <c r="AD40" s="560"/>
      <c r="AE40" s="530"/>
      <c r="AF40" s="533"/>
    </row>
    <row r="41" spans="1:32" ht="15" customHeight="1" x14ac:dyDescent="0.2">
      <c r="E41" s="530"/>
      <c r="I41" s="552"/>
      <c r="J41" s="546" t="s">
        <v>32</v>
      </c>
      <c r="K41" s="567"/>
      <c r="L41" s="563" t="str">
        <f>IF(K41="","",VLOOKUP(K41,'Списки участников'!A:K,3,FALSE))</f>
        <v/>
      </c>
      <c r="M41" s="551"/>
      <c r="O41" s="552"/>
      <c r="Q41" s="871"/>
      <c r="R41" s="529"/>
      <c r="T41" s="530"/>
      <c r="W41" s="530"/>
      <c r="Y41" s="530"/>
      <c r="AA41" s="533"/>
      <c r="AB41" s="564"/>
      <c r="AE41" s="530"/>
    </row>
    <row r="42" spans="1:32" ht="15" customHeight="1" x14ac:dyDescent="0.2">
      <c r="E42" s="530"/>
      <c r="G42" s="549" t="s">
        <v>895</v>
      </c>
      <c r="H42" s="565" t="str">
        <f>IF(H31="","",IF(H31=E29,E33,IF(H31=E33,E29,"Ошибка")))</f>
        <v/>
      </c>
      <c r="I42" s="563" t="str">
        <f>IF(H42="","",VLOOKUP(H42,'Списки участников'!A:K,3,FALSE))</f>
        <v/>
      </c>
      <c r="J42" s="551"/>
      <c r="K42" s="530"/>
      <c r="L42" s="552" t="s">
        <v>2726</v>
      </c>
      <c r="M42" s="536" t="s">
        <v>70</v>
      </c>
      <c r="N42" s="569" t="str">
        <f>IF(N39="","",IF(N39=K37,K41,IF(N39=K41,K37,"Ошибка")))</f>
        <v/>
      </c>
      <c r="O42" s="563" t="str">
        <f>IF(N42="","",VLOOKUP(N42,'Списки участников'!A:K,3,FALSE))</f>
        <v/>
      </c>
      <c r="P42" s="549"/>
      <c r="Q42" s="885" t="str">
        <f>CONCATENATE(J3+5," ","м")</f>
        <v>6 м</v>
      </c>
      <c r="R42" s="529"/>
      <c r="T42" s="530"/>
      <c r="W42" s="530"/>
      <c r="Y42" s="530"/>
      <c r="AB42" s="530"/>
      <c r="AC42" s="533"/>
      <c r="AD42" s="564"/>
      <c r="AE42" s="530"/>
      <c r="AF42" s="533"/>
    </row>
    <row r="43" spans="1:32" ht="15" customHeight="1" x14ac:dyDescent="0.2">
      <c r="E43" s="530"/>
      <c r="I43" s="552"/>
      <c r="J43" s="570" t="s">
        <v>882</v>
      </c>
      <c r="K43" s="565" t="str">
        <f>IF(K37="","",IF(K37=H38,H36,IF(K37=H36,H38,"Ошибка")))</f>
        <v/>
      </c>
      <c r="L43" s="563" t="str">
        <f>IF(K43="","",VLOOKUP(K43,'Списки участников'!A:K,3,FALSE))</f>
        <v/>
      </c>
      <c r="M43" s="549"/>
      <c r="O43" s="552"/>
      <c r="Q43" s="871"/>
      <c r="R43" s="529"/>
      <c r="T43" s="530"/>
      <c r="W43" s="530"/>
      <c r="Y43" s="530"/>
      <c r="AA43" s="533"/>
      <c r="AB43" s="564"/>
      <c r="AE43" s="530"/>
    </row>
    <row r="44" spans="1:32" ht="15" customHeight="1" x14ac:dyDescent="0.2">
      <c r="E44" s="530"/>
      <c r="I44" s="552"/>
      <c r="K44" s="530"/>
      <c r="L44" s="552"/>
      <c r="M44" s="546" t="s">
        <v>34</v>
      </c>
      <c r="N44" s="568"/>
      <c r="O44" s="563" t="str">
        <f>IF(N44="","",VLOOKUP(N44,'Списки участников'!A:K,3,FALSE))</f>
        <v/>
      </c>
      <c r="P44" s="549"/>
      <c r="Q44" s="885" t="str">
        <f>CONCATENATE(J3+6," ","м")</f>
        <v>7 м</v>
      </c>
      <c r="R44" s="529"/>
      <c r="T44" s="530"/>
      <c r="U44" s="533"/>
      <c r="V44" s="564"/>
      <c r="W44" s="530"/>
      <c r="Y44" s="530"/>
      <c r="AB44" s="530"/>
      <c r="AC44" s="529"/>
      <c r="AD44" s="560"/>
      <c r="AE44" s="530"/>
      <c r="AF44" s="533"/>
    </row>
    <row r="45" spans="1:32" ht="15" customHeight="1" x14ac:dyDescent="0.2">
      <c r="E45" s="530"/>
      <c r="I45" s="552"/>
      <c r="J45" s="535" t="s">
        <v>885</v>
      </c>
      <c r="K45" s="565" t="str">
        <f>IF(K41="","",IF(K41=H40,H42,IF(K41=H42,H40,"Ошибка")))</f>
        <v/>
      </c>
      <c r="L45" s="563" t="str">
        <f>IF(K45="","",VLOOKUP(K45,'Списки участников'!A:K,3,FALSE))</f>
        <v/>
      </c>
      <c r="M45" s="551"/>
      <c r="O45" s="552" t="s">
        <v>2725</v>
      </c>
      <c r="Q45" s="871"/>
      <c r="R45" s="529"/>
      <c r="T45" s="530"/>
      <c r="W45" s="533"/>
      <c r="Y45" s="543"/>
      <c r="AB45" s="530"/>
      <c r="AE45" s="530"/>
    </row>
    <row r="46" spans="1:32" ht="15" customHeight="1" x14ac:dyDescent="0.2">
      <c r="D46" s="549" t="s">
        <v>881</v>
      </c>
      <c r="E46" s="565" t="str">
        <f>IF(E5="","",IF(E5=B4,B6,IF(E5=B6,B4,"Ошибка")))</f>
        <v/>
      </c>
      <c r="F46" s="563" t="str">
        <f>IF(E46="","",VLOOKUP(E46,'Списки участников'!A:K,3,FALSE))</f>
        <v/>
      </c>
      <c r="G46" s="549"/>
      <c r="I46" s="552"/>
      <c r="K46" s="530"/>
      <c r="L46" s="552"/>
      <c r="M46" s="536" t="s">
        <v>888</v>
      </c>
      <c r="N46" s="569" t="str">
        <f>IF(N44="","",IF(N44=K43,K45,IF(N44=K45,K43,"Ошибка")))</f>
        <v/>
      </c>
      <c r="O46" s="563" t="str">
        <f>IF(N46="","",VLOOKUP(N46,'Списки участников'!A:K,3,FALSE))</f>
        <v/>
      </c>
      <c r="P46" s="549"/>
      <c r="Q46" s="885" t="str">
        <f>CONCATENATE(J3+7," ","м")</f>
        <v>8 м</v>
      </c>
      <c r="R46" s="529"/>
      <c r="T46" s="530"/>
      <c r="U46" s="533"/>
      <c r="V46" s="564"/>
      <c r="W46" s="530"/>
      <c r="Y46" s="530"/>
      <c r="AB46" s="530"/>
      <c r="AE46" s="530"/>
    </row>
    <row r="47" spans="1:32" ht="15" customHeight="1" x14ac:dyDescent="0.2">
      <c r="E47" s="530"/>
      <c r="F47" s="552"/>
      <c r="G47" s="546" t="s">
        <v>8</v>
      </c>
      <c r="H47" s="567"/>
      <c r="I47" s="563" t="str">
        <f>IF(H47="","",VLOOKUP(H47,'Списки участников'!A:K,3,FALSE))</f>
        <v/>
      </c>
      <c r="J47" s="549"/>
      <c r="K47" s="530"/>
      <c r="L47" s="552"/>
      <c r="M47" s="535"/>
      <c r="N47" s="535"/>
      <c r="O47" s="552"/>
      <c r="Q47" s="871"/>
      <c r="R47" s="529"/>
      <c r="T47" s="530"/>
      <c r="W47" s="530"/>
      <c r="Y47" s="530"/>
      <c r="Z47" s="533"/>
      <c r="AB47" s="543"/>
      <c r="AE47" s="530"/>
    </row>
    <row r="48" spans="1:32" ht="15" customHeight="1" x14ac:dyDescent="0.2">
      <c r="D48" s="549" t="s">
        <v>883</v>
      </c>
      <c r="E48" s="565" t="str">
        <f>IF(E9="","",IF(E9=B10,B8,IF(E9=B8,B10,"Ошибка")))</f>
        <v/>
      </c>
      <c r="F48" s="563" t="str">
        <f>IF(E48="","",VLOOKUP(E48,'Списки участников'!A:K,3,FALSE))</f>
        <v/>
      </c>
      <c r="G48" s="551"/>
      <c r="H48" s="571"/>
      <c r="I48" s="552"/>
      <c r="J48" s="553"/>
      <c r="K48" s="530"/>
      <c r="L48" s="552"/>
      <c r="M48" s="535"/>
      <c r="N48" s="535"/>
      <c r="O48" s="552"/>
      <c r="Q48" s="871"/>
      <c r="R48" s="529"/>
      <c r="T48" s="530"/>
      <c r="U48" s="533"/>
      <c r="V48" s="564"/>
      <c r="W48" s="530"/>
      <c r="Y48" s="530"/>
      <c r="AB48" s="530"/>
      <c r="AE48" s="530"/>
    </row>
    <row r="49" spans="4:32" ht="15" customHeight="1" x14ac:dyDescent="0.2">
      <c r="E49" s="530"/>
      <c r="F49" s="552"/>
      <c r="H49" s="571"/>
      <c r="I49" s="552"/>
      <c r="J49" s="557" t="s">
        <v>36</v>
      </c>
      <c r="K49" s="567"/>
      <c r="L49" s="563" t="str">
        <f>IF(K49="","",VLOOKUP(K49,'Списки участников'!A:K,3,FALSE))</f>
        <v/>
      </c>
      <c r="M49" s="549"/>
      <c r="O49" s="552"/>
      <c r="Q49" s="871"/>
      <c r="R49" s="529"/>
      <c r="T49" s="530"/>
      <c r="W49" s="533"/>
      <c r="Y49" s="543"/>
      <c r="AB49" s="530"/>
      <c r="AE49" s="530"/>
    </row>
    <row r="50" spans="4:32" ht="15" customHeight="1" x14ac:dyDescent="0.2">
      <c r="D50" s="549" t="s">
        <v>884</v>
      </c>
      <c r="E50" s="565" t="str">
        <f>IF(E13="","",IF(E13=B12,B14,IF(E13=B14,B12,"Ошибка")))</f>
        <v/>
      </c>
      <c r="F50" s="563" t="str">
        <f>IF(E50="","",VLOOKUP(E50,'Списки участников'!A:K,3,FALSE))</f>
        <v/>
      </c>
      <c r="G50" s="549"/>
      <c r="H50" s="571"/>
      <c r="I50" s="552"/>
      <c r="J50" s="556"/>
      <c r="K50" s="571"/>
      <c r="L50" s="552" t="s">
        <v>2725</v>
      </c>
      <c r="M50" s="553"/>
      <c r="O50" s="552"/>
      <c r="Q50" s="871"/>
      <c r="R50" s="529"/>
      <c r="T50" s="530"/>
      <c r="U50" s="533"/>
      <c r="V50" s="564"/>
      <c r="W50" s="530"/>
      <c r="Y50" s="530"/>
      <c r="AB50" s="530"/>
      <c r="AE50" s="530"/>
    </row>
    <row r="51" spans="4:32" ht="15" customHeight="1" x14ac:dyDescent="0.2">
      <c r="E51" s="530"/>
      <c r="F51" s="552"/>
      <c r="G51" s="546" t="s">
        <v>14</v>
      </c>
      <c r="H51" s="567"/>
      <c r="I51" s="563" t="str">
        <f>IF(H51="","",VLOOKUP(H51,'Списки участников'!A:K,3,FALSE))</f>
        <v/>
      </c>
      <c r="J51" s="551"/>
      <c r="K51" s="571"/>
      <c r="L51" s="552"/>
      <c r="M51" s="556"/>
      <c r="O51" s="552"/>
      <c r="Q51" s="871"/>
      <c r="R51" s="529"/>
      <c r="T51" s="530"/>
      <c r="W51" s="530"/>
      <c r="Y51" s="530"/>
      <c r="AB51" s="530"/>
      <c r="AC51" s="533"/>
      <c r="AD51" s="543"/>
      <c r="AE51" s="530"/>
      <c r="AF51" s="533"/>
    </row>
    <row r="52" spans="4:32" ht="15" customHeight="1" x14ac:dyDescent="0.2">
      <c r="D52" s="549" t="s">
        <v>886</v>
      </c>
      <c r="E52" s="565" t="str">
        <f>IF(E17="","",IF(E17=B18,B16,IF(E17=B16,B18,"Ошибка")))</f>
        <v/>
      </c>
      <c r="F52" s="563" t="str">
        <f>IF(E52="","",VLOOKUP(E52,'Списки участников'!A:K,3,FALSE))</f>
        <v/>
      </c>
      <c r="G52" s="551"/>
      <c r="H52" s="571"/>
      <c r="I52" s="552"/>
      <c r="K52" s="571"/>
      <c r="L52" s="552"/>
      <c r="M52" s="556"/>
      <c r="O52" s="552"/>
      <c r="Q52" s="871"/>
      <c r="R52" s="529"/>
      <c r="T52" s="530"/>
      <c r="U52" s="533"/>
      <c r="V52" s="564"/>
      <c r="W52" s="530"/>
      <c r="Y52" s="530"/>
      <c r="AB52" s="530"/>
      <c r="AE52" s="530"/>
    </row>
    <row r="53" spans="4:32" ht="15" customHeight="1" x14ac:dyDescent="0.2">
      <c r="E53" s="530"/>
      <c r="F53" s="552"/>
      <c r="H53" s="571"/>
      <c r="I53" s="552"/>
      <c r="K53" s="571"/>
      <c r="L53" s="552"/>
      <c r="M53" s="557" t="s">
        <v>40</v>
      </c>
      <c r="N53" s="568"/>
      <c r="O53" s="563" t="str">
        <f>IF(N53="","",VLOOKUP(N53,'Списки участников'!A:K,3,FALSE))</f>
        <v/>
      </c>
      <c r="P53" s="549"/>
      <c r="Q53" s="885" t="str">
        <f>CONCATENATE(J3+8," ","м")</f>
        <v>9 м</v>
      </c>
      <c r="R53" s="529"/>
      <c r="T53" s="530"/>
      <c r="W53" s="533"/>
      <c r="Y53" s="543"/>
      <c r="AB53" s="530"/>
      <c r="AE53" s="530"/>
    </row>
    <row r="54" spans="4:32" ht="15" customHeight="1" x14ac:dyDescent="0.2">
      <c r="D54" s="549" t="s">
        <v>887</v>
      </c>
      <c r="E54" s="565" t="str">
        <f>IF(E21="","",IF(E21=B20,B22,IF(E21=B22,B20,"Ошибка")))</f>
        <v/>
      </c>
      <c r="F54" s="563" t="str">
        <f>IF(E54="","",VLOOKUP(E54,'Списки участников'!A:K,3,FALSE))</f>
        <v/>
      </c>
      <c r="G54" s="549"/>
      <c r="H54" s="571"/>
      <c r="I54" s="552"/>
      <c r="K54" s="571"/>
      <c r="L54" s="552"/>
      <c r="M54" s="556"/>
      <c r="O54" s="552" t="s">
        <v>2725</v>
      </c>
      <c r="Q54" s="871"/>
      <c r="R54" s="529"/>
      <c r="T54" s="530"/>
      <c r="U54" s="533"/>
      <c r="V54" s="564"/>
      <c r="W54" s="530"/>
      <c r="Y54" s="530"/>
      <c r="AB54" s="530"/>
      <c r="AE54" s="530"/>
    </row>
    <row r="55" spans="4:32" ht="15" customHeight="1" x14ac:dyDescent="0.2">
      <c r="E55" s="530"/>
      <c r="F55" s="552"/>
      <c r="G55" s="546" t="s">
        <v>43</v>
      </c>
      <c r="H55" s="567"/>
      <c r="I55" s="563" t="str">
        <f>IF(H55="","",VLOOKUP(H55,'Списки участников'!A:K,3,FALSE))</f>
        <v/>
      </c>
      <c r="J55" s="549"/>
      <c r="K55" s="571"/>
      <c r="L55" s="552"/>
      <c r="M55" s="556"/>
      <c r="O55" s="552"/>
      <c r="Q55" s="871"/>
      <c r="R55" s="529"/>
      <c r="T55" s="530"/>
      <c r="W55" s="530"/>
      <c r="Y55" s="530"/>
      <c r="Z55" s="533"/>
      <c r="AB55" s="543"/>
      <c r="AE55" s="530"/>
    </row>
    <row r="56" spans="4:32" ht="15" customHeight="1" x14ac:dyDescent="0.2">
      <c r="D56" s="549" t="s">
        <v>889</v>
      </c>
      <c r="E56" s="565" t="str">
        <f>IF(E25="","",IF(E25=B26,B24,IF(E25=B24,B26,"Ошибка")))</f>
        <v/>
      </c>
      <c r="F56" s="563" t="str">
        <f>IF(E56="","",VLOOKUP(E56,'Списки участников'!A:K,3,FALSE))</f>
        <v/>
      </c>
      <c r="G56" s="551"/>
      <c r="H56" s="571"/>
      <c r="I56" s="552"/>
      <c r="J56" s="553"/>
      <c r="K56" s="571"/>
      <c r="L56" s="552"/>
      <c r="M56" s="556"/>
      <c r="O56" s="552"/>
      <c r="Q56" s="871"/>
      <c r="R56" s="529"/>
      <c r="T56" s="530"/>
      <c r="U56" s="533"/>
      <c r="V56" s="564"/>
      <c r="W56" s="530"/>
      <c r="Y56" s="530"/>
      <c r="AB56" s="530"/>
      <c r="AC56" s="529"/>
      <c r="AD56" s="560"/>
      <c r="AE56" s="530"/>
      <c r="AF56" s="533"/>
    </row>
    <row r="57" spans="4:32" ht="15" customHeight="1" x14ac:dyDescent="0.2">
      <c r="E57" s="571"/>
      <c r="F57" s="552"/>
      <c r="H57" s="571"/>
      <c r="I57" s="552"/>
      <c r="J57" s="557" t="s">
        <v>27</v>
      </c>
      <c r="K57" s="567"/>
      <c r="L57" s="563" t="str">
        <f>IF(K57="","",VLOOKUP(K57,'Списки участников'!A:K,3,FALSE))</f>
        <v/>
      </c>
      <c r="M57" s="551"/>
      <c r="O57" s="552"/>
      <c r="Q57" s="871"/>
      <c r="R57" s="529"/>
      <c r="T57" s="530"/>
      <c r="W57" s="533"/>
      <c r="Y57" s="543"/>
      <c r="AB57" s="530"/>
      <c r="AE57" s="530"/>
    </row>
    <row r="58" spans="4:32" ht="15" customHeight="1" x14ac:dyDescent="0.2">
      <c r="D58" s="549" t="s">
        <v>890</v>
      </c>
      <c r="E58" s="565" t="str">
        <f>IF(E29="","",IF(E29=B28,B30,IF(E29=B30,B28,"Ошибка")))</f>
        <v/>
      </c>
      <c r="F58" s="563" t="str">
        <f>IF(E58="","",VLOOKUP(E58,'Списки участников'!A:K,3,FALSE))</f>
        <v/>
      </c>
      <c r="G58" s="549"/>
      <c r="H58" s="571"/>
      <c r="I58" s="552"/>
      <c r="J58" s="556"/>
      <c r="K58" s="530"/>
      <c r="L58" s="552" t="s">
        <v>2726</v>
      </c>
      <c r="M58" s="536" t="s">
        <v>919</v>
      </c>
      <c r="N58" s="569" t="str">
        <f>IF(N53="","",IF(N53=K49,K57,IF(N53=K57,K49,"Ошибка")))</f>
        <v/>
      </c>
      <c r="O58" s="563" t="str">
        <f>IF(N58="","",VLOOKUP(N58,'Списки участников'!A:K,3,FALSE))</f>
        <v/>
      </c>
      <c r="P58" s="549"/>
      <c r="Q58" s="885" t="str">
        <f>CONCATENATE(J3+9," ","м")</f>
        <v>10 м</v>
      </c>
      <c r="R58" s="529"/>
      <c r="T58" s="530"/>
      <c r="U58" s="533"/>
      <c r="V58" s="564"/>
      <c r="W58" s="530"/>
      <c r="Y58" s="530"/>
      <c r="AA58" s="533"/>
      <c r="AB58" s="564"/>
      <c r="AE58" s="530"/>
    </row>
    <row r="59" spans="4:32" ht="15" customHeight="1" x14ac:dyDescent="0.2">
      <c r="E59" s="571"/>
      <c r="F59" s="552"/>
      <c r="G59" s="546" t="s">
        <v>19</v>
      </c>
      <c r="H59" s="572"/>
      <c r="I59" s="563" t="str">
        <f>IF(H59="","",VLOOKUP(H59,'Списки участников'!A:K,3,FALSE))</f>
        <v/>
      </c>
      <c r="J59" s="551"/>
      <c r="K59" s="530"/>
      <c r="L59" s="552"/>
      <c r="M59" s="535"/>
      <c r="N59" s="535"/>
      <c r="O59" s="552"/>
      <c r="Q59" s="871"/>
      <c r="R59" s="529"/>
      <c r="T59" s="530"/>
      <c r="W59" s="530"/>
      <c r="Y59" s="530"/>
      <c r="AB59" s="530"/>
      <c r="AC59" s="533"/>
      <c r="AD59" s="543"/>
      <c r="AE59" s="530"/>
      <c r="AF59" s="533"/>
    </row>
    <row r="60" spans="4:32" ht="15" customHeight="1" x14ac:dyDescent="0.2">
      <c r="D60" s="549" t="s">
        <v>891</v>
      </c>
      <c r="E60" s="565" t="str">
        <f>IF(E33="","",IF(E33=B34,B32,IF(E33=B32,B34,"Ошибка")))</f>
        <v/>
      </c>
      <c r="F60" s="563" t="str">
        <f>IF(E60="","",VLOOKUP(E60,'Списки участников'!A:K,3,FALSE))</f>
        <v/>
      </c>
      <c r="G60" s="551"/>
      <c r="I60" s="552"/>
      <c r="J60" s="570" t="s">
        <v>914</v>
      </c>
      <c r="K60" s="565" t="str">
        <f>IF(K49="","",IF(K49=H47,H51,IF(K49=H51,H47,"Ошибка")))</f>
        <v/>
      </c>
      <c r="L60" s="563" t="str">
        <f>IF(K60="","",VLOOKUP(K60,'Списки участников'!A:K,3,FALSE))</f>
        <v/>
      </c>
      <c r="M60" s="549"/>
      <c r="O60" s="552"/>
      <c r="Q60" s="871"/>
      <c r="R60" s="529"/>
      <c r="T60" s="530"/>
      <c r="W60" s="530"/>
      <c r="Y60" s="530"/>
      <c r="AA60" s="533"/>
      <c r="AB60" s="564"/>
      <c r="AE60" s="530"/>
    </row>
    <row r="61" spans="4:32" ht="15" customHeight="1" x14ac:dyDescent="0.2">
      <c r="E61" s="530"/>
      <c r="F61" s="552"/>
      <c r="I61" s="552"/>
      <c r="K61" s="530"/>
      <c r="L61" s="552"/>
      <c r="M61" s="557" t="s">
        <v>9</v>
      </c>
      <c r="N61" s="568"/>
      <c r="O61" s="563" t="str">
        <f>IF(N61="","",VLOOKUP(N61,'Списки участников'!A:K,3,FALSE))</f>
        <v/>
      </c>
      <c r="P61" s="549"/>
      <c r="Q61" s="885" t="str">
        <f>CONCATENATE(J3+10," ","м")</f>
        <v>11 м</v>
      </c>
      <c r="R61" s="529"/>
      <c r="T61" s="530"/>
      <c r="W61" s="530"/>
      <c r="X61" s="533"/>
      <c r="Y61" s="564"/>
      <c r="AB61" s="530"/>
      <c r="AC61" s="529"/>
      <c r="AD61" s="560"/>
      <c r="AE61" s="530"/>
      <c r="AF61" s="533"/>
    </row>
    <row r="62" spans="4:32" ht="15" customHeight="1" x14ac:dyDescent="0.2">
      <c r="E62" s="530"/>
      <c r="F62" s="552"/>
      <c r="I62" s="552"/>
      <c r="J62" s="549" t="s">
        <v>918</v>
      </c>
      <c r="K62" s="565" t="str">
        <f>IF(K57="","",IF(K57=H55,H59,IF(K57=H59,H55,"Ошибка")))</f>
        <v/>
      </c>
      <c r="L62" s="563" t="str">
        <f>IF(K62="","",VLOOKUP(K62,'Списки участников'!A:K,3,FALSE))</f>
        <v/>
      </c>
      <c r="M62" s="551"/>
      <c r="O62" s="552" t="s">
        <v>2725</v>
      </c>
      <c r="Q62" s="871"/>
      <c r="R62" s="529"/>
      <c r="T62" s="530"/>
      <c r="W62" s="530"/>
      <c r="Y62" s="530"/>
      <c r="Z62" s="533"/>
      <c r="AB62" s="543"/>
      <c r="AE62" s="530"/>
    </row>
    <row r="63" spans="4:32" ht="15" customHeight="1" x14ac:dyDescent="0.2">
      <c r="E63" s="530"/>
      <c r="G63" s="549" t="s">
        <v>905</v>
      </c>
      <c r="H63" s="565" t="str">
        <f>IF(H47="","",IF(H47=E46,E48,IF(H47=E48,E46,"Ошибка")))</f>
        <v/>
      </c>
      <c r="I63" s="563" t="str">
        <f>IF(H63="","",VLOOKUP(H63,'Списки участников'!A:K,3,FALSE))</f>
        <v/>
      </c>
      <c r="J63" s="549"/>
      <c r="K63" s="530"/>
      <c r="L63" s="552"/>
      <c r="M63" s="536" t="s">
        <v>922</v>
      </c>
      <c r="N63" s="569" t="str">
        <f>IF(N61="","",IF(N61=K60,K62,IF(N61=K62,K60,"Ошибка")))</f>
        <v/>
      </c>
      <c r="O63" s="563" t="str">
        <f>IF(N63="","",VLOOKUP(N63,'Списки участников'!A:K,3,FALSE))</f>
        <v/>
      </c>
      <c r="P63" s="549"/>
      <c r="Q63" s="885" t="str">
        <f>CONCATENATE(J3+11," ","м")</f>
        <v>12 м</v>
      </c>
      <c r="R63" s="529"/>
      <c r="T63" s="530"/>
      <c r="W63" s="530"/>
      <c r="X63" s="533"/>
      <c r="Y63" s="564"/>
      <c r="AB63" s="530"/>
      <c r="AE63" s="530"/>
    </row>
    <row r="64" spans="4:32" ht="15" customHeight="1" x14ac:dyDescent="0.2">
      <c r="E64" s="530"/>
      <c r="H64" s="571"/>
      <c r="I64" s="552"/>
      <c r="J64" s="546" t="s">
        <v>18</v>
      </c>
      <c r="K64" s="572"/>
      <c r="L64" s="563" t="str">
        <f>IF(K64="","",VLOOKUP(K64,'Списки участников'!A:K,3,FALSE))</f>
        <v/>
      </c>
      <c r="M64" s="549"/>
      <c r="O64" s="552"/>
      <c r="Q64" s="871"/>
      <c r="R64" s="529"/>
      <c r="T64" s="530"/>
      <c r="W64" s="530"/>
      <c r="Y64" s="530"/>
      <c r="AB64" s="530"/>
      <c r="AC64" s="533"/>
      <c r="AD64" s="543"/>
      <c r="AE64" s="530"/>
      <c r="AF64" s="533"/>
    </row>
    <row r="65" spans="3:32" ht="15" customHeight="1" x14ac:dyDescent="0.2">
      <c r="E65" s="530"/>
      <c r="G65" s="549" t="s">
        <v>907</v>
      </c>
      <c r="H65" s="565" t="str">
        <f>IF(H51="","",IF(H51=E50,E52,IF(H51=E52,E50,"Ошибка")))</f>
        <v/>
      </c>
      <c r="I65" s="563" t="str">
        <f>IF(H65="","",VLOOKUP(H65,'Списки участников'!A:K,3,FALSE))</f>
        <v/>
      </c>
      <c r="J65" s="551"/>
      <c r="K65" s="571"/>
      <c r="L65" s="552" t="s">
        <v>2726</v>
      </c>
      <c r="M65" s="553"/>
      <c r="O65" s="552"/>
      <c r="Q65" s="871"/>
      <c r="R65" s="529"/>
      <c r="T65" s="530"/>
      <c r="W65" s="530"/>
      <c r="X65" s="533"/>
      <c r="Y65" s="564"/>
      <c r="AB65" s="530"/>
      <c r="AE65" s="530"/>
    </row>
    <row r="66" spans="3:32" ht="15" customHeight="1" x14ac:dyDescent="0.2">
      <c r="E66" s="530"/>
      <c r="H66" s="571"/>
      <c r="I66" s="552"/>
      <c r="K66" s="571"/>
      <c r="L66" s="552"/>
      <c r="M66" s="557" t="s">
        <v>39</v>
      </c>
      <c r="N66" s="568"/>
      <c r="O66" s="563" t="str">
        <f>IF(N66="","",VLOOKUP(N66,'Списки участников'!A:K,3,FALSE))</f>
        <v/>
      </c>
      <c r="P66" s="549"/>
      <c r="Q66" s="885" t="str">
        <f>CONCATENATE(J3+12," ","м")</f>
        <v>13 м</v>
      </c>
      <c r="R66" s="529"/>
      <c r="T66" s="530"/>
      <c r="W66" s="530"/>
      <c r="Y66" s="530"/>
      <c r="Z66" s="533"/>
      <c r="AB66" s="543"/>
      <c r="AE66" s="530"/>
    </row>
    <row r="67" spans="3:32" ht="15" customHeight="1" x14ac:dyDescent="0.2">
      <c r="E67" s="530"/>
      <c r="G67" s="549" t="s">
        <v>910</v>
      </c>
      <c r="H67" s="565" t="str">
        <f>IF(H55="","",IF(H55=E54,E56,IF(H55=E56,E54,"Ошибка")))</f>
        <v/>
      </c>
      <c r="I67" s="563" t="str">
        <f>IF(H67="","",VLOOKUP(H67,'Списки участников'!A:K,3,FALSE))</f>
        <v/>
      </c>
      <c r="J67" s="549"/>
      <c r="K67" s="571"/>
      <c r="L67" s="552"/>
      <c r="M67" s="556"/>
      <c r="O67" s="552" t="s">
        <v>2726</v>
      </c>
      <c r="Q67" s="871"/>
      <c r="R67" s="529"/>
      <c r="T67" s="530"/>
      <c r="W67" s="530"/>
      <c r="X67" s="533"/>
      <c r="Y67" s="564"/>
      <c r="AB67" s="530"/>
      <c r="AC67" s="529"/>
      <c r="AD67" s="560"/>
      <c r="AE67" s="530"/>
      <c r="AF67" s="533"/>
    </row>
    <row r="68" spans="3:32" ht="15" customHeight="1" x14ac:dyDescent="0.2">
      <c r="E68" s="530"/>
      <c r="H68" s="571"/>
      <c r="I68" s="552"/>
      <c r="J68" s="546" t="s">
        <v>33</v>
      </c>
      <c r="K68" s="567"/>
      <c r="L68" s="563" t="str">
        <f>IF(K68="","",VLOOKUP(K68,'Списки участников'!A:K,3,FALSE))</f>
        <v/>
      </c>
      <c r="M68" s="551"/>
      <c r="O68" s="552"/>
      <c r="Q68" s="871"/>
      <c r="R68" s="529"/>
      <c r="T68" s="530"/>
      <c r="W68" s="530"/>
      <c r="Y68" s="530"/>
      <c r="AA68" s="533"/>
      <c r="AB68" s="564"/>
      <c r="AE68" s="530"/>
    </row>
    <row r="69" spans="3:32" ht="15" customHeight="1" x14ac:dyDescent="0.2">
      <c r="E69" s="530"/>
      <c r="G69" s="549" t="s">
        <v>912</v>
      </c>
      <c r="H69" s="565" t="str">
        <f>IF(H59="","",IF(H59=E58,E60,IF(H59=E60,E58,"Ошибка")))</f>
        <v/>
      </c>
      <c r="I69" s="563" t="str">
        <f>IF(H69="","",VLOOKUP(H69,'Списки участников'!A:K,3,FALSE))</f>
        <v/>
      </c>
      <c r="J69" s="551"/>
      <c r="K69" s="530"/>
      <c r="L69" s="552" t="s">
        <v>2726</v>
      </c>
      <c r="M69" s="536" t="s">
        <v>56</v>
      </c>
      <c r="N69" s="569" t="str">
        <f>IF(N66="","",IF(N66=K64,K68,IF(N66=K68,K64,"Ошибка")))</f>
        <v/>
      </c>
      <c r="O69" s="563" t="str">
        <f>IF(N69="","",VLOOKUP(N69,'Списки участников'!A:K,3,FALSE))</f>
        <v/>
      </c>
      <c r="P69" s="549"/>
      <c r="Q69" s="885" t="str">
        <f>CONCATENATE(J3+13," ","м")</f>
        <v>14 м</v>
      </c>
      <c r="R69" s="529"/>
      <c r="T69" s="530"/>
      <c r="W69" s="530"/>
      <c r="Y69" s="530"/>
      <c r="AB69" s="530"/>
      <c r="AC69" s="533"/>
      <c r="AD69" s="543"/>
      <c r="AE69" s="530"/>
      <c r="AF69" s="533"/>
    </row>
    <row r="70" spans="3:32" ht="15" customHeight="1" x14ac:dyDescent="0.2">
      <c r="E70" s="530"/>
      <c r="I70" s="552"/>
      <c r="J70" s="570" t="s">
        <v>92</v>
      </c>
      <c r="K70" s="565" t="str">
        <f>IF(K64="","",IF(K64=H63,H65,IF(K64=H65,H63,"Ошибка")))</f>
        <v/>
      </c>
      <c r="L70" s="563" t="str">
        <f>IF(K70="","",VLOOKUP(K70,'Списки участников'!A:K,3,FALSE))</f>
        <v/>
      </c>
      <c r="M70" s="549"/>
      <c r="O70" s="552"/>
      <c r="Q70" s="871"/>
      <c r="R70" s="529"/>
      <c r="T70" s="530"/>
      <c r="W70" s="530"/>
      <c r="Y70" s="530"/>
      <c r="AA70" s="533"/>
      <c r="AB70" s="564"/>
      <c r="AE70" s="530"/>
    </row>
    <row r="71" spans="3:32" ht="15" customHeight="1" x14ac:dyDescent="0.2">
      <c r="E71" s="530"/>
      <c r="I71" s="530"/>
      <c r="K71" s="571"/>
      <c r="L71" s="552"/>
      <c r="M71" s="546" t="s">
        <v>26</v>
      </c>
      <c r="N71" s="568"/>
      <c r="O71" s="563" t="str">
        <f>IF(N71="","",VLOOKUP(N71,'Списки участников'!A:K,3,FALSE))</f>
        <v/>
      </c>
      <c r="P71" s="549"/>
      <c r="Q71" s="885" t="str">
        <f>CONCATENATE(J3+14," ","м")</f>
        <v>15 м</v>
      </c>
      <c r="R71" s="529"/>
      <c r="T71" s="530"/>
      <c r="W71" s="530"/>
      <c r="Y71" s="530"/>
      <c r="AB71" s="530"/>
      <c r="AC71" s="529"/>
      <c r="AD71" s="560"/>
      <c r="AE71" s="530"/>
      <c r="AF71" s="533"/>
    </row>
    <row r="72" spans="3:32" ht="15" customHeight="1" x14ac:dyDescent="0.2">
      <c r="E72" s="530"/>
      <c r="I72" s="530"/>
      <c r="J72" s="549" t="s">
        <v>58</v>
      </c>
      <c r="K72" s="565" t="str">
        <f>IF(K68="","",IF(K68=H67,H69,IF(K68=H69,H67,"Ошибка")))</f>
        <v/>
      </c>
      <c r="L72" s="563" t="str">
        <f>IF(K72="","",VLOOKUP(K72,'Списки участников'!A:K,3,FALSE))</f>
        <v/>
      </c>
      <c r="M72" s="551"/>
      <c r="N72" s="571"/>
      <c r="O72" s="552" t="s">
        <v>2725</v>
      </c>
      <c r="Q72" s="871"/>
      <c r="R72" s="529"/>
      <c r="T72" s="530"/>
      <c r="W72" s="530"/>
      <c r="Y72" s="530"/>
      <c r="AB72" s="530"/>
      <c r="AE72" s="530"/>
    </row>
    <row r="73" spans="3:32" ht="15" customHeight="1" x14ac:dyDescent="0.2">
      <c r="E73" s="530"/>
      <c r="I73" s="530"/>
      <c r="K73" s="530"/>
      <c r="L73" s="552"/>
      <c r="M73" s="536" t="s">
        <v>93</v>
      </c>
      <c r="N73" s="569" t="str">
        <f>IF(N71="","",IF(N71=K70,K72,IF(N71=K72,K70,"Ошибка")))</f>
        <v/>
      </c>
      <c r="O73" s="563" t="str">
        <f>IF(N73="","",VLOOKUP(N73,'Списки участников'!A:K,3,FALSE))</f>
        <v/>
      </c>
      <c r="P73" s="549"/>
      <c r="Q73" s="885" t="str">
        <f>CONCATENATE(J3+15," ","м")</f>
        <v>16 м</v>
      </c>
      <c r="R73" s="529"/>
      <c r="T73" s="530"/>
      <c r="W73" s="530"/>
      <c r="Y73" s="530"/>
      <c r="AB73" s="530"/>
      <c r="AE73" s="530"/>
    </row>
    <row r="74" spans="3:32" ht="10.35" customHeight="1" x14ac:dyDescent="0.2">
      <c r="H74" s="1145"/>
      <c r="I74" s="1145"/>
      <c r="J74" s="573"/>
      <c r="R74" s="529"/>
      <c r="T74" s="530"/>
      <c r="V74" s="574"/>
      <c r="W74" s="530"/>
      <c r="Y74" s="530"/>
      <c r="AB74" s="530"/>
      <c r="AE74" s="530"/>
    </row>
    <row r="75" spans="3:32" ht="14.25" customHeight="1" x14ac:dyDescent="0.2">
      <c r="C75" s="575" t="s">
        <v>760</v>
      </c>
      <c r="H75" s="1141" t="str">
        <f>'Списки участников'!H47</f>
        <v>Винокуров А.К</v>
      </c>
      <c r="I75" s="1141"/>
      <c r="J75" s="1141"/>
      <c r="R75" s="529"/>
      <c r="T75" s="530"/>
      <c r="W75" s="530"/>
      <c r="Y75" s="530"/>
      <c r="AB75" s="530"/>
      <c r="AE75" s="530"/>
    </row>
    <row r="76" spans="3:32" ht="10.35" customHeight="1" x14ac:dyDescent="0.2">
      <c r="C76" s="552"/>
      <c r="J76" s="573"/>
      <c r="R76" s="530"/>
      <c r="T76" s="530"/>
      <c r="V76" s="574"/>
      <c r="W76" s="530"/>
      <c r="Y76" s="530"/>
      <c r="AB76" s="530"/>
      <c r="AE76" s="530"/>
    </row>
    <row r="77" spans="3:32" ht="15.75" customHeight="1" x14ac:dyDescent="0.2">
      <c r="C77" s="575" t="s">
        <v>761</v>
      </c>
      <c r="H77" s="1141" t="str">
        <f>'Списки участников'!H48</f>
        <v>Брусин С.Б., Кашулина А.И.</v>
      </c>
      <c r="I77" s="1141"/>
      <c r="J77" s="1141"/>
      <c r="R77" s="530"/>
      <c r="T77" s="530"/>
      <c r="W77" s="530"/>
      <c r="Y77" s="530"/>
      <c r="AB77" s="530"/>
      <c r="AE77" s="530"/>
    </row>
    <row r="78" spans="3:32" ht="10.35" customHeight="1" x14ac:dyDescent="0.2">
      <c r="C78" s="530"/>
      <c r="R78" s="530"/>
      <c r="T78" s="530"/>
      <c r="W78" s="530"/>
      <c r="Y78" s="530"/>
      <c r="AB78" s="530"/>
      <c r="AE78" s="530"/>
    </row>
    <row r="79" spans="3:32" ht="10.35" customHeight="1" x14ac:dyDescent="0.2">
      <c r="R79" s="530"/>
      <c r="T79" s="530"/>
      <c r="W79" s="530"/>
      <c r="Y79" s="530"/>
      <c r="AB79" s="530"/>
      <c r="AE79" s="530"/>
    </row>
    <row r="80" spans="3:32" ht="10.35" customHeight="1" x14ac:dyDescent="0.2">
      <c r="R80" s="530"/>
      <c r="T80" s="530"/>
      <c r="W80" s="530"/>
      <c r="Y80" s="530"/>
      <c r="AB80" s="530"/>
      <c r="AE80" s="530"/>
    </row>
  </sheetData>
  <mergeCells count="7">
    <mergeCell ref="H77:J77"/>
    <mergeCell ref="A1:Q1"/>
    <mergeCell ref="A2:Q2"/>
    <mergeCell ref="A3:E3"/>
    <mergeCell ref="M3:Q3"/>
    <mergeCell ref="H74:I74"/>
    <mergeCell ref="H75:J75"/>
  </mergeCells>
  <pageMargins left="0.59055118110236227" right="0.59055118110236227" top="0" bottom="0.39370078740157483" header="0.39370078740157483" footer="0.51181102362204722"/>
  <pageSetup paperSize="9" scale="70" orientation="portrait" r:id="rId1"/>
  <headerFooter alignWithMargins="0">
    <oddHeader xml:space="preserve">&amp;R
</oddHeader>
  </headerFooter>
  <rowBreaks count="1" manualBreakCount="1">
    <brk id="78" max="15" man="1"/>
  </rowBreaks>
  <colBreaks count="1" manualBreakCount="1">
    <brk id="17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rgb="FF00B0F0"/>
  </sheetPr>
  <dimension ref="A1:AN52"/>
  <sheetViews>
    <sheetView view="pageBreakPreview" zoomScaleNormal="100" zoomScaleSheetLayoutView="100" workbookViewId="0">
      <selection activeCell="AJ39" sqref="AJ39"/>
    </sheetView>
  </sheetViews>
  <sheetFormatPr defaultRowHeight="12.75" outlineLevelCol="1" x14ac:dyDescent="0.2"/>
  <cols>
    <col min="1" max="1" width="3.33203125" style="582" customWidth="1"/>
    <col min="2" max="2" width="5.33203125" style="582" hidden="1" customWidth="1" outlineLevel="1"/>
    <col min="3" max="3" width="24" style="576" customWidth="1" collapsed="1"/>
    <col min="4" max="4" width="9" style="576" customWidth="1"/>
    <col min="5" max="5" width="6.5" style="576" hidden="1" customWidth="1" outlineLevel="1"/>
    <col min="6" max="6" width="23.33203125" style="576" customWidth="1" collapsed="1"/>
    <col min="7" max="7" width="1.5" style="576" hidden="1" customWidth="1" outlineLevel="1"/>
    <col min="8" max="8" width="5" style="576" customWidth="1" collapsed="1"/>
    <col min="9" max="9" width="18.33203125" style="576" customWidth="1"/>
    <col min="10" max="10" width="5.5" style="576" hidden="1" customWidth="1" outlineLevel="1"/>
    <col min="11" max="11" width="23.33203125" style="576" customWidth="1" collapsed="1"/>
    <col min="12" max="12" width="5.33203125" style="576" hidden="1" customWidth="1" outlineLevel="1"/>
    <col min="13" max="13" width="19.5" style="576" customWidth="1" collapsed="1"/>
    <col min="14" max="14" width="4.83203125" style="576" customWidth="1"/>
    <col min="15" max="15" width="3.1640625" style="576" customWidth="1"/>
    <col min="16" max="16" width="4.6640625" style="576" hidden="1" customWidth="1" outlineLevel="1"/>
    <col min="17" max="17" width="17.6640625" style="576" customWidth="1" collapsed="1"/>
    <col min="18" max="18" width="4.1640625" style="576" customWidth="1"/>
    <col min="19" max="19" width="4.33203125" style="576" hidden="1" customWidth="1" outlineLevel="1"/>
    <col min="20" max="20" width="18.5" style="576" customWidth="1" collapsed="1"/>
    <col min="21" max="21" width="4.5" style="576" hidden="1" customWidth="1" outlineLevel="1"/>
    <col min="22" max="22" width="17.83203125" style="576" customWidth="1" collapsed="1"/>
    <col min="23" max="23" width="4.5" style="576" customWidth="1"/>
    <col min="24" max="24" width="4.5" style="576" hidden="1" customWidth="1" outlineLevel="1"/>
    <col min="25" max="25" width="18.33203125" style="576" customWidth="1" collapsed="1"/>
    <col min="26" max="26" width="3.83203125" style="576" customWidth="1"/>
    <col min="27" max="27" width="3.6640625" style="576" hidden="1" customWidth="1" outlineLevel="1"/>
    <col min="28" max="28" width="17.33203125" style="576" customWidth="1" collapsed="1"/>
    <col min="29" max="29" width="4.5" style="576" customWidth="1"/>
    <col min="30" max="30" width="4.1640625" style="576" hidden="1" customWidth="1" outlineLevel="1"/>
    <col min="31" max="31" width="18.83203125" style="576" customWidth="1" collapsed="1"/>
    <col min="32" max="32" width="4.5" style="618" customWidth="1"/>
    <col min="33" max="33" width="3.5" style="576" customWidth="1"/>
    <col min="34" max="34" width="9.33203125" style="576"/>
    <col min="35" max="16384" width="9.33203125" style="558"/>
  </cols>
  <sheetData>
    <row r="1" spans="1:40" ht="12" customHeight="1" x14ac:dyDescent="0.25">
      <c r="A1" s="1267"/>
      <c r="B1" s="1267"/>
      <c r="C1" s="1267"/>
      <c r="D1" s="1267"/>
      <c r="E1" s="1267"/>
      <c r="F1" s="1267"/>
      <c r="G1" s="1267"/>
      <c r="H1" s="1267"/>
      <c r="I1" s="1267"/>
      <c r="J1" s="1267"/>
      <c r="K1" s="1267"/>
      <c r="L1" s="1267"/>
      <c r="M1" s="1267"/>
      <c r="N1" s="1267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578"/>
    </row>
    <row r="2" spans="1:40" ht="15" customHeight="1" x14ac:dyDescent="0.3">
      <c r="A2" s="1268" t="str">
        <f>'Списки участников'!A1</f>
        <v xml:space="preserve">X Спартакиада
среди предприятий Нижегородской области ФСК "Профсоюзов",
под девизом "Будь спортивным - будь успешным!"
</v>
      </c>
      <c r="B2" s="1268"/>
      <c r="C2" s="1268"/>
      <c r="D2" s="1268"/>
      <c r="E2" s="1268"/>
      <c r="F2" s="1268"/>
      <c r="G2" s="1268"/>
      <c r="H2" s="1268"/>
      <c r="I2" s="1268"/>
      <c r="J2" s="1268"/>
      <c r="K2" s="1268"/>
      <c r="L2" s="1268"/>
      <c r="M2" s="1268"/>
      <c r="N2" s="1268"/>
      <c r="O2" s="580"/>
      <c r="P2" s="580"/>
      <c r="Q2" s="580"/>
      <c r="R2" s="580"/>
      <c r="S2" s="580"/>
      <c r="T2" s="580"/>
      <c r="U2" s="580"/>
      <c r="V2" s="580"/>
      <c r="W2" s="580"/>
      <c r="AA2" s="580"/>
      <c r="AB2" s="581"/>
      <c r="AC2" s="581"/>
      <c r="AD2" s="580"/>
      <c r="AE2" s="580"/>
      <c r="AF2" s="579"/>
      <c r="AG2" s="580"/>
    </row>
    <row r="3" spans="1:40" ht="15.75" customHeight="1" x14ac:dyDescent="0.25">
      <c r="C3" s="1271" t="str">
        <f>'Списки участников'!A2</f>
        <v>Соревнования по настольному теннису</v>
      </c>
      <c r="D3" s="1271"/>
      <c r="E3" s="1271"/>
      <c r="F3" s="1271"/>
      <c r="G3" s="1271"/>
      <c r="H3" s="1271"/>
      <c r="I3" s="1271"/>
      <c r="J3" s="1271"/>
      <c r="K3" s="1271"/>
      <c r="L3" s="1271"/>
      <c r="M3" s="1271"/>
      <c r="O3" s="580"/>
      <c r="P3" s="580"/>
      <c r="Q3" s="580"/>
      <c r="R3" s="580"/>
      <c r="S3" s="580"/>
      <c r="T3" s="580"/>
      <c r="U3" s="580"/>
      <c r="V3" s="580"/>
      <c r="W3" s="580"/>
      <c r="AA3" s="580"/>
      <c r="AB3" s="580"/>
      <c r="AC3" s="580"/>
      <c r="AD3" s="580"/>
      <c r="AE3" s="580"/>
      <c r="AF3" s="579"/>
      <c r="AG3" s="580"/>
    </row>
    <row r="4" spans="1:40" ht="21" customHeight="1" x14ac:dyDescent="0.25">
      <c r="A4" s="583"/>
      <c r="B4" s="1272" t="str">
        <f>'Списки участников'!C3</f>
        <v>22 октября 2016 г.</v>
      </c>
      <c r="C4" s="1272"/>
      <c r="D4" s="583"/>
      <c r="E4" s="583"/>
      <c r="F4" s="886" t="s">
        <v>2622</v>
      </c>
      <c r="G4" s="583"/>
      <c r="H4" s="872" t="s">
        <v>10</v>
      </c>
      <c r="I4" s="583" t="s">
        <v>2623</v>
      </c>
      <c r="J4" s="583"/>
      <c r="K4" s="583"/>
      <c r="L4" s="1273">
        <f>'Списки участников'!H3</f>
        <v>0</v>
      </c>
      <c r="M4" s="1273"/>
      <c r="N4" s="1273"/>
      <c r="O4" s="580"/>
      <c r="P4" s="580"/>
      <c r="Q4" s="580"/>
      <c r="R4" s="580"/>
      <c r="S4" s="580"/>
      <c r="T4" s="580"/>
      <c r="U4" s="580"/>
      <c r="V4" s="580"/>
      <c r="W4" s="584" t="s">
        <v>897</v>
      </c>
      <c r="X4" s="585" t="str">
        <f>IF(J17="","",IF(J17=G13,G21,IF(J17=G21,G13)))</f>
        <v/>
      </c>
      <c r="Y4" s="586" t="str">
        <f>IF(X4="",X4,VLOOKUP(X4,'Списки участников'!$A:$O,12,FALSE))</f>
        <v/>
      </c>
      <c r="Z4" s="587"/>
      <c r="AA4" s="580"/>
      <c r="AB4" s="580"/>
      <c r="AC4" s="580"/>
      <c r="AD4" s="580"/>
      <c r="AE4" s="580"/>
      <c r="AF4" s="579"/>
      <c r="AG4" s="580"/>
    </row>
    <row r="5" spans="1:40" ht="15.75" customHeight="1" x14ac:dyDescent="0.2">
      <c r="A5" s="588"/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77"/>
      <c r="O5" s="580"/>
      <c r="P5" s="580"/>
      <c r="Q5" s="580"/>
      <c r="R5" s="589" t="s">
        <v>895</v>
      </c>
      <c r="S5" s="585" t="str">
        <f>IF(G37="","",IF(G37=E35,E39,IF(G37=E39,E35)))</f>
        <v/>
      </c>
      <c r="T5" s="586" t="str">
        <f>IF(S5="",S5,VLOOKUP(S5,'Списки участников'!$A:$O,12,FALSE))</f>
        <v/>
      </c>
      <c r="U5" s="580"/>
      <c r="V5" s="580"/>
      <c r="W5" s="580"/>
      <c r="X5" s="590"/>
      <c r="Y5" s="590"/>
      <c r="Z5" s="591"/>
      <c r="AA5" s="580"/>
      <c r="AB5" s="580"/>
      <c r="AC5" s="580"/>
      <c r="AD5" s="580"/>
      <c r="AE5" s="580"/>
      <c r="AF5" s="579"/>
      <c r="AG5" s="580"/>
    </row>
    <row r="6" spans="1:40" ht="15.75" customHeight="1" x14ac:dyDescent="0.35">
      <c r="A6" s="592"/>
      <c r="B6" s="592"/>
      <c r="C6" s="592"/>
      <c r="D6" s="592"/>
      <c r="E6" s="592"/>
      <c r="F6" s="592"/>
      <c r="G6" s="592"/>
      <c r="H6" s="592"/>
      <c r="I6" s="727">
        <f>'Списки участников'!D6</f>
        <v>0</v>
      </c>
      <c r="J6" s="592"/>
      <c r="K6" s="592"/>
      <c r="L6" s="592"/>
      <c r="M6" s="592"/>
      <c r="O6" s="580" t="s">
        <v>881</v>
      </c>
      <c r="P6" s="585" t="str">
        <f>IF(E11="","",IF(E11=B10,B12,IF(E11=B12,B10)))</f>
        <v/>
      </c>
      <c r="Q6" s="586" t="str">
        <f>IF(P6="",P6,VLOOKUP(P6,'Списки участников'!$A:$O,12,FALSE))</f>
        <v/>
      </c>
      <c r="R6" s="586"/>
      <c r="S6" s="590"/>
      <c r="T6" s="593" t="s">
        <v>19</v>
      </c>
      <c r="U6" s="594"/>
      <c r="V6" s="586" t="str">
        <f>IF(U6="","",VLOOKUP(U6,'Списки участников'!$A:$O,12,FALSE))</f>
        <v/>
      </c>
      <c r="W6" s="595"/>
      <c r="X6" s="581"/>
      <c r="Y6" s="581"/>
      <c r="Z6" s="596" t="s">
        <v>33</v>
      </c>
      <c r="AA6" s="597"/>
      <c r="AB6" s="586" t="str">
        <f>IF(AA6="","",VLOOKUP(AA6,'Списки участников'!$A:$O,12,FALSE))</f>
        <v/>
      </c>
      <c r="AC6" s="587"/>
      <c r="AD6" s="598"/>
      <c r="AE6" s="580"/>
      <c r="AF6" s="579"/>
      <c r="AG6" s="580"/>
    </row>
    <row r="7" spans="1:40" ht="15.75" customHeight="1" x14ac:dyDescent="0.2">
      <c r="A7" s="599"/>
      <c r="B7" s="599"/>
      <c r="C7" s="599"/>
      <c r="D7" s="599"/>
      <c r="E7" s="599"/>
      <c r="F7" s="599"/>
      <c r="G7" s="599"/>
      <c r="H7" s="599"/>
      <c r="I7" s="599"/>
      <c r="J7" s="599"/>
      <c r="K7" s="599"/>
      <c r="L7" s="599"/>
      <c r="M7" s="599"/>
      <c r="O7" s="590"/>
      <c r="P7" s="581"/>
      <c r="Q7" s="600"/>
      <c r="R7" s="601">
        <v>16</v>
      </c>
      <c r="S7" s="602"/>
      <c r="T7" s="603" t="str">
        <f>IF(S7="","",VLOOKUP(S7,'Списки участников'!$A:$O,12,FALSE))</f>
        <v/>
      </c>
      <c r="U7" s="604"/>
      <c r="V7" s="590"/>
      <c r="W7" s="605"/>
      <c r="X7" s="581"/>
      <c r="Y7" s="606"/>
      <c r="Z7" s="593"/>
      <c r="AA7" s="590"/>
      <c r="AB7" s="607"/>
      <c r="AC7" s="605"/>
      <c r="AD7" s="608"/>
      <c r="AE7" s="580"/>
      <c r="AF7" s="579"/>
      <c r="AG7" s="580"/>
    </row>
    <row r="8" spans="1:40" ht="15.75" customHeight="1" x14ac:dyDescent="0.2">
      <c r="A8" s="609"/>
      <c r="B8" s="609"/>
      <c r="C8" s="577"/>
      <c r="D8" s="577"/>
      <c r="E8" s="577"/>
      <c r="F8" s="577"/>
      <c r="G8" s="577"/>
      <c r="H8" s="577"/>
      <c r="I8" s="577"/>
      <c r="J8" s="577"/>
      <c r="K8" s="577"/>
      <c r="L8" s="577"/>
      <c r="M8" s="610"/>
      <c r="N8" s="577"/>
      <c r="O8" s="611" t="s">
        <v>883</v>
      </c>
      <c r="P8" s="585" t="str">
        <f>IF(E15="","",IF(E15=B14,B16,IF(E15=B16,B14)))</f>
        <v/>
      </c>
      <c r="Q8" s="586" t="str">
        <f>IF(P8="",P8,VLOOKUP(P8,'Списки участников'!$A:$O,12,FALSE))</f>
        <v/>
      </c>
      <c r="R8" s="603"/>
      <c r="S8" s="612"/>
      <c r="T8" s="613"/>
      <c r="U8" s="614"/>
      <c r="V8" s="581"/>
      <c r="W8" s="615" t="s">
        <v>9</v>
      </c>
      <c r="X8" s="616"/>
      <c r="Y8" s="586" t="str">
        <f>IF(X8="","",VLOOKUP(X8,'Списки участников'!$A:$O,12,FALSE))</f>
        <v/>
      </c>
      <c r="Z8" s="603"/>
      <c r="AA8" s="581"/>
      <c r="AB8" s="581"/>
      <c r="AC8" s="617"/>
      <c r="AD8" s="581"/>
      <c r="AE8" s="580"/>
      <c r="AG8" s="619"/>
    </row>
    <row r="9" spans="1:40" ht="15.75" customHeight="1" x14ac:dyDescent="0.2">
      <c r="A9" s="609"/>
      <c r="B9" s="609"/>
      <c r="C9" s="577"/>
      <c r="D9" s="577"/>
      <c r="E9" s="577"/>
      <c r="F9" s="577"/>
      <c r="G9" s="577"/>
      <c r="H9" s="577"/>
      <c r="I9" s="577"/>
      <c r="J9" s="610"/>
      <c r="K9" s="577"/>
      <c r="L9" s="577"/>
      <c r="M9" s="577"/>
      <c r="N9" s="577"/>
      <c r="O9" s="580"/>
      <c r="P9" s="580"/>
      <c r="Q9" s="620"/>
      <c r="R9" s="621" t="s">
        <v>2</v>
      </c>
      <c r="S9" s="585" t="str">
        <f>IF(G29="","",IF(G29=E27,E31,IF(G29=E31,E27)))</f>
        <v/>
      </c>
      <c r="T9" s="586" t="str">
        <f>IF(S9="",S9,VLOOKUP(S9,'Списки участников'!$A:$O,12,FALSE))</f>
        <v/>
      </c>
      <c r="U9" s="614"/>
      <c r="V9" s="581"/>
      <c r="W9" s="593"/>
      <c r="X9" s="580"/>
      <c r="Y9" s="613"/>
      <c r="Z9" s="613"/>
      <c r="AA9" s="581"/>
      <c r="AB9" s="581"/>
      <c r="AC9" s="617"/>
      <c r="AD9" s="581"/>
      <c r="AE9" s="580"/>
      <c r="AF9" s="579"/>
      <c r="AG9" s="580"/>
      <c r="AI9" s="622"/>
    </row>
    <row r="10" spans="1:40" ht="17.100000000000001" customHeight="1" x14ac:dyDescent="0.2">
      <c r="A10" s="623">
        <v>1</v>
      </c>
      <c r="B10" s="624"/>
      <c r="C10" s="586" t="str">
        <f>IF(B10="","",VLOOKUP(B10,'Списки участников'!$A:$O,3,FALSE))</f>
        <v/>
      </c>
      <c r="D10" s="625" t="str">
        <f>IF(B10="","",VLOOKUP(B10,'Списки участников'!A:K,6,FALSE))</f>
        <v/>
      </c>
      <c r="E10" s="626"/>
      <c r="F10" s="626"/>
      <c r="G10" s="626"/>
      <c r="H10" s="626"/>
      <c r="I10" s="626"/>
      <c r="J10" s="626"/>
      <c r="K10" s="627"/>
      <c r="L10" s="626"/>
      <c r="M10" s="626"/>
      <c r="N10" s="626"/>
      <c r="O10" s="580" t="s">
        <v>884</v>
      </c>
      <c r="P10" s="585" t="str">
        <f>IF(E19="","",IF(E19=B18,B20,IF(E19=B20,B18)))</f>
        <v/>
      </c>
      <c r="Q10" s="586" t="str">
        <f>IF(P10="",P10,VLOOKUP(P10,'Списки участников'!$A:$O,12,FALSE))</f>
        <v/>
      </c>
      <c r="R10" s="628"/>
      <c r="S10" s="604"/>
      <c r="T10" s="593" t="s">
        <v>36</v>
      </c>
      <c r="U10" s="602"/>
      <c r="V10" s="586" t="str">
        <f>IF(U10="","",VLOOKUP(U10,'Списки участников'!$A:$O,12,FALSE))</f>
        <v/>
      </c>
      <c r="W10" s="629"/>
      <c r="X10" s="580"/>
      <c r="Y10" s="630"/>
      <c r="Z10" s="630"/>
      <c r="AA10" s="581"/>
      <c r="AB10" s="581"/>
      <c r="AC10" s="596" t="s">
        <v>26</v>
      </c>
      <c r="AD10" s="616"/>
      <c r="AE10" s="586" t="str">
        <f>IF(AD10="","",VLOOKUP(AD10,'Списки участников'!$A:$O,12,FALSE))</f>
        <v/>
      </c>
      <c r="AF10" s="890" t="str">
        <f>CONCATENATE(H4+2," ","м")</f>
        <v>3 м</v>
      </c>
      <c r="AG10" s="632"/>
    </row>
    <row r="11" spans="1:40" ht="17.100000000000001" customHeight="1" x14ac:dyDescent="0.25">
      <c r="A11" s="633"/>
      <c r="B11" s="633"/>
      <c r="C11" s="634"/>
      <c r="D11" s="635">
        <v>1</v>
      </c>
      <c r="E11" s="636"/>
      <c r="F11" s="586" t="str">
        <f>IF(E11="","",VLOOKUP(E11,'Списки участников'!$A:$O,12,FALSE))</f>
        <v/>
      </c>
      <c r="G11" s="626"/>
      <c r="H11" s="626"/>
      <c r="I11" s="626"/>
      <c r="J11" s="626"/>
      <c r="K11" s="626"/>
      <c r="L11" s="627"/>
      <c r="M11" s="626"/>
      <c r="N11" s="626"/>
      <c r="O11" s="590"/>
      <c r="P11" s="581"/>
      <c r="Q11" s="600"/>
      <c r="R11" s="601">
        <v>17</v>
      </c>
      <c r="S11" s="602"/>
      <c r="T11" s="603" t="str">
        <f>IF(S11="","",VLOOKUP(S11,'Списки участников'!$A:$O,12,FALSE))</f>
        <v/>
      </c>
      <c r="U11" s="612"/>
      <c r="V11" s="580"/>
      <c r="W11" s="613"/>
      <c r="X11" s="580"/>
      <c r="Y11" s="630"/>
      <c r="Z11" s="630"/>
      <c r="AA11" s="581"/>
      <c r="AB11" s="606"/>
      <c r="AC11" s="593"/>
      <c r="AD11" s="606"/>
      <c r="AE11" s="637" t="str">
        <f>IF(AD10="","",VLOOKUP(AD10,'Списки участников'!A:K,6,FALSE))</f>
        <v/>
      </c>
      <c r="AF11" s="891"/>
      <c r="AG11" s="608"/>
    </row>
    <row r="12" spans="1:40" ht="17.100000000000001" customHeight="1" x14ac:dyDescent="0.2">
      <c r="A12" s="638">
        <v>2</v>
      </c>
      <c r="B12" s="639"/>
      <c r="C12" s="586" t="str">
        <f>IF(B12="","",VLOOKUP(B12,'Списки участников'!$A:$O,3,FALSE))</f>
        <v/>
      </c>
      <c r="D12" s="887" t="str">
        <f>IF(B12="","",VLOOKUP(B12,'Списки участников'!A:K,6,FALSE))</f>
        <v/>
      </c>
      <c r="E12" s="640"/>
      <c r="F12" s="605"/>
      <c r="G12" s="580"/>
      <c r="H12" s="580"/>
      <c r="I12" s="580"/>
      <c r="J12" s="580"/>
      <c r="K12" s="580"/>
      <c r="L12" s="580"/>
      <c r="M12" s="580"/>
      <c r="N12" s="580"/>
      <c r="O12" s="611" t="s">
        <v>886</v>
      </c>
      <c r="P12" s="585" t="str">
        <f>IF(E23="","",IF(E23=B22,B24,IF(E23=B24,B22)))</f>
        <v/>
      </c>
      <c r="Q12" s="586" t="str">
        <f>IF(P12="",P12,VLOOKUP(P12,'Списки участников'!$A:$O,12,FALSE))</f>
        <v/>
      </c>
      <c r="R12" s="603"/>
      <c r="S12" s="612"/>
      <c r="T12" s="613"/>
      <c r="U12" s="612"/>
      <c r="V12" s="580"/>
      <c r="W12" s="641" t="s">
        <v>900</v>
      </c>
      <c r="X12" s="585" t="str">
        <f>IF(J33="","",IF(J33=G37,G29,IF(J33=G29,G37)))</f>
        <v/>
      </c>
      <c r="Y12" s="586" t="str">
        <f>IF(X12="",X12,VLOOKUP(X12,'Списки участников'!$A:$O,12,FALSE))</f>
        <v/>
      </c>
      <c r="Z12" s="587"/>
      <c r="AA12" s="581"/>
      <c r="AB12" s="581"/>
      <c r="AC12" s="617"/>
      <c r="AD12" s="581"/>
      <c r="AE12" s="580"/>
      <c r="AF12" s="892"/>
      <c r="AG12" s="580"/>
      <c r="AH12" s="578"/>
      <c r="AI12" s="642"/>
      <c r="AJ12" s="642"/>
      <c r="AK12" s="642"/>
      <c r="AL12" s="642"/>
      <c r="AM12" s="642"/>
      <c r="AN12" s="642"/>
    </row>
    <row r="13" spans="1:40" ht="17.100000000000001" customHeight="1" x14ac:dyDescent="0.25">
      <c r="A13" s="623"/>
      <c r="B13" s="623"/>
      <c r="C13" s="643"/>
      <c r="D13" s="643"/>
      <c r="E13" s="608"/>
      <c r="F13" s="593">
        <v>9</v>
      </c>
      <c r="G13" s="644"/>
      <c r="H13" s="888"/>
      <c r="I13" s="586" t="str">
        <f>IF(G13="","",VLOOKUP(G13,'Списки участников'!$A:$O,12,FALSE))</f>
        <v/>
      </c>
      <c r="J13" s="580"/>
      <c r="K13" s="580"/>
      <c r="L13" s="580"/>
      <c r="M13" s="580"/>
      <c r="N13" s="580"/>
      <c r="O13" s="580"/>
      <c r="P13" s="580"/>
      <c r="Q13" s="645"/>
      <c r="R13" s="621" t="s">
        <v>893</v>
      </c>
      <c r="S13" s="585" t="str">
        <f>IF(G21="","",IF(G21=E19,E23,IF(G21=E23,E19)))</f>
        <v/>
      </c>
      <c r="T13" s="586" t="str">
        <f>IF(S13="",S13,VLOOKUP(S13,'Списки участников'!$A:$O,12,FALSE))</f>
        <v/>
      </c>
      <c r="U13" s="612"/>
      <c r="V13" s="580"/>
      <c r="W13" s="630"/>
      <c r="X13" s="590"/>
      <c r="Y13" s="600"/>
      <c r="Z13" s="646"/>
      <c r="AA13" s="581"/>
      <c r="AB13" s="581"/>
      <c r="AC13" s="617"/>
      <c r="AD13" s="581"/>
      <c r="AE13" s="580"/>
      <c r="AF13" s="892"/>
      <c r="AG13" s="580"/>
      <c r="AH13" s="578"/>
      <c r="AI13" s="642"/>
      <c r="AJ13" s="642"/>
      <c r="AK13" s="642"/>
      <c r="AL13" s="642"/>
      <c r="AM13" s="642"/>
      <c r="AN13" s="642"/>
    </row>
    <row r="14" spans="1:40" ht="17.100000000000001" customHeight="1" x14ac:dyDescent="0.25">
      <c r="A14" s="623">
        <v>3</v>
      </c>
      <c r="B14" s="624"/>
      <c r="C14" s="586" t="str">
        <f>IF(B14="","",VLOOKUP(B14,'Списки участников'!$A:$O,3,FALSE))</f>
        <v/>
      </c>
      <c r="D14" s="625" t="str">
        <f>IF(B14="","",VLOOKUP(B14,'Списки участников'!A:K,6,FALSE))</f>
        <v/>
      </c>
      <c r="E14" s="608"/>
      <c r="F14" s="647"/>
      <c r="G14" s="640"/>
      <c r="H14" s="640"/>
      <c r="I14" s="605"/>
      <c r="J14" s="580"/>
      <c r="K14" s="580"/>
      <c r="L14" s="580"/>
      <c r="M14" s="580"/>
      <c r="N14" s="580"/>
      <c r="O14" s="580" t="s">
        <v>887</v>
      </c>
      <c r="P14" s="585" t="str">
        <f>IF(E27="","",IF(E27=B26,B28,IF(E27=B28,B26)))</f>
        <v/>
      </c>
      <c r="Q14" s="586" t="str">
        <f>IF(P14="",P14,VLOOKUP(P14,'Списки участников'!$A:$O,12,FALSE))</f>
        <v/>
      </c>
      <c r="R14" s="628"/>
      <c r="S14" s="604"/>
      <c r="T14" s="646" t="s">
        <v>27</v>
      </c>
      <c r="U14" s="594"/>
      <c r="V14" s="586" t="str">
        <f>IF(U14="","",VLOOKUP(U14,'Списки участников'!$A:$O,12,FALSE))</f>
        <v/>
      </c>
      <c r="W14" s="595"/>
      <c r="X14" s="581"/>
      <c r="Y14" s="606"/>
      <c r="Z14" s="596" t="s">
        <v>39</v>
      </c>
      <c r="AA14" s="616"/>
      <c r="AB14" s="586" t="str">
        <f>IF(AA14="","",VLOOKUP(AA14,'Списки участников'!$A:$O,12,FALSE))</f>
        <v/>
      </c>
      <c r="AC14" s="603"/>
      <c r="AD14" s="598"/>
      <c r="AE14" s="580"/>
      <c r="AF14" s="892"/>
      <c r="AG14" s="580"/>
      <c r="AH14" s="578"/>
      <c r="AI14" s="642"/>
      <c r="AJ14" s="642"/>
      <c r="AK14" s="642"/>
      <c r="AL14" s="642"/>
      <c r="AM14" s="642"/>
      <c r="AN14" s="642"/>
    </row>
    <row r="15" spans="1:40" ht="17.100000000000001" customHeight="1" x14ac:dyDescent="0.25">
      <c r="A15" s="633"/>
      <c r="B15" s="633"/>
      <c r="C15" s="648"/>
      <c r="D15" s="635">
        <v>2</v>
      </c>
      <c r="E15" s="636"/>
      <c r="F15" s="603" t="str">
        <f>IF(E15="","",VLOOKUP(E15,'Списки участников'!$A:$O,12,FALSE))</f>
        <v/>
      </c>
      <c r="G15" s="581"/>
      <c r="H15" s="581"/>
      <c r="I15" s="617"/>
      <c r="J15" s="580"/>
      <c r="K15" s="580"/>
      <c r="L15" s="580"/>
      <c r="M15" s="580"/>
      <c r="N15" s="580"/>
      <c r="O15" s="590"/>
      <c r="P15" s="590"/>
      <c r="Q15" s="600"/>
      <c r="R15" s="601">
        <v>18</v>
      </c>
      <c r="S15" s="602"/>
      <c r="T15" s="603" t="str">
        <f>IF(S15="","",VLOOKUP(S15,'Списки участников'!$A:$O,12,FALSE))</f>
        <v/>
      </c>
      <c r="U15" s="604"/>
      <c r="V15" s="590"/>
      <c r="W15" s="605"/>
      <c r="X15" s="581"/>
      <c r="Y15" s="606"/>
      <c r="Z15" s="593"/>
      <c r="AA15" s="580"/>
      <c r="AB15" s="613"/>
      <c r="AC15" s="613"/>
      <c r="AD15" s="619"/>
      <c r="AE15" s="580"/>
      <c r="AF15" s="892"/>
      <c r="AG15" s="619"/>
      <c r="AH15" s="578"/>
      <c r="AI15" s="642"/>
      <c r="AJ15" s="642"/>
      <c r="AK15" s="642"/>
      <c r="AL15" s="642"/>
      <c r="AM15" s="642"/>
      <c r="AN15" s="642"/>
    </row>
    <row r="16" spans="1:40" ht="17.100000000000001" customHeight="1" x14ac:dyDescent="0.2">
      <c r="A16" s="638">
        <v>4</v>
      </c>
      <c r="B16" s="639"/>
      <c r="C16" s="586" t="str">
        <f>IF(B16="","",VLOOKUP(B16,'Списки участников'!$A:$O,3,FALSE))</f>
        <v/>
      </c>
      <c r="D16" s="887" t="str">
        <f>IF(B16="","",VLOOKUP(B16,'Списки участников'!A:K,6,FALSE))</f>
        <v/>
      </c>
      <c r="E16" s="619"/>
      <c r="F16" s="613"/>
      <c r="G16" s="581"/>
      <c r="H16" s="581"/>
      <c r="I16" s="617"/>
      <c r="J16" s="580"/>
      <c r="K16" s="580"/>
      <c r="L16" s="580"/>
      <c r="M16" s="580"/>
      <c r="N16" s="580"/>
      <c r="O16" s="611" t="s">
        <v>889</v>
      </c>
      <c r="P16" s="585" t="str">
        <f>IF(E31="","",IF(E31=B30,B32,IF(E31=B32,B30)))</f>
        <v/>
      </c>
      <c r="Q16" s="586" t="str">
        <f>IF(P16="",P16,VLOOKUP(P16,'Списки участников'!$A:$O,12,FALSE))</f>
        <v/>
      </c>
      <c r="R16" s="603"/>
      <c r="S16" s="612"/>
      <c r="T16" s="613"/>
      <c r="U16" s="614"/>
      <c r="V16" s="581"/>
      <c r="W16" s="615" t="s">
        <v>18</v>
      </c>
      <c r="X16" s="616"/>
      <c r="Y16" s="586" t="str">
        <f>IF(X16="","",VLOOKUP(X16,'Списки участников'!$A:$O,12,FALSE))</f>
        <v/>
      </c>
      <c r="Z16" s="603"/>
      <c r="AA16" s="580"/>
      <c r="AB16" s="580"/>
      <c r="AC16" s="580"/>
      <c r="AD16" s="580"/>
      <c r="AE16" s="580"/>
      <c r="AF16" s="892"/>
      <c r="AG16" s="580"/>
      <c r="AH16" s="578"/>
      <c r="AI16" s="642"/>
      <c r="AJ16" s="642"/>
      <c r="AK16" s="642"/>
      <c r="AL16" s="642"/>
      <c r="AM16" s="642"/>
      <c r="AN16" s="642"/>
    </row>
    <row r="17" spans="1:40" ht="17.100000000000001" customHeight="1" x14ac:dyDescent="0.25">
      <c r="A17" s="623"/>
      <c r="B17" s="623"/>
      <c r="C17" s="643"/>
      <c r="D17" s="643"/>
      <c r="E17" s="619"/>
      <c r="F17" s="630"/>
      <c r="G17" s="581"/>
      <c r="H17" s="581"/>
      <c r="I17" s="593">
        <v>13</v>
      </c>
      <c r="J17" s="649"/>
      <c r="K17" s="586" t="str">
        <f>IF(J17="","",VLOOKUP(J17,'Списки участников'!$A:$O,12,FALSE))</f>
        <v/>
      </c>
      <c r="L17" s="580"/>
      <c r="M17" s="580"/>
      <c r="N17" s="580"/>
      <c r="O17" s="580"/>
      <c r="P17" s="580"/>
      <c r="Q17" s="645"/>
      <c r="R17" s="621" t="s">
        <v>892</v>
      </c>
      <c r="S17" s="585" t="str">
        <f>IF(G13="","",IF(G13=E11,E15,IF(G13=E15,E11)))</f>
        <v/>
      </c>
      <c r="T17" s="586" t="str">
        <f>IF(S17="",S17,VLOOKUP(S17,'Списки участников'!$A:$O,12,FALSE))</f>
        <v/>
      </c>
      <c r="U17" s="614"/>
      <c r="V17" s="581"/>
      <c r="W17" s="593"/>
      <c r="X17" s="580"/>
      <c r="Y17" s="613"/>
      <c r="Z17" s="613"/>
      <c r="AA17" s="580"/>
      <c r="AB17" s="580"/>
      <c r="AC17" s="650" t="s">
        <v>93</v>
      </c>
      <c r="AD17" s="585" t="str">
        <f>IF(AD10="","",IF(AD10=AA14,AA6,IF(AD10=AA6,AA14)))</f>
        <v/>
      </c>
      <c r="AE17" s="586" t="str">
        <f>IF(AD17="",AD17,VLOOKUP(AD17,'Списки участников'!$A:$O,12,FALSE))</f>
        <v/>
      </c>
      <c r="AF17" s="889" t="str">
        <f>CONCATENATE(H4+3," ","м")</f>
        <v>4 м</v>
      </c>
      <c r="AG17" s="598"/>
      <c r="AH17" s="578"/>
      <c r="AI17" s="642"/>
      <c r="AJ17" s="642"/>
      <c r="AK17" s="642"/>
      <c r="AL17" s="642"/>
      <c r="AM17" s="642"/>
      <c r="AN17" s="642"/>
    </row>
    <row r="18" spans="1:40" ht="17.100000000000001" customHeight="1" x14ac:dyDescent="0.2">
      <c r="A18" s="623">
        <v>5</v>
      </c>
      <c r="B18" s="624"/>
      <c r="C18" s="586" t="str">
        <f>IF(B18="","",VLOOKUP(B18,'Списки участников'!$A:$O,3,FALSE))</f>
        <v/>
      </c>
      <c r="D18" s="625" t="str">
        <f>IF(B18="","",VLOOKUP(B18,'Списки участников'!A:K,6,FALSE))</f>
        <v/>
      </c>
      <c r="E18" s="619"/>
      <c r="F18" s="630"/>
      <c r="G18" s="581"/>
      <c r="H18" s="581"/>
      <c r="I18" s="647"/>
      <c r="J18" s="640"/>
      <c r="K18" s="605"/>
      <c r="L18" s="581"/>
      <c r="M18" s="580"/>
      <c r="N18" s="580"/>
      <c r="O18" s="580" t="s">
        <v>890</v>
      </c>
      <c r="P18" s="585" t="str">
        <f>IF(E35="","",IF(E35=B34,B36,IF(E35=B36,B34)))</f>
        <v/>
      </c>
      <c r="Q18" s="586" t="str">
        <f>IF(P18="",P18,VLOOKUP(P18,'Списки участников'!$A:$O,12,FALSE))</f>
        <v/>
      </c>
      <c r="R18" s="628"/>
      <c r="S18" s="604"/>
      <c r="T18" s="593" t="s">
        <v>40</v>
      </c>
      <c r="U18" s="602"/>
      <c r="V18" s="586" t="str">
        <f>IF(U18="","",VLOOKUP(U18,'Списки участников'!$A:$O,12,FALSE))</f>
        <v/>
      </c>
      <c r="W18" s="629"/>
      <c r="X18" s="580"/>
      <c r="Y18" s="580"/>
      <c r="Z18" s="580"/>
      <c r="AA18" s="580"/>
      <c r="AB18" s="580"/>
      <c r="AC18" s="580"/>
      <c r="AD18" s="580"/>
      <c r="AE18" s="590"/>
      <c r="AF18" s="893"/>
      <c r="AG18" s="581"/>
      <c r="AH18" s="578"/>
      <c r="AI18" s="642"/>
      <c r="AJ18" s="642"/>
      <c r="AK18" s="642"/>
      <c r="AL18" s="642"/>
      <c r="AM18" s="642"/>
      <c r="AN18" s="642"/>
    </row>
    <row r="19" spans="1:40" ht="17.100000000000001" customHeight="1" x14ac:dyDescent="0.25">
      <c r="A19" s="633"/>
      <c r="B19" s="633"/>
      <c r="C19" s="634"/>
      <c r="D19" s="635">
        <v>3</v>
      </c>
      <c r="E19" s="649"/>
      <c r="F19" s="586" t="str">
        <f>IF(E19="","",VLOOKUP(E19,'Списки участников'!$A:$O,12,FALSE))</f>
        <v/>
      </c>
      <c r="G19" s="581"/>
      <c r="H19" s="581"/>
      <c r="I19" s="593"/>
      <c r="J19" s="581"/>
      <c r="K19" s="617"/>
      <c r="L19" s="581"/>
      <c r="M19" s="580"/>
      <c r="N19" s="580"/>
      <c r="O19" s="590"/>
      <c r="P19" s="581"/>
      <c r="Q19" s="600"/>
      <c r="R19" s="601">
        <v>19</v>
      </c>
      <c r="S19" s="602"/>
      <c r="T19" s="603" t="str">
        <f>IF(S19="","",VLOOKUP(S19,'Списки участников'!$A:$O,12,FALSE))</f>
        <v/>
      </c>
      <c r="U19" s="612"/>
      <c r="V19" s="580"/>
      <c r="W19" s="613"/>
      <c r="X19" s="580"/>
      <c r="Y19" s="580"/>
      <c r="Z19" s="580" t="s">
        <v>58</v>
      </c>
      <c r="AA19" s="585" t="str">
        <f>IF(AA6="","",IF(AA6=X8,X4,IF(AA6=X4,X8)))</f>
        <v/>
      </c>
      <c r="AB19" s="586" t="str">
        <f>IF(AA19="",AA19,VLOOKUP(AA19,'Списки участников'!$A:$O,12,FALSE))</f>
        <v/>
      </c>
      <c r="AC19" s="587"/>
      <c r="AD19" s="651"/>
      <c r="AE19" s="580"/>
      <c r="AF19" s="892"/>
      <c r="AG19" s="619"/>
      <c r="AH19" s="578"/>
      <c r="AI19" s="642"/>
      <c r="AJ19" s="642"/>
      <c r="AK19" s="642"/>
      <c r="AL19" s="642"/>
      <c r="AM19" s="642"/>
      <c r="AN19" s="642"/>
    </row>
    <row r="20" spans="1:40" ht="17.100000000000001" customHeight="1" x14ac:dyDescent="0.25">
      <c r="A20" s="638">
        <v>6</v>
      </c>
      <c r="B20" s="639"/>
      <c r="C20" s="586" t="str">
        <f>IF(B20="","",VLOOKUP(B20,'Списки участников'!$A:$O,3,FALSE))</f>
        <v/>
      </c>
      <c r="D20" s="887" t="str">
        <f>IF(B20="","",VLOOKUP(B20,'Списки участников'!A:K,6,FALSE))</f>
        <v/>
      </c>
      <c r="E20" s="640"/>
      <c r="F20" s="605"/>
      <c r="G20" s="581"/>
      <c r="H20" s="581"/>
      <c r="I20" s="593"/>
      <c r="J20" s="581"/>
      <c r="K20" s="617"/>
      <c r="L20" s="581"/>
      <c r="M20" s="580"/>
      <c r="N20" s="580"/>
      <c r="O20" s="611" t="s">
        <v>891</v>
      </c>
      <c r="P20" s="585" t="str">
        <f>IF(E39="","",IF(E39=B38,B40,IF(E39=B40,B38)))</f>
        <v/>
      </c>
      <c r="Q20" s="586" t="str">
        <f>IF(P20="",P20,VLOOKUP(P20,'Списки участников'!$A:$O,12,FALSE))</f>
        <v/>
      </c>
      <c r="R20" s="603"/>
      <c r="S20" s="580"/>
      <c r="T20" s="613"/>
      <c r="U20" s="580"/>
      <c r="V20" s="580"/>
      <c r="W20" s="580"/>
      <c r="X20" s="580"/>
      <c r="Y20" s="580"/>
      <c r="Z20" s="590"/>
      <c r="AA20" s="590"/>
      <c r="AB20" s="600"/>
      <c r="AC20" s="646" t="s">
        <v>13</v>
      </c>
      <c r="AD20" s="652"/>
      <c r="AE20" s="586" t="str">
        <f>IF(AD20="","",VLOOKUP(AD20,'Списки участников'!$A:$O,12,FALSE))</f>
        <v/>
      </c>
      <c r="AF20" s="889" t="str">
        <f>CONCATENATE(H4+4," ","м")</f>
        <v>5 м</v>
      </c>
      <c r="AG20" s="651"/>
      <c r="AH20" s="578"/>
      <c r="AI20" s="642"/>
      <c r="AJ20" s="642"/>
      <c r="AK20" s="642"/>
      <c r="AL20" s="642"/>
      <c r="AM20" s="642"/>
      <c r="AN20" s="642"/>
    </row>
    <row r="21" spans="1:40" ht="17.100000000000001" customHeight="1" x14ac:dyDescent="0.25">
      <c r="A21" s="623"/>
      <c r="B21" s="623"/>
      <c r="C21" s="643"/>
      <c r="D21" s="643"/>
      <c r="E21" s="608"/>
      <c r="F21" s="593">
        <v>10</v>
      </c>
      <c r="G21" s="649"/>
      <c r="H21" s="888"/>
      <c r="I21" s="603" t="str">
        <f>IF(G21="","",VLOOKUP(G21,'Списки участников'!$A:$O,12,FALSE))</f>
        <v/>
      </c>
      <c r="J21" s="581"/>
      <c r="K21" s="617"/>
      <c r="L21" s="581"/>
      <c r="M21" s="580"/>
      <c r="N21" s="580"/>
      <c r="O21" s="580"/>
      <c r="P21" s="580"/>
      <c r="Q21" s="580"/>
      <c r="R21" s="580"/>
      <c r="S21" s="580"/>
      <c r="T21" s="580"/>
      <c r="U21" s="580"/>
      <c r="V21" s="580"/>
      <c r="W21" s="580"/>
      <c r="X21" s="580"/>
      <c r="Y21" s="580"/>
      <c r="Z21" s="611" t="s">
        <v>56</v>
      </c>
      <c r="AA21" s="585" t="str">
        <f>IF(AA14="","",IF(AA14=X16,X12,IF(AA14=X12,X16)))</f>
        <v/>
      </c>
      <c r="AB21" s="586" t="str">
        <f>IF(AA21="",AA21,VLOOKUP(AA21,'Списки участников'!$A:$O,12,FALSE))</f>
        <v/>
      </c>
      <c r="AC21" s="603"/>
      <c r="AD21" s="651"/>
      <c r="AE21" s="613"/>
      <c r="AF21" s="894"/>
      <c r="AG21" s="619"/>
      <c r="AH21" s="578"/>
      <c r="AI21" s="642"/>
      <c r="AJ21" s="642"/>
      <c r="AK21" s="642"/>
      <c r="AL21" s="642"/>
      <c r="AM21" s="642"/>
      <c r="AN21" s="642"/>
    </row>
    <row r="22" spans="1:40" ht="17.100000000000001" customHeight="1" x14ac:dyDescent="0.2">
      <c r="A22" s="623">
        <v>7</v>
      </c>
      <c r="B22" s="624"/>
      <c r="C22" s="586" t="str">
        <f>IF(B22="","",VLOOKUP(B22,'Списки участников'!$A:$O,3,FALSE))</f>
        <v/>
      </c>
      <c r="D22" s="625" t="str">
        <f>IF(B22="","",VLOOKUP(B22,'Списки участников'!A:K,6,FALSE))</f>
        <v/>
      </c>
      <c r="E22" s="608"/>
      <c r="F22" s="647"/>
      <c r="G22" s="640"/>
      <c r="H22" s="608"/>
      <c r="I22" s="613"/>
      <c r="J22" s="581"/>
      <c r="K22" s="617"/>
      <c r="L22" s="581"/>
      <c r="M22" s="580"/>
      <c r="N22" s="580"/>
      <c r="O22" s="580"/>
      <c r="P22" s="580"/>
      <c r="Q22" s="580"/>
      <c r="R22" s="580"/>
      <c r="S22" s="580"/>
      <c r="T22" s="580"/>
      <c r="U22" s="580"/>
      <c r="V22" s="580"/>
      <c r="W22" s="580"/>
      <c r="X22" s="580"/>
      <c r="Y22" s="580"/>
      <c r="Z22" s="580"/>
      <c r="AA22" s="580"/>
      <c r="AB22" s="580"/>
      <c r="AC22" s="580"/>
      <c r="AD22" s="580"/>
      <c r="AE22" s="580"/>
      <c r="AF22" s="892"/>
      <c r="AG22" s="580"/>
      <c r="AH22" s="578"/>
      <c r="AI22" s="642"/>
      <c r="AJ22" s="642"/>
      <c r="AK22" s="642"/>
      <c r="AL22" s="642"/>
      <c r="AM22" s="642"/>
      <c r="AN22" s="642"/>
    </row>
    <row r="23" spans="1:40" ht="17.100000000000001" customHeight="1" x14ac:dyDescent="0.25">
      <c r="A23" s="633"/>
      <c r="B23" s="633"/>
      <c r="C23" s="648"/>
      <c r="D23" s="635">
        <v>4</v>
      </c>
      <c r="E23" s="636"/>
      <c r="F23" s="603" t="str">
        <f>IF(E23="","",VLOOKUP(E23,'Списки участников'!$A:$O,12,FALSE))</f>
        <v/>
      </c>
      <c r="G23" s="580"/>
      <c r="H23" s="580"/>
      <c r="I23" s="630"/>
      <c r="J23" s="581"/>
      <c r="K23" s="617"/>
      <c r="L23" s="581"/>
      <c r="N23" s="580"/>
      <c r="O23" s="580" t="s">
        <v>912</v>
      </c>
      <c r="P23" s="585" t="str">
        <f>IF(U6="","",IF(U6=S5,S7,IF(U6=S7,S5)))</f>
        <v/>
      </c>
      <c r="Q23" s="586" t="str">
        <f>IF(P23="",P23,VLOOKUP(P23,'Списки участников'!$A:$O,12,FALSE))</f>
        <v/>
      </c>
      <c r="R23" s="595"/>
      <c r="S23" s="580"/>
      <c r="T23" s="580"/>
      <c r="U23" s="580"/>
      <c r="V23" s="580"/>
      <c r="W23" s="580"/>
      <c r="X23" s="580"/>
      <c r="Y23" s="580"/>
      <c r="Z23" s="580"/>
      <c r="AA23" s="580"/>
      <c r="AB23" s="580"/>
      <c r="AC23" s="580"/>
      <c r="AD23" s="580"/>
      <c r="AE23" s="580"/>
      <c r="AF23" s="892"/>
      <c r="AG23" s="619"/>
      <c r="AH23" s="578"/>
      <c r="AI23" s="642"/>
      <c r="AJ23" s="642"/>
      <c r="AK23" s="642"/>
      <c r="AL23" s="642"/>
      <c r="AM23" s="642"/>
      <c r="AN23" s="642"/>
    </row>
    <row r="24" spans="1:40" ht="17.100000000000001" customHeight="1" x14ac:dyDescent="0.25">
      <c r="A24" s="638">
        <v>8</v>
      </c>
      <c r="B24" s="639"/>
      <c r="C24" s="586" t="str">
        <f>IF(B24="","",VLOOKUP(B24,'Списки участников'!$A:$O,3,FALSE))</f>
        <v/>
      </c>
      <c r="D24" s="887" t="str">
        <f>IF(B24="","",VLOOKUP(B24,'Списки участников'!A:K,6,FALSE))</f>
        <v/>
      </c>
      <c r="E24" s="619"/>
      <c r="F24" s="613"/>
      <c r="G24" s="580"/>
      <c r="H24" s="580"/>
      <c r="I24" s="630"/>
      <c r="J24" s="581"/>
      <c r="K24" s="617"/>
      <c r="L24" s="581"/>
      <c r="M24" s="580"/>
      <c r="N24" s="580"/>
      <c r="O24" s="590"/>
      <c r="P24" s="590"/>
      <c r="Q24" s="600"/>
      <c r="R24" s="653" t="s">
        <v>31</v>
      </c>
      <c r="S24" s="597"/>
      <c r="T24" s="586" t="str">
        <f>IF(S24="","",VLOOKUP(S24,'Списки участников'!$A:$O,12,FALSE))</f>
        <v/>
      </c>
      <c r="U24" s="580"/>
      <c r="V24" s="580"/>
      <c r="X24" s="580"/>
      <c r="Y24" s="580"/>
      <c r="Z24" s="580"/>
      <c r="AA24" s="580"/>
      <c r="AB24" s="580"/>
      <c r="AC24" s="650" t="s">
        <v>882</v>
      </c>
      <c r="AD24" s="585" t="str">
        <f>IF(AD20="","",IF(AD20=AA21,AA19,IF(AD20=AA19,AA21)))</f>
        <v/>
      </c>
      <c r="AE24" s="586" t="str">
        <f>IF(AD24="",AD24,VLOOKUP(AD24,'Списки участников'!$A:$O,12,FALSE))</f>
        <v/>
      </c>
      <c r="AF24" s="889" t="str">
        <f>CONCATENATE(H4+5," ","м")</f>
        <v>6 м</v>
      </c>
      <c r="AG24" s="651"/>
      <c r="AH24" s="578"/>
      <c r="AI24" s="642"/>
      <c r="AJ24" s="642"/>
      <c r="AK24" s="642"/>
      <c r="AL24" s="642"/>
      <c r="AM24" s="642"/>
      <c r="AN24" s="642"/>
    </row>
    <row r="25" spans="1:40" ht="17.100000000000001" customHeight="1" x14ac:dyDescent="0.2">
      <c r="A25" s="623"/>
      <c r="B25" s="623"/>
      <c r="C25" s="643"/>
      <c r="D25" s="643"/>
      <c r="E25" s="619"/>
      <c r="F25" s="630"/>
      <c r="G25" s="580"/>
      <c r="H25" s="580"/>
      <c r="I25" s="630"/>
      <c r="J25" s="581"/>
      <c r="K25" s="593">
        <v>15</v>
      </c>
      <c r="L25" s="654"/>
      <c r="M25" s="586" t="str">
        <f>IF(L25="","",VLOOKUP(L25,'Списки участников'!$A:$O,12,FALSE))</f>
        <v/>
      </c>
      <c r="N25" s="889" t="str">
        <f>CONCATENATE(H4," ","м")</f>
        <v>1 м</v>
      </c>
      <c r="O25" s="611" t="s">
        <v>914</v>
      </c>
      <c r="P25" s="585" t="str">
        <f>IF(U10="","",IF(U10=S11,S9,IF(U10=S9,S11)))</f>
        <v/>
      </c>
      <c r="Q25" s="586" t="str">
        <f>IF(P25="",P25,VLOOKUP(P25,'Списки участников'!$A:$O,12,FALSE))</f>
        <v/>
      </c>
      <c r="R25" s="655"/>
      <c r="S25" s="590"/>
      <c r="T25" s="605"/>
      <c r="U25" s="580"/>
      <c r="V25" s="580"/>
      <c r="W25" s="580"/>
      <c r="X25" s="580"/>
      <c r="Y25" s="580"/>
      <c r="Z25" s="580"/>
      <c r="AA25" s="580"/>
      <c r="AB25" s="580"/>
      <c r="AC25" s="580"/>
      <c r="AD25" s="580"/>
      <c r="AE25" s="580"/>
      <c r="AF25" s="892"/>
      <c r="AG25" s="580"/>
      <c r="AH25" s="578"/>
      <c r="AI25" s="642"/>
      <c r="AJ25" s="642"/>
      <c r="AK25" s="642"/>
      <c r="AL25" s="642"/>
      <c r="AM25" s="642"/>
      <c r="AN25" s="642"/>
    </row>
    <row r="26" spans="1:40" ht="17.100000000000001" customHeight="1" x14ac:dyDescent="0.25">
      <c r="A26" s="623">
        <v>9</v>
      </c>
      <c r="B26" s="624"/>
      <c r="C26" s="586" t="str">
        <f>IF(B26="","",VLOOKUP(B26,'Списки участников'!$A:$O,3,FALSE))</f>
        <v/>
      </c>
      <c r="D26" s="625" t="str">
        <f>IF(B26="","",VLOOKUP(B26,'Списки участников'!A:K,6,FALSE))</f>
        <v/>
      </c>
      <c r="E26" s="619"/>
      <c r="F26" s="630"/>
      <c r="G26" s="580"/>
      <c r="H26" s="580"/>
      <c r="I26" s="630"/>
      <c r="J26" s="581"/>
      <c r="K26" s="647"/>
      <c r="L26" s="606"/>
      <c r="M26" s="656">
        <f>IF(L25="",L25,VLOOKUP(L25,'Списки участников'!A:K,6,FALSE))</f>
        <v>0</v>
      </c>
      <c r="N26" s="580"/>
      <c r="O26" s="580"/>
      <c r="P26" s="580"/>
      <c r="Q26" s="580"/>
      <c r="R26" s="580"/>
      <c r="S26" s="581"/>
      <c r="T26" s="615" t="s">
        <v>24</v>
      </c>
      <c r="U26" s="597"/>
      <c r="V26" s="586" t="str">
        <f>IF(U26="","",VLOOKUP(U26,'Списки участников'!$A:$O,12,FALSE))</f>
        <v/>
      </c>
      <c r="W26" s="896" t="str">
        <f>CONCATENATE(H4+8," ","м")</f>
        <v>9 м</v>
      </c>
      <c r="X26" s="631"/>
      <c r="Y26" s="580"/>
      <c r="Z26" s="584" t="s">
        <v>922</v>
      </c>
      <c r="AA26" s="585" t="str">
        <f>IF(X8="","",IF(X8=U10,U6,IF(X8=U6,U10)))</f>
        <v/>
      </c>
      <c r="AB26" s="586" t="str">
        <f>IF(AA26="",AA26,VLOOKUP(AA26,'Списки участников'!$A:$O,12,FALSE))</f>
        <v/>
      </c>
      <c r="AC26" s="595"/>
      <c r="AD26" s="651"/>
      <c r="AE26" s="580"/>
      <c r="AF26" s="892"/>
      <c r="AG26" s="619"/>
      <c r="AH26" s="578"/>
      <c r="AI26" s="642"/>
      <c r="AJ26" s="642"/>
      <c r="AK26" s="642"/>
      <c r="AL26" s="642"/>
      <c r="AM26" s="642"/>
      <c r="AN26" s="642"/>
    </row>
    <row r="27" spans="1:40" ht="17.100000000000001" customHeight="1" x14ac:dyDescent="0.25">
      <c r="A27" s="633"/>
      <c r="B27" s="633"/>
      <c r="C27" s="648"/>
      <c r="D27" s="635">
        <v>5</v>
      </c>
      <c r="E27" s="649"/>
      <c r="F27" s="586" t="str">
        <f>IF(E27="","",VLOOKUP(E27,'Списки участников'!$A:$O,3,FALSE))</f>
        <v/>
      </c>
      <c r="G27" s="580"/>
      <c r="H27" s="580"/>
      <c r="I27" s="630"/>
      <c r="J27" s="581"/>
      <c r="K27" s="617"/>
      <c r="L27" s="581"/>
      <c r="M27" s="619"/>
      <c r="N27" s="580"/>
      <c r="O27" s="580" t="s">
        <v>918</v>
      </c>
      <c r="P27" s="585" t="str">
        <f>IF(U14="","",IF(U14=S13,S15,IF(U14=S15,S13)))</f>
        <v/>
      </c>
      <c r="Q27" s="586" t="str">
        <f>IF(P27="",P27,VLOOKUP(P27,'Списки участников'!$A:$O,12,FALSE))</f>
        <v/>
      </c>
      <c r="R27" s="657"/>
      <c r="S27" s="581"/>
      <c r="T27" s="593"/>
      <c r="U27" s="658"/>
      <c r="V27" s="581"/>
      <c r="W27" s="897"/>
      <c r="X27" s="580"/>
      <c r="Y27" s="580"/>
      <c r="Z27" s="659"/>
      <c r="AA27" s="590"/>
      <c r="AB27" s="600" t="s">
        <v>32</v>
      </c>
      <c r="AC27" s="646"/>
      <c r="AD27" s="652"/>
      <c r="AE27" s="586" t="str">
        <f>IF(AD27="","",VLOOKUP(AD27,'Списки участников'!$A:$O,12,FALSE))</f>
        <v/>
      </c>
      <c r="AF27" s="889" t="str">
        <f>CONCATENATE(H4+6," ","м")</f>
        <v>7 м</v>
      </c>
      <c r="AG27" s="651"/>
      <c r="AH27" s="578"/>
      <c r="AI27" s="642"/>
      <c r="AJ27" s="642"/>
      <c r="AK27" s="642"/>
      <c r="AL27" s="642"/>
      <c r="AM27" s="642"/>
      <c r="AN27" s="642"/>
    </row>
    <row r="28" spans="1:40" ht="17.100000000000001" customHeight="1" x14ac:dyDescent="0.25">
      <c r="A28" s="638">
        <v>10</v>
      </c>
      <c r="B28" s="639"/>
      <c r="C28" s="586" t="str">
        <f>IF(B28="","",VLOOKUP(B28,'Списки участников'!$A:$O,3,FALSE))</f>
        <v/>
      </c>
      <c r="D28" s="625" t="str">
        <f>IF(B28="","",VLOOKUP(B28,'Списки участников'!A:K,6,FALSE))</f>
        <v/>
      </c>
      <c r="E28" s="640"/>
      <c r="F28" s="660"/>
      <c r="G28" s="580"/>
      <c r="H28" s="580"/>
      <c r="I28" s="630"/>
      <c r="J28" s="581"/>
      <c r="K28" s="617"/>
      <c r="L28" s="581"/>
      <c r="M28" s="580"/>
      <c r="N28" s="580"/>
      <c r="O28" s="590"/>
      <c r="P28" s="581"/>
      <c r="Q28" s="600"/>
      <c r="R28" s="653" t="s">
        <v>34</v>
      </c>
      <c r="S28" s="616"/>
      <c r="T28" s="603" t="str">
        <f>IF(S28="","",VLOOKUP(S28,'Списки участников'!$A:$O,12,FALSE))</f>
        <v/>
      </c>
      <c r="U28" s="580"/>
      <c r="V28" s="580"/>
      <c r="W28" s="898"/>
      <c r="X28" s="580"/>
      <c r="Y28" s="580"/>
      <c r="Z28" s="584" t="s">
        <v>92</v>
      </c>
      <c r="AA28" s="585" t="str">
        <f>IF(X16="","",IF(X16=U18,U14,IF(X16=U14,U18)))</f>
        <v/>
      </c>
      <c r="AB28" s="586" t="str">
        <f>IF(AA28="",AA28,VLOOKUP(AA28,'Списки участников'!$A:$O,12,FALSE))</f>
        <v/>
      </c>
      <c r="AC28" s="629"/>
      <c r="AD28" s="651"/>
      <c r="AE28" s="613"/>
      <c r="AF28" s="894"/>
      <c r="AG28" s="619"/>
      <c r="AH28" s="578"/>
      <c r="AI28" s="642"/>
      <c r="AJ28" s="642"/>
      <c r="AK28" s="642"/>
      <c r="AL28" s="642"/>
      <c r="AM28" s="642"/>
      <c r="AN28" s="642"/>
    </row>
    <row r="29" spans="1:40" ht="17.100000000000001" customHeight="1" x14ac:dyDescent="0.25">
      <c r="A29" s="623"/>
      <c r="B29" s="623"/>
      <c r="C29" s="643"/>
      <c r="D29" s="643"/>
      <c r="E29" s="608"/>
      <c r="F29" s="593">
        <v>11</v>
      </c>
      <c r="G29" s="636"/>
      <c r="H29" s="888"/>
      <c r="I29" s="586" t="str">
        <f>IF(G29="","",VLOOKUP(G29,'Списки участников'!$A:$O,12,FALSE))</f>
        <v/>
      </c>
      <c r="J29" s="581"/>
      <c r="K29" s="617"/>
      <c r="L29" s="581"/>
      <c r="M29" s="580"/>
      <c r="N29" s="580"/>
      <c r="O29" s="611" t="s">
        <v>919</v>
      </c>
      <c r="P29" s="585" t="str">
        <f>IF(U18="","",IF(U18=S19,S17,IF(U18=S17,S19)))</f>
        <v/>
      </c>
      <c r="Q29" s="586" t="str">
        <f>IF(P29="",P29,VLOOKUP(P29,'Списки участников'!$A:$O,12,FALSE))</f>
        <v/>
      </c>
      <c r="R29" s="629"/>
      <c r="S29" s="580"/>
      <c r="T29" s="613"/>
      <c r="U29" s="580"/>
      <c r="V29" s="580"/>
      <c r="W29" s="899"/>
      <c r="X29" s="580"/>
      <c r="Y29" s="580"/>
      <c r="Z29" s="659"/>
      <c r="AA29" s="580"/>
      <c r="AB29" s="580"/>
      <c r="AC29" s="580"/>
      <c r="AD29" s="580"/>
      <c r="AE29" s="580"/>
      <c r="AF29" s="894"/>
      <c r="AG29" s="619"/>
      <c r="AH29" s="578"/>
      <c r="AI29" s="642"/>
      <c r="AJ29" s="642"/>
      <c r="AK29" s="642"/>
      <c r="AL29" s="642"/>
      <c r="AM29" s="642"/>
      <c r="AN29" s="642"/>
    </row>
    <row r="30" spans="1:40" ht="17.100000000000001" customHeight="1" x14ac:dyDescent="0.2">
      <c r="A30" s="623">
        <v>11</v>
      </c>
      <c r="B30" s="624"/>
      <c r="C30" s="586" t="str">
        <f>IF(B30="","",VLOOKUP(B30,'Списки участников'!$A:$O,3,FALSE))</f>
        <v/>
      </c>
      <c r="D30" s="625" t="str">
        <f>IF(B30="","",VLOOKUP(B30,'Списки участников'!A:K,6,FALSE))</f>
        <v/>
      </c>
      <c r="E30" s="608"/>
      <c r="F30" s="647"/>
      <c r="G30" s="640"/>
      <c r="H30" s="640"/>
      <c r="I30" s="605"/>
      <c r="J30" s="581"/>
      <c r="K30" s="617"/>
      <c r="L30" s="581"/>
      <c r="M30" s="580"/>
      <c r="N30" s="580"/>
      <c r="O30" s="580"/>
      <c r="P30" s="580"/>
      <c r="Q30" s="580"/>
      <c r="R30" s="580"/>
      <c r="S30" s="580"/>
      <c r="T30" s="580"/>
      <c r="U30" s="580"/>
      <c r="V30" s="580"/>
      <c r="W30" s="898"/>
      <c r="X30" s="580"/>
      <c r="Y30" s="580"/>
      <c r="Z30" s="659"/>
      <c r="AA30" s="580"/>
      <c r="AB30" s="580"/>
      <c r="AC30" s="580"/>
      <c r="AD30" s="580"/>
      <c r="AE30" s="580"/>
      <c r="AF30" s="892"/>
      <c r="AG30" s="619"/>
      <c r="AH30" s="578"/>
      <c r="AI30" s="642"/>
      <c r="AJ30" s="642"/>
      <c r="AK30" s="642"/>
      <c r="AL30" s="642"/>
      <c r="AM30" s="642"/>
      <c r="AN30" s="642"/>
    </row>
    <row r="31" spans="1:40" ht="17.100000000000001" customHeight="1" x14ac:dyDescent="0.25">
      <c r="A31" s="633"/>
      <c r="B31" s="633"/>
      <c r="C31" s="648"/>
      <c r="D31" s="635">
        <v>6</v>
      </c>
      <c r="E31" s="636"/>
      <c r="F31" s="603" t="str">
        <f>IF(E31="","",VLOOKUP(E31,'Списки участников'!$A:$O,3,FALSE))</f>
        <v/>
      </c>
      <c r="G31" s="581"/>
      <c r="H31" s="581"/>
      <c r="I31" s="593"/>
      <c r="J31" s="581"/>
      <c r="K31" s="617"/>
      <c r="L31" s="581"/>
      <c r="M31" s="580"/>
      <c r="N31" s="580"/>
      <c r="O31" s="580"/>
      <c r="P31" s="580"/>
      <c r="Q31" s="580"/>
      <c r="R31" s="580"/>
      <c r="S31" s="580"/>
      <c r="T31" s="645" t="s">
        <v>896</v>
      </c>
      <c r="U31" s="585" t="str">
        <f>IF(U26="","",IF(U26=S28,S24,IF(U26=S24,S28)))</f>
        <v/>
      </c>
      <c r="V31" s="586" t="str">
        <f>IF(U31="",U31,VLOOKUP(U31,'Списки участников'!$A:$O,12,FALSE))</f>
        <v/>
      </c>
      <c r="W31" s="900" t="str">
        <f>CONCATENATE(H4+9," ","м")</f>
        <v>10 м</v>
      </c>
      <c r="X31" s="631"/>
      <c r="Y31" s="580"/>
      <c r="Z31" s="659"/>
      <c r="AA31" s="580"/>
      <c r="AB31" s="580"/>
      <c r="AC31" s="659" t="s">
        <v>885</v>
      </c>
      <c r="AD31" s="585" t="str">
        <f>IF(AD27="","",IF(AD27=AA28,AA26,IF(AD27=AA26,AA28)))</f>
        <v/>
      </c>
      <c r="AE31" s="586" t="str">
        <f>IF(AD31="",AD31,VLOOKUP(AD31,'Списки участников'!$A:$O,12,FALSE))</f>
        <v/>
      </c>
      <c r="AF31" s="889" t="str">
        <f>CONCATENATE(H4+7," ","м")</f>
        <v>8 м</v>
      </c>
      <c r="AG31" s="651"/>
      <c r="AH31" s="578"/>
      <c r="AI31" s="642"/>
      <c r="AJ31" s="642"/>
      <c r="AK31" s="642"/>
      <c r="AL31" s="642"/>
      <c r="AM31" s="642"/>
      <c r="AN31" s="642"/>
    </row>
    <row r="32" spans="1:40" ht="17.100000000000001" customHeight="1" x14ac:dyDescent="0.2">
      <c r="A32" s="638">
        <v>12</v>
      </c>
      <c r="B32" s="639"/>
      <c r="C32" s="586" t="str">
        <f>IF(B32="","",VLOOKUP(B32,'Списки участников'!$A:$O,3,FALSE))</f>
        <v/>
      </c>
      <c r="D32" s="887" t="str">
        <f>IF(B32="","",VLOOKUP(B32,'Списки участников'!A:K,6,FALSE))</f>
        <v/>
      </c>
      <c r="E32" s="619"/>
      <c r="F32" s="613"/>
      <c r="G32" s="581"/>
      <c r="H32" s="581"/>
      <c r="I32" s="593"/>
      <c r="J32" s="581"/>
      <c r="K32" s="617"/>
      <c r="L32" s="581"/>
      <c r="M32" s="580"/>
      <c r="N32" s="580"/>
      <c r="O32" s="580"/>
      <c r="P32" s="580"/>
      <c r="Q32" s="580"/>
      <c r="R32" s="580"/>
      <c r="S32" s="580"/>
      <c r="T32" s="580"/>
      <c r="U32" s="580"/>
      <c r="V32" s="580"/>
      <c r="W32" s="898"/>
      <c r="X32" s="581"/>
      <c r="Y32" s="581"/>
      <c r="Z32" s="659"/>
      <c r="AA32" s="580"/>
      <c r="AB32" s="580"/>
      <c r="AC32" s="580"/>
      <c r="AD32" s="580"/>
      <c r="AE32" s="580"/>
      <c r="AF32" s="892"/>
      <c r="AG32" s="580"/>
      <c r="AH32" s="578"/>
      <c r="AI32" s="642"/>
      <c r="AJ32" s="642"/>
      <c r="AK32" s="642"/>
      <c r="AL32" s="642"/>
      <c r="AM32" s="642"/>
      <c r="AN32" s="642"/>
    </row>
    <row r="33" spans="1:40" ht="17.100000000000001" customHeight="1" x14ac:dyDescent="0.25">
      <c r="A33" s="623"/>
      <c r="B33" s="623"/>
      <c r="C33" s="643"/>
      <c r="D33" s="643"/>
      <c r="E33" s="619"/>
      <c r="F33" s="630"/>
      <c r="G33" s="581"/>
      <c r="H33" s="581"/>
      <c r="I33" s="593">
        <v>14</v>
      </c>
      <c r="J33" s="636"/>
      <c r="K33" s="603" t="str">
        <f>IF(J33="","",VLOOKUP(J33,'Списки участников'!$A:$O,12,FALSE))</f>
        <v/>
      </c>
      <c r="L33" s="581"/>
      <c r="M33" s="580"/>
      <c r="N33" s="580"/>
      <c r="O33" s="581" t="s">
        <v>904</v>
      </c>
      <c r="P33" s="585" t="str">
        <f>IF(S7="","",IF(S7=P6,P8,IF(S7=P8,P6)))</f>
        <v/>
      </c>
      <c r="Q33" s="586" t="str">
        <f>IF(P33="",P33,VLOOKUP(P33,'Списки участников'!$A:$O,12,FALSE))</f>
        <v/>
      </c>
      <c r="R33" s="661"/>
      <c r="S33" s="581"/>
      <c r="T33" s="581"/>
      <c r="U33" s="581"/>
      <c r="V33" s="581"/>
      <c r="W33" s="901"/>
      <c r="X33" s="580"/>
      <c r="Y33" s="580"/>
      <c r="Z33" s="584" t="s">
        <v>70</v>
      </c>
      <c r="AA33" s="585" t="str">
        <f>IF(S24="","",IF(S24=P25,P23,IF(S24=P23,P25)))</f>
        <v/>
      </c>
      <c r="AB33" s="586" t="str">
        <f>IF(AA33="",AA33,VLOOKUP(AA33,'Списки участников'!$A:$O,12,FALSE))</f>
        <v/>
      </c>
      <c r="AC33" s="657"/>
      <c r="AD33" s="651"/>
      <c r="AE33" s="580"/>
      <c r="AF33" s="892"/>
      <c r="AG33" s="619"/>
      <c r="AH33" s="578"/>
      <c r="AI33" s="642"/>
      <c r="AJ33" s="642"/>
      <c r="AK33" s="642"/>
      <c r="AL33" s="642"/>
      <c r="AM33" s="642"/>
      <c r="AN33" s="642"/>
    </row>
    <row r="34" spans="1:40" ht="17.100000000000001" customHeight="1" x14ac:dyDescent="0.25">
      <c r="A34" s="623">
        <v>13</v>
      </c>
      <c r="B34" s="624"/>
      <c r="C34" s="586" t="str">
        <f>IF(B34="","",VLOOKUP(B34,'Списки участников'!$A:$O,3,FALSE))</f>
        <v/>
      </c>
      <c r="D34" s="625" t="str">
        <f>IF(B34="","",VLOOKUP(B34,'Списки участников'!A:K,6,FALSE))</f>
        <v/>
      </c>
      <c r="E34" s="619"/>
      <c r="F34" s="630"/>
      <c r="G34" s="581"/>
      <c r="H34" s="581"/>
      <c r="I34" s="647"/>
      <c r="J34" s="619"/>
      <c r="K34" s="613"/>
      <c r="L34" s="580"/>
      <c r="M34" s="580"/>
      <c r="N34" s="580"/>
      <c r="O34" s="590"/>
      <c r="P34" s="590"/>
      <c r="Q34" s="600"/>
      <c r="R34" s="653" t="s">
        <v>16</v>
      </c>
      <c r="S34" s="597"/>
      <c r="T34" s="586" t="str">
        <f>IF(S34="","",VLOOKUP(S34,'Списки участников'!$A:$O,12,FALSE))</f>
        <v/>
      </c>
      <c r="U34" s="580"/>
      <c r="V34" s="580"/>
      <c r="W34" s="899"/>
      <c r="Y34" s="580"/>
      <c r="Z34" s="659"/>
      <c r="AA34" s="590"/>
      <c r="AB34" s="600" t="s">
        <v>20</v>
      </c>
      <c r="AC34" s="646"/>
      <c r="AD34" s="652"/>
      <c r="AE34" s="586" t="str">
        <f>IF(AD34="","",VLOOKUP(AD34,'Списки участников'!$A:$O,12,FALSE))</f>
        <v/>
      </c>
      <c r="AF34" s="889" t="str">
        <f>CONCATENATE(H4+10," ","м")</f>
        <v>11 м</v>
      </c>
      <c r="AG34" s="598"/>
      <c r="AH34" s="578"/>
      <c r="AI34" s="642"/>
      <c r="AJ34" s="642"/>
      <c r="AK34" s="642"/>
      <c r="AL34" s="642"/>
      <c r="AM34" s="642"/>
      <c r="AN34" s="642"/>
    </row>
    <row r="35" spans="1:40" ht="17.100000000000001" customHeight="1" x14ac:dyDescent="0.25">
      <c r="A35" s="633"/>
      <c r="B35" s="633"/>
      <c r="C35" s="634"/>
      <c r="D35" s="635">
        <v>7</v>
      </c>
      <c r="E35" s="636"/>
      <c r="F35" s="586" t="str">
        <f>IF(E35="","",VLOOKUP(E35,'Списки участников'!$A:$O,3,FALSE))</f>
        <v/>
      </c>
      <c r="G35" s="581"/>
      <c r="H35" s="581"/>
      <c r="I35" s="593"/>
      <c r="J35" s="580"/>
      <c r="K35" s="580"/>
      <c r="L35" s="580"/>
      <c r="M35" s="580"/>
      <c r="N35" s="580"/>
      <c r="O35" s="611" t="s">
        <v>905</v>
      </c>
      <c r="P35" s="585" t="str">
        <f>IF(S11="","",IF(S11=P12,P10,IF(S11=P10,P12)))</f>
        <v/>
      </c>
      <c r="Q35" s="586" t="str">
        <f>IF(P35="",P35,VLOOKUP(P35,'Списки участников'!$A:$O,12,FALSE))</f>
        <v/>
      </c>
      <c r="R35" s="655"/>
      <c r="S35" s="590"/>
      <c r="T35" s="605"/>
      <c r="U35" s="580"/>
      <c r="V35" s="580"/>
      <c r="W35" s="898"/>
      <c r="X35" s="580"/>
      <c r="Y35" s="580"/>
      <c r="Z35" s="584" t="s">
        <v>888</v>
      </c>
      <c r="AA35" s="585" t="str">
        <f>IF(S28="","",IF(S28=P29,P27,IF(S28=P27,P29)))</f>
        <v/>
      </c>
      <c r="AB35" s="586" t="str">
        <f>IF(AA35="",AA35,VLOOKUP(AA35,'Списки участников'!$A:$O,12,FALSE))</f>
        <v/>
      </c>
      <c r="AC35" s="629"/>
      <c r="AD35" s="651"/>
      <c r="AE35" s="613"/>
      <c r="AF35" s="894"/>
      <c r="AG35" s="619"/>
      <c r="AH35" s="578"/>
      <c r="AI35" s="642"/>
      <c r="AJ35" s="642"/>
      <c r="AK35" s="642"/>
      <c r="AL35" s="642"/>
      <c r="AM35" s="642"/>
      <c r="AN35" s="642"/>
    </row>
    <row r="36" spans="1:40" ht="17.100000000000001" customHeight="1" x14ac:dyDescent="0.2">
      <c r="A36" s="638">
        <v>14</v>
      </c>
      <c r="B36" s="639"/>
      <c r="C36" s="586" t="str">
        <f>IF(B36="","",VLOOKUP(B36,'Списки участников'!$A:$O,3,FALSE))</f>
        <v/>
      </c>
      <c r="D36" s="887" t="str">
        <f>IF(B36="","",VLOOKUP(B36,'Списки участников'!A:K,6,FALSE))</f>
        <v/>
      </c>
      <c r="E36" s="640"/>
      <c r="F36" s="605"/>
      <c r="G36" s="581"/>
      <c r="H36" s="581"/>
      <c r="I36" s="617"/>
      <c r="J36" s="580"/>
      <c r="K36" s="580"/>
      <c r="L36" s="580"/>
      <c r="M36" s="580"/>
      <c r="N36" s="580"/>
      <c r="O36" s="580"/>
      <c r="P36" s="580"/>
      <c r="Q36" s="580"/>
      <c r="R36" s="580"/>
      <c r="S36" s="581"/>
      <c r="T36" s="615" t="s">
        <v>21</v>
      </c>
      <c r="U36" s="597"/>
      <c r="V36" s="586" t="str">
        <f>IF(U36="","",VLOOKUP(U36,'Списки участников'!$A:$O,12,FALSE))</f>
        <v/>
      </c>
      <c r="W36" s="900" t="str">
        <f>CONCATENATE(H4+12," ","м")</f>
        <v>13 м</v>
      </c>
      <c r="X36" s="631"/>
      <c r="Y36" s="580"/>
      <c r="Z36" s="659"/>
      <c r="AA36" s="580"/>
      <c r="AB36" s="580"/>
      <c r="AC36" s="580"/>
      <c r="AD36" s="580"/>
      <c r="AE36" s="580"/>
      <c r="AF36" s="892"/>
      <c r="AG36" s="619"/>
      <c r="AH36" s="578"/>
      <c r="AI36" s="642"/>
      <c r="AJ36" s="642"/>
      <c r="AK36" s="642"/>
      <c r="AL36" s="642"/>
      <c r="AM36" s="642"/>
      <c r="AN36" s="642"/>
    </row>
    <row r="37" spans="1:40" ht="17.100000000000001" customHeight="1" x14ac:dyDescent="0.25">
      <c r="A37" s="623"/>
      <c r="B37" s="623"/>
      <c r="C37" s="643"/>
      <c r="D37" s="643"/>
      <c r="E37" s="608"/>
      <c r="F37" s="593">
        <v>12</v>
      </c>
      <c r="G37" s="644"/>
      <c r="H37" s="888"/>
      <c r="I37" s="603" t="str">
        <f>IF(G37="","",VLOOKUP(G37,'Списки участников'!$A:$O,12,FALSE))</f>
        <v/>
      </c>
      <c r="J37" s="580"/>
      <c r="K37" s="580"/>
      <c r="L37" s="580"/>
      <c r="N37" s="580"/>
      <c r="O37" s="580" t="s">
        <v>907</v>
      </c>
      <c r="P37" s="585" t="str">
        <f>IF(S15="","",IF(S15=P14,P16,IF(S15=P16,P14)))</f>
        <v/>
      </c>
      <c r="Q37" s="586" t="str">
        <f>IF(P37="",P37,VLOOKUP(P37,'Списки участников'!$A:$O,12,FALSE))</f>
        <v/>
      </c>
      <c r="R37" s="661"/>
      <c r="S37" s="581"/>
      <c r="T37" s="593"/>
      <c r="U37" s="658"/>
      <c r="V37" s="581"/>
      <c r="W37" s="897"/>
      <c r="X37" s="581"/>
      <c r="Y37" s="580"/>
      <c r="Z37" s="659"/>
      <c r="AA37" s="580"/>
      <c r="AB37" s="581"/>
      <c r="AC37" s="659" t="s">
        <v>899</v>
      </c>
      <c r="AD37" s="585" t="str">
        <f>IF(AD34="","",IF(AD34=AA35,AA33,IF(AD34=AA33,AA35)))</f>
        <v/>
      </c>
      <c r="AE37" s="586" t="str">
        <f>IF(AD37="",AD37,VLOOKUP(AD37,'Списки участников'!$A:$O,12,FALSE))</f>
        <v/>
      </c>
      <c r="AF37" s="889" t="str">
        <f>CONCATENATE(H4+11," ","м")</f>
        <v>12 м</v>
      </c>
      <c r="AG37" s="598"/>
      <c r="AH37" s="578"/>
      <c r="AI37" s="642"/>
      <c r="AJ37" s="642"/>
      <c r="AK37" s="642"/>
      <c r="AL37" s="642"/>
      <c r="AM37" s="642"/>
      <c r="AN37" s="642"/>
    </row>
    <row r="38" spans="1:40" ht="17.100000000000001" customHeight="1" x14ac:dyDescent="0.2">
      <c r="A38" s="623">
        <v>15</v>
      </c>
      <c r="B38" s="624"/>
      <c r="C38" s="586" t="str">
        <f>IF(B38="","",VLOOKUP(B38,'Списки участников'!$A:$O,3,FALSE))</f>
        <v/>
      </c>
      <c r="D38" s="625" t="str">
        <f>IF(B38="","",VLOOKUP(B38,'Списки участников'!A:K,6,FALSE))</f>
        <v/>
      </c>
      <c r="E38" s="608"/>
      <c r="F38" s="647"/>
      <c r="G38" s="619"/>
      <c r="H38" s="619"/>
      <c r="I38" s="613"/>
      <c r="J38" s="580"/>
      <c r="K38" s="580"/>
      <c r="L38" s="580"/>
      <c r="M38" s="580"/>
      <c r="N38" s="580"/>
      <c r="O38" s="590"/>
      <c r="P38" s="581"/>
      <c r="Q38" s="600"/>
      <c r="R38" s="653" t="s">
        <v>11</v>
      </c>
      <c r="S38" s="616"/>
      <c r="T38" s="603" t="str">
        <f>IF(S38="","",VLOOKUP(S38,'Списки участников'!$A:$O,12,FALSE))</f>
        <v/>
      </c>
      <c r="U38" s="580"/>
      <c r="V38" s="580"/>
      <c r="W38" s="898"/>
      <c r="X38" s="580"/>
      <c r="Y38" s="581"/>
      <c r="Z38" s="659"/>
      <c r="AA38" s="580"/>
      <c r="AB38" s="580"/>
      <c r="AC38" s="580"/>
      <c r="AD38" s="580"/>
      <c r="AE38" s="581"/>
      <c r="AF38" s="895"/>
      <c r="AG38" s="581"/>
      <c r="AH38" s="578"/>
      <c r="AI38" s="642"/>
      <c r="AJ38" s="642"/>
      <c r="AK38" s="642"/>
      <c r="AL38" s="642"/>
      <c r="AM38" s="642"/>
      <c r="AN38" s="642"/>
    </row>
    <row r="39" spans="1:40" ht="17.100000000000001" customHeight="1" x14ac:dyDescent="0.25">
      <c r="A39" s="633"/>
      <c r="B39" s="633"/>
      <c r="C39" s="648"/>
      <c r="D39" s="635">
        <v>8</v>
      </c>
      <c r="E39" s="636"/>
      <c r="F39" s="603" t="str">
        <f>IF(E39="","",VLOOKUP(E39,'Списки участников'!$A:$O,3,FALSE))</f>
        <v/>
      </c>
      <c r="G39" s="580"/>
      <c r="H39" s="580"/>
      <c r="I39" s="580"/>
      <c r="J39" s="580"/>
      <c r="K39" s="630" t="s">
        <v>901</v>
      </c>
      <c r="L39" s="585" t="str">
        <f>IF(L25="","",IF(L25=J33,J17,IF(L25=J17,J33)))</f>
        <v/>
      </c>
      <c r="M39" s="586" t="str">
        <f>IF(L39="",L39,VLOOKUP(L39,'Списки участников'!$A:$O,12,FALSE))</f>
        <v/>
      </c>
      <c r="N39" s="889" t="str">
        <f>CONCATENATE(H4+1," ","м")</f>
        <v>2 м</v>
      </c>
      <c r="O39" s="611" t="s">
        <v>910</v>
      </c>
      <c r="P39" s="585" t="str">
        <f>IF(S19="","",IF(S19=P18,P20,IF(S19=P20,P18)))</f>
        <v/>
      </c>
      <c r="Q39" s="586" t="str">
        <f>IF(P39="",P39,VLOOKUP(P39,'Списки участников'!$A:$O,12,FALSE))</f>
        <v/>
      </c>
      <c r="R39" s="655"/>
      <c r="S39" s="580"/>
      <c r="T39" s="613"/>
      <c r="U39" s="580"/>
      <c r="V39" s="580"/>
      <c r="W39" s="899"/>
      <c r="X39" s="580"/>
      <c r="Y39" s="580"/>
      <c r="Z39" s="659"/>
      <c r="AA39" s="580"/>
      <c r="AB39" s="580"/>
      <c r="AC39" s="580"/>
      <c r="AD39" s="580"/>
      <c r="AE39" s="580"/>
      <c r="AF39" s="892"/>
      <c r="AG39" s="619"/>
      <c r="AH39" s="578"/>
      <c r="AI39" s="642"/>
      <c r="AJ39" s="642"/>
      <c r="AK39" s="642"/>
      <c r="AL39" s="642"/>
      <c r="AM39" s="642"/>
      <c r="AN39" s="642"/>
    </row>
    <row r="40" spans="1:40" ht="17.100000000000001" customHeight="1" x14ac:dyDescent="0.25">
      <c r="A40" s="638">
        <v>16</v>
      </c>
      <c r="B40" s="639"/>
      <c r="C40" s="586" t="str">
        <f>IF(B40="","",VLOOKUP(B40,'Списки участников'!$A:$O,3,FALSE))</f>
        <v/>
      </c>
      <c r="D40" s="887" t="str">
        <f>IF(B40="","",VLOOKUP(B40,'Списки участников'!A:K,6,FALSE))</f>
        <v/>
      </c>
      <c r="E40" s="619"/>
      <c r="F40" s="613"/>
      <c r="G40" s="580"/>
      <c r="H40" s="580"/>
      <c r="I40" s="580"/>
      <c r="J40" s="581"/>
      <c r="K40" s="581"/>
      <c r="L40" s="581"/>
      <c r="M40" s="656" t="str">
        <f>IF(L39="",L39,VLOOKUP(L39,'Списки участников'!A:K,6,FALSE))</f>
        <v/>
      </c>
      <c r="N40" s="581"/>
      <c r="O40" s="580"/>
      <c r="P40" s="580"/>
      <c r="Q40" s="580"/>
      <c r="R40" s="580"/>
      <c r="S40" s="580"/>
      <c r="T40" s="580"/>
      <c r="U40" s="580"/>
      <c r="V40" s="580"/>
      <c r="W40" s="898"/>
      <c r="X40" s="580"/>
      <c r="Y40" s="580"/>
      <c r="Z40" s="584" t="s">
        <v>894</v>
      </c>
      <c r="AA40" s="585" t="str">
        <f>IF(S34="","",IF(S34=P33,P35,IF(S34=P35,P33)))</f>
        <v/>
      </c>
      <c r="AB40" s="586" t="str">
        <f>IF(AA40="",AA40,VLOOKUP(AA40,'Списки участников'!$A:$O,12,FALSE))</f>
        <v/>
      </c>
      <c r="AC40" s="661"/>
      <c r="AD40" s="662"/>
      <c r="AE40" s="580"/>
      <c r="AF40" s="892"/>
      <c r="AG40" s="580"/>
      <c r="AH40" s="578"/>
      <c r="AI40" s="642"/>
      <c r="AJ40" s="642"/>
      <c r="AK40" s="642"/>
      <c r="AL40" s="642"/>
      <c r="AM40" s="642"/>
      <c r="AN40" s="642"/>
    </row>
    <row r="41" spans="1:40" ht="17.100000000000001" customHeight="1" x14ac:dyDescent="0.25">
      <c r="C41" s="663"/>
      <c r="D41" s="663"/>
      <c r="E41" s="664"/>
      <c r="F41" s="664"/>
      <c r="G41" s="664"/>
      <c r="H41" s="664"/>
      <c r="I41" s="664"/>
      <c r="J41" s="665"/>
      <c r="K41" s="581"/>
      <c r="L41" s="581"/>
      <c r="M41" s="665"/>
      <c r="N41" s="665"/>
      <c r="O41" s="580"/>
      <c r="P41" s="580"/>
      <c r="Q41" s="580"/>
      <c r="R41" s="580"/>
      <c r="S41" s="580"/>
      <c r="T41" s="666" t="s">
        <v>932</v>
      </c>
      <c r="U41" s="585" t="str">
        <f>IF(U36="","",IF(U36=S38,S34,IF(U36=S34,S38)))</f>
        <v/>
      </c>
      <c r="V41" s="586" t="str">
        <f>IF(U41="",U41,VLOOKUP(U41,'Списки участников'!$A:$O,12,FALSE))</f>
        <v/>
      </c>
      <c r="W41" s="902" t="str">
        <f>CONCATENATE(H4+13," ","м")</f>
        <v>14 м</v>
      </c>
      <c r="X41" s="631"/>
      <c r="Y41" s="580"/>
      <c r="Z41" s="659"/>
      <c r="AA41" s="590"/>
      <c r="AB41" s="600" t="s">
        <v>45</v>
      </c>
      <c r="AC41" s="646"/>
      <c r="AD41" s="652"/>
      <c r="AE41" s="586" t="str">
        <f>IF(AD41="","",VLOOKUP(AD41,'Списки участников'!$A:$O,12,FALSE))</f>
        <v/>
      </c>
      <c r="AF41" s="889" t="str">
        <f>CONCATENATE(H4+14," ","м")</f>
        <v>15 м</v>
      </c>
      <c r="AG41" s="598"/>
      <c r="AH41" s="578"/>
      <c r="AI41" s="642"/>
      <c r="AJ41" s="642"/>
      <c r="AK41" s="642"/>
      <c r="AL41" s="642"/>
      <c r="AM41" s="642"/>
      <c r="AN41" s="642"/>
    </row>
    <row r="42" spans="1:40" ht="17.100000000000001" customHeight="1" x14ac:dyDescent="0.25">
      <c r="C42" s="626"/>
      <c r="D42" s="626"/>
      <c r="E42" s="626"/>
      <c r="F42" s="626"/>
      <c r="G42" s="626"/>
      <c r="H42" s="626"/>
      <c r="I42" s="626"/>
      <c r="J42" s="626"/>
      <c r="K42" s="626"/>
      <c r="L42" s="626"/>
      <c r="M42" s="626"/>
      <c r="N42" s="626"/>
      <c r="O42" s="581"/>
      <c r="P42" s="581"/>
      <c r="Q42" s="581"/>
      <c r="R42" s="581"/>
      <c r="S42" s="581"/>
      <c r="T42" s="581"/>
      <c r="U42" s="581"/>
      <c r="V42" s="581"/>
      <c r="W42" s="581"/>
      <c r="X42" s="580"/>
      <c r="Y42" s="580"/>
      <c r="Z42" s="584" t="s">
        <v>894</v>
      </c>
      <c r="AA42" s="585" t="str">
        <f>IF(S38="","",IF(S38=P39,P37,IF(S38=P37,P39)))</f>
        <v/>
      </c>
      <c r="AB42" s="586" t="str">
        <f>IF(AA42="",AA42,VLOOKUP(AA42,'Списки участников'!$A:$O,12,FALSE))</f>
        <v/>
      </c>
      <c r="AC42" s="655"/>
      <c r="AD42" s="651"/>
      <c r="AE42" s="613"/>
      <c r="AF42" s="894"/>
      <c r="AG42" s="619"/>
    </row>
    <row r="43" spans="1:40" ht="17.100000000000001" customHeight="1" x14ac:dyDescent="0.2">
      <c r="C43" s="626"/>
      <c r="D43" s="626"/>
      <c r="E43" s="626"/>
      <c r="F43" s="626"/>
      <c r="G43" s="626"/>
      <c r="H43" s="626"/>
      <c r="I43" s="626"/>
      <c r="J43" s="626"/>
      <c r="K43" s="626"/>
      <c r="L43" s="626"/>
      <c r="M43" s="626"/>
      <c r="N43" s="626"/>
      <c r="O43" s="581"/>
      <c r="P43" s="581"/>
      <c r="Q43" s="581"/>
      <c r="R43" s="581"/>
      <c r="S43" s="581"/>
      <c r="T43" s="581"/>
      <c r="U43" s="581"/>
      <c r="V43" s="581"/>
      <c r="W43" s="581"/>
      <c r="X43" s="580"/>
      <c r="Y43" s="580"/>
      <c r="Z43" s="580"/>
      <c r="AA43" s="580"/>
      <c r="AB43" s="580"/>
      <c r="AC43" s="580"/>
      <c r="AD43" s="580"/>
      <c r="AE43" s="580"/>
      <c r="AF43" s="892"/>
      <c r="AG43" s="619"/>
    </row>
    <row r="44" spans="1:40" ht="17.100000000000001" customHeight="1" x14ac:dyDescent="0.25">
      <c r="C44" s="626"/>
      <c r="D44" s="626"/>
      <c r="E44" s="626"/>
      <c r="F44" s="626"/>
      <c r="G44" s="626"/>
      <c r="H44" s="626"/>
      <c r="I44" s="626"/>
      <c r="J44" s="626"/>
      <c r="K44" s="626"/>
      <c r="L44" s="626"/>
      <c r="M44" s="626"/>
      <c r="N44" s="626"/>
      <c r="O44" s="1269" t="s">
        <v>1037</v>
      </c>
      <c r="P44" s="1269"/>
      <c r="Q44" s="1269"/>
      <c r="R44" s="1269"/>
      <c r="S44" s="1269"/>
      <c r="T44" s="667"/>
      <c r="U44" s="668"/>
      <c r="V44" s="669" t="str">
        <f>'Списки участников'!H47</f>
        <v>Винокуров А.К</v>
      </c>
      <c r="W44" s="668"/>
      <c r="X44" s="580"/>
      <c r="Y44" s="579"/>
      <c r="Z44" s="579"/>
      <c r="AA44" s="664"/>
      <c r="AB44" s="664"/>
      <c r="AC44" s="659" t="s">
        <v>936</v>
      </c>
      <c r="AD44" s="585" t="str">
        <f>IF(AD41="","",IF(AD41=AA42,AA40,IF(AD41=AA40,AA42)))</f>
        <v/>
      </c>
      <c r="AE44" s="586" t="str">
        <f>IF(AD44="",AD44,VLOOKUP(AD44,'Списки участников'!$A:$O,12,FALSE))</f>
        <v/>
      </c>
      <c r="AF44" s="889" t="str">
        <f>CONCATENATE(H4+15," ","м")</f>
        <v>16 м</v>
      </c>
      <c r="AG44" s="670"/>
    </row>
    <row r="45" spans="1:40" ht="15.75" x14ac:dyDescent="0.25">
      <c r="C45" s="626"/>
      <c r="D45" s="626"/>
      <c r="E45" s="626"/>
      <c r="F45" s="626"/>
      <c r="G45" s="626"/>
      <c r="H45" s="626"/>
      <c r="I45" s="626"/>
      <c r="J45" s="626"/>
      <c r="K45" s="626"/>
      <c r="L45" s="626"/>
      <c r="M45" s="626"/>
      <c r="N45" s="626"/>
      <c r="O45" s="671"/>
      <c r="P45" s="671"/>
      <c r="Q45" s="726"/>
      <c r="R45" s="726"/>
      <c r="S45" s="726"/>
      <c r="T45" s="1271"/>
      <c r="U45" s="1271"/>
      <c r="V45" s="1271"/>
      <c r="W45" s="1271"/>
      <c r="X45" s="671"/>
      <c r="Y45" s="671"/>
      <c r="Z45" s="671"/>
    </row>
    <row r="46" spans="1:40" ht="15.75" x14ac:dyDescent="0.25">
      <c r="C46" s="626"/>
      <c r="D46" s="626"/>
      <c r="E46" s="626"/>
      <c r="F46" s="626"/>
      <c r="G46" s="626"/>
      <c r="H46" s="626"/>
      <c r="I46" s="626"/>
      <c r="J46" s="626"/>
      <c r="K46" s="626"/>
      <c r="L46" s="626"/>
      <c r="M46" s="626"/>
      <c r="N46" s="626"/>
      <c r="O46" s="1269" t="s">
        <v>1038</v>
      </c>
      <c r="P46" s="1269"/>
      <c r="Q46" s="1269"/>
      <c r="R46" s="1269"/>
      <c r="S46" s="1269"/>
      <c r="T46" s="672"/>
      <c r="U46" s="673"/>
      <c r="V46" s="674" t="str">
        <f>'Списки участников'!H48</f>
        <v>Брусин С.Б., Кашулина А.И.</v>
      </c>
      <c r="W46" s="673"/>
      <c r="X46" s="671"/>
      <c r="Y46" s="618"/>
      <c r="Z46" s="618"/>
    </row>
    <row r="47" spans="1:40" x14ac:dyDescent="0.2">
      <c r="C47" s="643"/>
      <c r="D47" s="643"/>
      <c r="E47" s="626"/>
      <c r="F47" s="626"/>
      <c r="G47" s="626"/>
      <c r="H47" s="626"/>
      <c r="I47" s="626"/>
      <c r="J47" s="643"/>
      <c r="K47" s="643"/>
      <c r="L47" s="643"/>
      <c r="M47" s="626"/>
      <c r="N47" s="626"/>
      <c r="T47" s="1270"/>
      <c r="U47" s="1270"/>
      <c r="V47" s="1270"/>
      <c r="W47" s="1270"/>
      <c r="AA47" s="675"/>
      <c r="AB47" s="675"/>
      <c r="AC47" s="675"/>
      <c r="AD47" s="675"/>
      <c r="AE47" s="675"/>
      <c r="AF47" s="676"/>
      <c r="AG47" s="675"/>
    </row>
    <row r="48" spans="1:40" x14ac:dyDescent="0.2">
      <c r="C48" s="643"/>
      <c r="D48" s="643"/>
      <c r="E48" s="626"/>
      <c r="F48" s="626"/>
      <c r="G48" s="626"/>
      <c r="H48" s="626"/>
      <c r="I48" s="626"/>
      <c r="J48" s="643"/>
      <c r="K48" s="643"/>
      <c r="L48" s="643"/>
      <c r="M48" s="626"/>
      <c r="N48" s="626"/>
      <c r="AA48" s="675"/>
      <c r="AB48" s="675"/>
      <c r="AC48" s="675"/>
      <c r="AD48" s="675"/>
      <c r="AE48" s="675"/>
      <c r="AF48" s="676"/>
      <c r="AG48" s="675"/>
    </row>
    <row r="49" spans="3:14" ht="13.5" customHeight="1" x14ac:dyDescent="0.2">
      <c r="C49" s="643"/>
      <c r="D49" s="643"/>
      <c r="E49" s="626"/>
      <c r="F49" s="626"/>
      <c r="G49" s="626"/>
      <c r="H49" s="626"/>
      <c r="I49" s="626"/>
      <c r="J49" s="643"/>
      <c r="K49" s="643"/>
      <c r="L49" s="643"/>
      <c r="M49" s="626"/>
      <c r="N49" s="626"/>
    </row>
    <row r="50" spans="3:14" ht="10.5" customHeight="1" x14ac:dyDescent="0.25">
      <c r="C50" s="671"/>
      <c r="D50" s="671"/>
      <c r="J50" s="671"/>
      <c r="K50" s="671"/>
      <c r="L50" s="671"/>
    </row>
    <row r="51" spans="3:14" ht="13.5" customHeight="1" x14ac:dyDescent="0.2"/>
    <row r="52" spans="3:14" ht="10.5" customHeight="1" x14ac:dyDescent="0.2"/>
  </sheetData>
  <mergeCells count="9">
    <mergeCell ref="A1:N1"/>
    <mergeCell ref="A2:N2"/>
    <mergeCell ref="O46:S46"/>
    <mergeCell ref="T47:W47"/>
    <mergeCell ref="C3:M3"/>
    <mergeCell ref="B4:C4"/>
    <mergeCell ref="L4:N4"/>
    <mergeCell ref="O44:S44"/>
    <mergeCell ref="T45:W45"/>
  </mergeCells>
  <pageMargins left="0.25" right="0.25" top="0.75" bottom="0.75" header="0.3" footer="0.3"/>
  <pageSetup paperSize="9" scale="83" fitToHeight="0" orientation="portrait" r:id="rId1"/>
  <headerFooter alignWithMargins="0"/>
  <colBreaks count="1" manualBreakCount="1">
    <brk id="14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tabColor rgb="FFFFFF00"/>
  </sheetPr>
  <dimension ref="A1:U124"/>
  <sheetViews>
    <sheetView view="pageBreakPreview" zoomScaleNormal="100" zoomScaleSheetLayoutView="100" workbookViewId="0">
      <selection activeCell="T8" sqref="T8"/>
    </sheetView>
  </sheetViews>
  <sheetFormatPr defaultRowHeight="15" outlineLevelCol="1" x14ac:dyDescent="0.25"/>
  <cols>
    <col min="1" max="1" width="9.33203125" style="128"/>
    <col min="2" max="2" width="5.33203125" style="128" customWidth="1"/>
    <col min="3" max="3" width="11.5" style="128" customWidth="1"/>
    <col min="4" max="4" width="6" style="128" customWidth="1" outlineLevel="1"/>
    <col min="5" max="5" width="25" style="128" customWidth="1"/>
    <col min="6" max="6" width="5.5" style="128" customWidth="1" outlineLevel="1"/>
    <col min="7" max="7" width="25" style="128" customWidth="1"/>
    <col min="8" max="8" width="5.83203125" style="128" customWidth="1" outlineLevel="1"/>
    <col min="9" max="9" width="25" style="128" customWidth="1"/>
    <col min="10" max="14" width="6.6640625" style="128" customWidth="1"/>
    <col min="15" max="15" width="8.33203125" style="128" customWidth="1"/>
    <col min="16" max="16" width="8.5" style="128" customWidth="1"/>
    <col min="17" max="16384" width="9.33203125" style="128"/>
  </cols>
  <sheetData>
    <row r="1" spans="1:17" ht="18.75" x14ac:dyDescent="0.3">
      <c r="C1" s="1278" t="s">
        <v>2815</v>
      </c>
      <c r="D1" s="1278"/>
      <c r="E1" s="1278"/>
      <c r="F1" s="1278"/>
      <c r="G1" s="1278"/>
      <c r="H1" s="1278"/>
      <c r="I1" s="1278"/>
      <c r="J1" s="1278"/>
      <c r="K1" s="1278"/>
      <c r="L1" s="1278"/>
      <c r="M1" s="1278"/>
      <c r="N1" s="1278"/>
    </row>
    <row r="2" spans="1:17" ht="19.5" thickBot="1" x14ac:dyDescent="0.35">
      <c r="E2" s="696" t="str">
        <f>'Списки участников'!C3</f>
        <v>22 октября 2016 г.</v>
      </c>
      <c r="F2" s="696"/>
      <c r="G2" s="1218" t="s">
        <v>2624</v>
      </c>
      <c r="H2" s="1218"/>
      <c r="I2" s="1218"/>
      <c r="J2" s="1218"/>
      <c r="K2" s="1218"/>
      <c r="L2" s="1218"/>
      <c r="M2" s="1218"/>
      <c r="N2" s="1279">
        <f>'Списки участников'!H3</f>
        <v>0</v>
      </c>
      <c r="O2" s="1279"/>
    </row>
    <row r="3" spans="1:17" ht="19.5" customHeight="1" thickBot="1" x14ac:dyDescent="0.35">
      <c r="A3" s="1284" t="s">
        <v>1041</v>
      </c>
      <c r="B3" s="1286" t="s">
        <v>964</v>
      </c>
      <c r="C3" s="1288" t="s">
        <v>3</v>
      </c>
      <c r="D3" s="1290"/>
      <c r="E3" s="1274" t="s">
        <v>4</v>
      </c>
      <c r="F3" s="697"/>
      <c r="G3" s="1274" t="s">
        <v>4</v>
      </c>
      <c r="H3" s="697"/>
      <c r="I3" s="1274" t="s">
        <v>764</v>
      </c>
      <c r="J3" s="1276" t="s">
        <v>965</v>
      </c>
      <c r="K3" s="1277"/>
      <c r="L3" s="1277"/>
      <c r="M3" s="1277"/>
      <c r="N3" s="1277"/>
      <c r="O3" s="1280" t="s">
        <v>1042</v>
      </c>
      <c r="P3" s="1281"/>
      <c r="Q3" s="934" t="s">
        <v>2681</v>
      </c>
    </row>
    <row r="4" spans="1:17" ht="19.5" thickBot="1" x14ac:dyDescent="0.3">
      <c r="A4" s="1285"/>
      <c r="B4" s="1287"/>
      <c r="C4" s="1289"/>
      <c r="D4" s="1291"/>
      <c r="E4" s="1275"/>
      <c r="F4" s="698"/>
      <c r="G4" s="1275"/>
      <c r="H4" s="699"/>
      <c r="I4" s="1275"/>
      <c r="J4" s="700">
        <v>1</v>
      </c>
      <c r="K4" s="700">
        <v>2</v>
      </c>
      <c r="L4" s="700">
        <v>3</v>
      </c>
      <c r="M4" s="700">
        <v>4</v>
      </c>
      <c r="N4" s="904">
        <v>5</v>
      </c>
      <c r="O4" s="1282"/>
      <c r="P4" s="1283"/>
      <c r="Q4" s="934" t="s">
        <v>2682</v>
      </c>
    </row>
    <row r="5" spans="1:17" x14ac:dyDescent="0.25">
      <c r="A5" s="688">
        <v>1</v>
      </c>
      <c r="B5" s="482">
        <v>1</v>
      </c>
      <c r="C5" s="483" t="s">
        <v>966</v>
      </c>
      <c r="D5" s="484">
        <f>'1Ф КРУГ'!B5</f>
        <v>0</v>
      </c>
      <c r="E5" s="689" t="e">
        <f>IF(D5="","",VLOOKUP(D5,'Списки участников'!A:K,12,FALSE))</f>
        <v>#N/A</v>
      </c>
      <c r="F5" s="485">
        <f>'1Ф КРУГ'!B35</f>
        <v>0</v>
      </c>
      <c r="G5" s="689" t="e">
        <f>IF(F5="","",VLOOKUP(F5,'Списки участников'!A:K,12,FALSE))</f>
        <v>#N/A</v>
      </c>
      <c r="H5" s="485"/>
      <c r="I5" s="689" t="str">
        <f>IF(H5="","",VLOOKUP(H5,'Списки участников'!A:K,12,FALSE))</f>
        <v/>
      </c>
      <c r="J5" s="688"/>
      <c r="K5" s="688"/>
      <c r="L5" s="688"/>
      <c r="M5" s="688"/>
      <c r="N5" s="688"/>
      <c r="O5" s="905" t="str">
        <f t="shared" ref="O5:O69" si="0">IF(H5="","",IF(J5&gt;0,1,0)+IF(K5&gt;0,1,0)+IF(L5&gt;0,1,0)+IF(M5&gt;0,1,0)+IF(N5&gt;0,1,0))</f>
        <v/>
      </c>
      <c r="P5" s="930" t="str">
        <f t="shared" ref="P5:P69" si="1">IF(H5="","",IF(J5&lt;0,1,0)+IF(K5&lt;0,1,0)+IF(L5&lt;0,1,0)+IF(M5&lt;0,1,0)+IF(N5&lt;0,1,0))</f>
        <v/>
      </c>
      <c r="Q5" s="931"/>
    </row>
    <row r="6" spans="1:17" x14ac:dyDescent="0.25">
      <c r="A6" s="486">
        <v>2</v>
      </c>
      <c r="B6" s="487">
        <v>1</v>
      </c>
      <c r="C6" s="488" t="s">
        <v>967</v>
      </c>
      <c r="D6" s="484">
        <f>'1Ф КРУГ'!B7</f>
        <v>0</v>
      </c>
      <c r="E6" s="689" t="e">
        <f>IF(D6="","",VLOOKUP(D6,'Списки участников'!A:K,12,FALSE))</f>
        <v>#N/A</v>
      </c>
      <c r="F6" s="484">
        <f>'1Ф КРУГ'!B33</f>
        <v>0</v>
      </c>
      <c r="G6" s="689" t="e">
        <f>IF(F6="","",VLOOKUP(F6,'Списки участников'!A:K,12,FALSE))</f>
        <v>#N/A</v>
      </c>
      <c r="H6" s="484"/>
      <c r="I6" s="880" t="str">
        <f>IF(H6="","",VLOOKUP(H6,'Списки участников'!A:K,12,FALSE))</f>
        <v/>
      </c>
      <c r="J6" s="486"/>
      <c r="K6" s="486"/>
      <c r="L6" s="486"/>
      <c r="M6" s="486"/>
      <c r="N6" s="486"/>
      <c r="O6" s="905" t="str">
        <f t="shared" si="0"/>
        <v/>
      </c>
      <c r="P6" s="930" t="str">
        <f t="shared" si="1"/>
        <v/>
      </c>
      <c r="Q6" s="931"/>
    </row>
    <row r="7" spans="1:17" x14ac:dyDescent="0.25">
      <c r="A7" s="486">
        <v>3</v>
      </c>
      <c r="B7" s="487">
        <v>1</v>
      </c>
      <c r="C7" s="488" t="s">
        <v>968</v>
      </c>
      <c r="D7" s="484">
        <f>'1Ф КРУГ'!B9</f>
        <v>0</v>
      </c>
      <c r="E7" s="689" t="e">
        <f>IF(D7="","",VLOOKUP(D7,'Списки участников'!A:K,12,FALSE))</f>
        <v>#N/A</v>
      </c>
      <c r="F7" s="484">
        <f>'1Ф КРУГ'!B31</f>
        <v>0</v>
      </c>
      <c r="G7" s="689" t="e">
        <f>IF(F7="","",VLOOKUP(F7,'Списки участников'!A:K,12,FALSE))</f>
        <v>#N/A</v>
      </c>
      <c r="H7" s="484"/>
      <c r="I7" s="880" t="str">
        <f>IF(H7="","",VLOOKUP(H7,'Списки участников'!A:K,12,FALSE))</f>
        <v/>
      </c>
      <c r="J7" s="915"/>
      <c r="K7" s="915"/>
      <c r="L7" s="915"/>
      <c r="M7" s="486"/>
      <c r="N7" s="486"/>
      <c r="O7" s="905" t="str">
        <f t="shared" si="0"/>
        <v/>
      </c>
      <c r="P7" s="930" t="str">
        <f t="shared" si="1"/>
        <v/>
      </c>
      <c r="Q7" s="931"/>
    </row>
    <row r="8" spans="1:17" x14ac:dyDescent="0.25">
      <c r="A8" s="486">
        <v>4</v>
      </c>
      <c r="B8" s="487">
        <v>1</v>
      </c>
      <c r="C8" s="488" t="s">
        <v>969</v>
      </c>
      <c r="D8" s="484">
        <f>'1Ф КРУГ'!B11</f>
        <v>0</v>
      </c>
      <c r="E8" s="689" t="e">
        <f>IF(D8="","",VLOOKUP(D8,'Списки участников'!A:K,12,FALSE))</f>
        <v>#N/A</v>
      </c>
      <c r="F8" s="484">
        <f>'1Ф КРУГ'!B29</f>
        <v>0</v>
      </c>
      <c r="G8" s="689" t="e">
        <f>IF(F8="","",VLOOKUP(F8,'Списки участников'!A:K,12,FALSE))</f>
        <v>#N/A</v>
      </c>
      <c r="H8" s="485"/>
      <c r="I8" s="880" t="str">
        <f>IF(H8="","",VLOOKUP(H8,'Списки участников'!A:K,12,FALSE))</f>
        <v/>
      </c>
      <c r="J8" s="486"/>
      <c r="K8" s="486"/>
      <c r="L8" s="486"/>
      <c r="M8" s="486"/>
      <c r="N8" s="486"/>
      <c r="O8" s="905" t="str">
        <f t="shared" si="0"/>
        <v/>
      </c>
      <c r="P8" s="930" t="str">
        <f t="shared" si="1"/>
        <v/>
      </c>
      <c r="Q8" s="931"/>
    </row>
    <row r="9" spans="1:17" x14ac:dyDescent="0.25">
      <c r="A9" s="486">
        <v>5</v>
      </c>
      <c r="B9" s="489">
        <v>1</v>
      </c>
      <c r="C9" s="488" t="s">
        <v>970</v>
      </c>
      <c r="D9" s="484">
        <f>'1Ф КРУГ'!B13</f>
        <v>0</v>
      </c>
      <c r="E9" s="689" t="e">
        <f>IF(D9="","",VLOOKUP(D9,'Списки участников'!A:K,12,FALSE))</f>
        <v>#N/A</v>
      </c>
      <c r="F9" s="484">
        <f>'1Ф КРУГ'!B27</f>
        <v>0</v>
      </c>
      <c r="G9" s="689" t="e">
        <f>IF(F9="","",VLOOKUP(F9,'Списки участников'!A:K,12,FALSE))</f>
        <v>#N/A</v>
      </c>
      <c r="H9" s="484"/>
      <c r="I9" s="880" t="str">
        <f>IF(H9="","",VLOOKUP(H9,'Списки участников'!A:K,12,FALSE))</f>
        <v/>
      </c>
      <c r="J9" s="915"/>
      <c r="K9" s="915"/>
      <c r="L9" s="915"/>
      <c r="M9" s="486"/>
      <c r="N9" s="486"/>
      <c r="O9" s="905" t="str">
        <f t="shared" si="0"/>
        <v/>
      </c>
      <c r="P9" s="930" t="str">
        <f t="shared" si="1"/>
        <v/>
      </c>
      <c r="Q9" s="931"/>
    </row>
    <row r="10" spans="1:17" x14ac:dyDescent="0.25">
      <c r="A10" s="486">
        <v>6</v>
      </c>
      <c r="B10" s="487">
        <v>1</v>
      </c>
      <c r="C10" s="490" t="s">
        <v>971</v>
      </c>
      <c r="D10" s="491">
        <f>'1Ф КРУГ'!B15</f>
        <v>0</v>
      </c>
      <c r="E10" s="689" t="e">
        <f>IF(D10="","",VLOOKUP(D10,'Списки участников'!A:K,12,FALSE))</f>
        <v>#N/A</v>
      </c>
      <c r="F10" s="491">
        <f>'1Ф КРУГ'!B25</f>
        <v>0</v>
      </c>
      <c r="G10" s="689" t="e">
        <f>IF(F10="","",VLOOKUP(F10,'Списки участников'!A:K,12,FALSE))</f>
        <v>#N/A</v>
      </c>
      <c r="H10" s="484"/>
      <c r="I10" s="880" t="str">
        <f>IF(H10="","",VLOOKUP(H10,'Списки участников'!A:K,12,FALSE))</f>
        <v/>
      </c>
      <c r="J10" s="486"/>
      <c r="K10" s="486"/>
      <c r="L10" s="486"/>
      <c r="M10" s="687"/>
      <c r="N10" s="687"/>
      <c r="O10" s="905" t="str">
        <f t="shared" si="0"/>
        <v/>
      </c>
      <c r="P10" s="930" t="str">
        <f t="shared" si="1"/>
        <v/>
      </c>
      <c r="Q10" s="931"/>
    </row>
    <row r="11" spans="1:17" x14ac:dyDescent="0.25">
      <c r="A11" s="486">
        <v>7</v>
      </c>
      <c r="B11" s="487">
        <v>1</v>
      </c>
      <c r="C11" s="490" t="s">
        <v>972</v>
      </c>
      <c r="D11" s="491">
        <f>'1Ф КРУГ'!B17</f>
        <v>0</v>
      </c>
      <c r="E11" s="689" t="e">
        <f>IF(D11="","",VLOOKUP(D11,'Списки участников'!A:K,12,FALSE))</f>
        <v>#N/A</v>
      </c>
      <c r="F11" s="491">
        <f>'1Ф КРУГ'!B23</f>
        <v>0</v>
      </c>
      <c r="G11" s="689" t="e">
        <f>IF(F11="","",VLOOKUP(F11,'Списки участников'!A:K,12,FALSE))</f>
        <v>#N/A</v>
      </c>
      <c r="H11" s="485"/>
      <c r="I11" s="880" t="str">
        <f>IF(H11="","",VLOOKUP(H11,'Списки участников'!A:K,12,FALSE))</f>
        <v/>
      </c>
      <c r="J11" s="915"/>
      <c r="K11" s="915"/>
      <c r="L11" s="915"/>
      <c r="M11" s="687"/>
      <c r="N11" s="687"/>
      <c r="O11" s="905" t="str">
        <f t="shared" si="0"/>
        <v/>
      </c>
      <c r="P11" s="930" t="str">
        <f t="shared" si="1"/>
        <v/>
      </c>
      <c r="Q11" s="931"/>
    </row>
    <row r="12" spans="1:17" ht="15.75" thickBot="1" x14ac:dyDescent="0.3">
      <c r="A12" s="486">
        <v>8</v>
      </c>
      <c r="B12" s="492">
        <v>1</v>
      </c>
      <c r="C12" s="493" t="s">
        <v>973</v>
      </c>
      <c r="D12" s="494">
        <f>'1Ф КРУГ'!B19</f>
        <v>0</v>
      </c>
      <c r="E12" s="701" t="e">
        <f>IF(D12="","",VLOOKUP(D12,'Списки участников'!A:K,12,FALSE))</f>
        <v>#N/A</v>
      </c>
      <c r="F12" s="494">
        <f>'1Ф КРУГ'!B21</f>
        <v>0</v>
      </c>
      <c r="G12" s="701" t="e">
        <f>IF(F12="","",VLOOKUP(F12,'Списки участников'!A:K,12,FALSE))</f>
        <v>#N/A</v>
      </c>
      <c r="H12" s="484"/>
      <c r="I12" s="701" t="str">
        <f>IF(H12="","",VLOOKUP(H12,'Списки участников'!A:K,12,FALSE))</f>
        <v/>
      </c>
      <c r="J12" s="702"/>
      <c r="K12" s="702"/>
      <c r="L12" s="702"/>
      <c r="M12" s="702"/>
      <c r="N12" s="702"/>
      <c r="O12" s="932" t="str">
        <f t="shared" si="0"/>
        <v/>
      </c>
      <c r="P12" s="933" t="str">
        <f t="shared" si="1"/>
        <v/>
      </c>
      <c r="Q12" s="701"/>
    </row>
    <row r="13" spans="1:17" x14ac:dyDescent="0.25">
      <c r="A13" s="486">
        <v>9</v>
      </c>
      <c r="B13" s="495">
        <v>2</v>
      </c>
      <c r="C13" s="911" t="s">
        <v>2677</v>
      </c>
      <c r="D13" s="485">
        <f>'1Ф КРУГ'!B5</f>
        <v>0</v>
      </c>
      <c r="E13" s="689" t="e">
        <f>IF(D13="","",VLOOKUP(D13,'Списки участников'!A:K,12,FALSE))</f>
        <v>#N/A</v>
      </c>
      <c r="F13" s="485">
        <f>'1Ф КРУГ'!B33</f>
        <v>0</v>
      </c>
      <c r="G13" s="689" t="e">
        <f>IF(F13="","",VLOOKUP(F13,'Списки участников'!A:K,12,FALSE))</f>
        <v>#N/A</v>
      </c>
      <c r="H13" s="485"/>
      <c r="I13" s="880" t="str">
        <f>IF(H13="","",VLOOKUP(H13,'Списки участников'!A:K,12,FALSE))</f>
        <v/>
      </c>
      <c r="J13" s="688"/>
      <c r="K13" s="688"/>
      <c r="L13" s="688"/>
      <c r="M13" s="688"/>
      <c r="N13" s="688"/>
      <c r="O13" s="905" t="str">
        <f t="shared" si="0"/>
        <v/>
      </c>
      <c r="P13" s="930" t="str">
        <f t="shared" si="1"/>
        <v/>
      </c>
      <c r="Q13" s="922"/>
    </row>
    <row r="14" spans="1:17" x14ac:dyDescent="0.25">
      <c r="A14" s="486">
        <v>10</v>
      </c>
      <c r="B14" s="487">
        <v>2</v>
      </c>
      <c r="C14" s="906" t="s">
        <v>2625</v>
      </c>
      <c r="D14" s="484">
        <f>'1Ф КРУГ'!B31</f>
        <v>0</v>
      </c>
      <c r="E14" s="689" t="e">
        <f>IF(D14="","",VLOOKUP(D14,'Списки участников'!A:K,12,FALSE))</f>
        <v>#N/A</v>
      </c>
      <c r="F14" s="484">
        <f>'1Ф КРУГ'!B35</f>
        <v>0</v>
      </c>
      <c r="G14" s="689" t="e">
        <f>IF(F14="","",VLOOKUP(F14,'Списки участников'!A:K,12,FALSE))</f>
        <v>#N/A</v>
      </c>
      <c r="H14" s="484"/>
      <c r="I14" s="880" t="str">
        <f>IF(H14="","",VLOOKUP(H14,'Списки участников'!A:K,12,FALSE))</f>
        <v/>
      </c>
      <c r="J14" s="486"/>
      <c r="K14" s="486"/>
      <c r="L14" s="486"/>
      <c r="M14" s="486"/>
      <c r="N14" s="486"/>
      <c r="O14" s="905" t="str">
        <f t="shared" si="0"/>
        <v/>
      </c>
      <c r="P14" s="930" t="str">
        <f t="shared" si="1"/>
        <v/>
      </c>
      <c r="Q14" s="931"/>
    </row>
    <row r="15" spans="1:17" x14ac:dyDescent="0.25">
      <c r="A15" s="486">
        <v>11</v>
      </c>
      <c r="B15" s="487">
        <v>2</v>
      </c>
      <c r="C15" s="488" t="s">
        <v>974</v>
      </c>
      <c r="D15" s="484">
        <f>'1Ф КРУГ'!B7</f>
        <v>0</v>
      </c>
      <c r="E15" s="689" t="e">
        <f>IF(D15="","",VLOOKUP(D15,'Списки участников'!A:K,12,FALSE))</f>
        <v>#N/A</v>
      </c>
      <c r="F15" s="484">
        <f>'1Ф КРУГ'!B29</f>
        <v>0</v>
      </c>
      <c r="G15" s="689" t="e">
        <f>IF(F15="","",VLOOKUP(F15,'Списки участников'!A:K,12,FALSE))</f>
        <v>#N/A</v>
      </c>
      <c r="H15" s="484"/>
      <c r="I15" s="880" t="str">
        <f>IF(H15="","",VLOOKUP(H15,'Списки участников'!A:K,12,FALSE))</f>
        <v/>
      </c>
      <c r="J15" s="486"/>
      <c r="K15" s="486"/>
      <c r="L15" s="486"/>
      <c r="M15" s="486"/>
      <c r="N15" s="486"/>
      <c r="O15" s="905" t="str">
        <f t="shared" si="0"/>
        <v/>
      </c>
      <c r="P15" s="930" t="str">
        <f t="shared" si="1"/>
        <v/>
      </c>
      <c r="Q15" s="931"/>
    </row>
    <row r="16" spans="1:17" x14ac:dyDescent="0.25">
      <c r="A16" s="486">
        <v>12</v>
      </c>
      <c r="B16" s="487">
        <v>2</v>
      </c>
      <c r="C16" s="488" t="s">
        <v>975</v>
      </c>
      <c r="D16" s="484">
        <f>'1Ф КРУГ'!B9</f>
        <v>0</v>
      </c>
      <c r="E16" s="689" t="e">
        <f>IF(D16="","",VLOOKUP(D16,'Списки участников'!A:K,12,FALSE))</f>
        <v>#N/A</v>
      </c>
      <c r="F16" s="484">
        <f>'1Ф КРУГ'!B27</f>
        <v>0</v>
      </c>
      <c r="G16" s="689" t="e">
        <f>IF(F16="","",VLOOKUP(F16,'Списки участников'!A:K,12,FALSE))</f>
        <v>#N/A</v>
      </c>
      <c r="H16" s="484"/>
      <c r="I16" s="880" t="str">
        <f>IF(H16="","",VLOOKUP(H16,'Списки участников'!A:K,12,FALSE))</f>
        <v/>
      </c>
      <c r="J16" s="486"/>
      <c r="K16" s="486"/>
      <c r="L16" s="486"/>
      <c r="M16" s="486"/>
      <c r="N16" s="486"/>
      <c r="O16" s="905" t="str">
        <f t="shared" si="0"/>
        <v/>
      </c>
      <c r="P16" s="930" t="str">
        <f t="shared" si="1"/>
        <v/>
      </c>
      <c r="Q16" s="931"/>
    </row>
    <row r="17" spans="1:17" x14ac:dyDescent="0.25">
      <c r="A17" s="486">
        <v>13</v>
      </c>
      <c r="B17" s="489">
        <v>2</v>
      </c>
      <c r="C17" s="488" t="s">
        <v>976</v>
      </c>
      <c r="D17" s="484">
        <f>'1Ф КРУГ'!B11</f>
        <v>0</v>
      </c>
      <c r="E17" s="689" t="e">
        <f>IF(D17="","",VLOOKUP(D17,'Списки участников'!A:K,12,FALSE))</f>
        <v>#N/A</v>
      </c>
      <c r="F17" s="484">
        <f>'1Ф КРУГ'!B25</f>
        <v>0</v>
      </c>
      <c r="G17" s="689" t="e">
        <f>IF(F17="","",VLOOKUP(F17,'Списки участников'!A:K,12,FALSE))</f>
        <v>#N/A</v>
      </c>
      <c r="H17" s="484"/>
      <c r="I17" s="880" t="str">
        <f>IF(H17="","",VLOOKUP(H17,'Списки участников'!A:K,12,FALSE))</f>
        <v/>
      </c>
      <c r="J17" s="486"/>
      <c r="K17" s="486"/>
      <c r="L17" s="486"/>
      <c r="M17" s="486"/>
      <c r="N17" s="486"/>
      <c r="O17" s="905" t="str">
        <f t="shared" si="0"/>
        <v/>
      </c>
      <c r="P17" s="930" t="str">
        <f t="shared" si="1"/>
        <v/>
      </c>
      <c r="Q17" s="931"/>
    </row>
    <row r="18" spans="1:17" x14ac:dyDescent="0.25">
      <c r="A18" s="486">
        <v>14</v>
      </c>
      <c r="B18" s="487">
        <v>2</v>
      </c>
      <c r="C18" s="490" t="s">
        <v>977</v>
      </c>
      <c r="D18" s="491">
        <f>'1Ф КРУГ'!B13</f>
        <v>0</v>
      </c>
      <c r="E18" s="689" t="e">
        <f>IF(D18="","",VLOOKUP(D18,'Списки участников'!A:K,12,FALSE))</f>
        <v>#N/A</v>
      </c>
      <c r="F18" s="484">
        <f>'1Ф КРУГ'!B23</f>
        <v>0</v>
      </c>
      <c r="G18" s="689" t="e">
        <f>IF(F18="","",VLOOKUP(F18,'Списки участников'!A:K,12,FALSE))</f>
        <v>#N/A</v>
      </c>
      <c r="H18" s="491"/>
      <c r="I18" s="880" t="str">
        <f>IF(H18="","",VLOOKUP(H18,'Списки участников'!A:K,12,FALSE))</f>
        <v/>
      </c>
      <c r="J18" s="687"/>
      <c r="K18" s="687"/>
      <c r="L18" s="687"/>
      <c r="M18" s="687"/>
      <c r="N18" s="687"/>
      <c r="O18" s="905" t="str">
        <f t="shared" si="0"/>
        <v/>
      </c>
      <c r="P18" s="930" t="str">
        <f t="shared" si="1"/>
        <v/>
      </c>
      <c r="Q18" s="931"/>
    </row>
    <row r="19" spans="1:17" x14ac:dyDescent="0.25">
      <c r="A19" s="486">
        <v>15</v>
      </c>
      <c r="B19" s="487">
        <v>2</v>
      </c>
      <c r="C19" s="490" t="s">
        <v>978</v>
      </c>
      <c r="D19" s="491">
        <f>'1Ф КРУГ'!B15</f>
        <v>0</v>
      </c>
      <c r="E19" s="689" t="e">
        <f>IF(D19="","",VLOOKUP(D19,'Списки участников'!A:K,12,FALSE))</f>
        <v>#N/A</v>
      </c>
      <c r="F19" s="484">
        <f>'1Ф КРУГ'!B21</f>
        <v>0</v>
      </c>
      <c r="G19" s="689" t="e">
        <f>IF(F19="","",VLOOKUP(F19,'Списки участников'!A:K,12,FALSE))</f>
        <v>#N/A</v>
      </c>
      <c r="H19" s="491"/>
      <c r="I19" s="880" t="str">
        <f>IF(H19="","",VLOOKUP(H19,'Списки участников'!A:K,12,FALSE))</f>
        <v/>
      </c>
      <c r="J19" s="687"/>
      <c r="K19" s="687"/>
      <c r="L19" s="687"/>
      <c r="M19" s="687"/>
      <c r="N19" s="687"/>
      <c r="O19" s="905" t="str">
        <f t="shared" si="0"/>
        <v/>
      </c>
      <c r="P19" s="930" t="str">
        <f t="shared" si="1"/>
        <v/>
      </c>
      <c r="Q19" s="931"/>
    </row>
    <row r="20" spans="1:17" ht="15.75" thickBot="1" x14ac:dyDescent="0.3">
      <c r="A20" s="486">
        <v>16</v>
      </c>
      <c r="B20" s="492">
        <v>2</v>
      </c>
      <c r="C20" s="493" t="s">
        <v>979</v>
      </c>
      <c r="D20" s="494">
        <f>'1Ф КРУГ'!B17</f>
        <v>0</v>
      </c>
      <c r="E20" s="701" t="e">
        <f>IF(D20="","",VLOOKUP(D20,'Списки участников'!A:K,12,FALSE))</f>
        <v>#N/A</v>
      </c>
      <c r="F20" s="494">
        <f>'1Ф КРУГ'!B19</f>
        <v>0</v>
      </c>
      <c r="G20" s="701" t="e">
        <f>IF(F20="","",VLOOKUP(F20,'Списки участников'!A:K,12,FALSE))</f>
        <v>#N/A</v>
      </c>
      <c r="H20" s="494"/>
      <c r="I20" s="701" t="str">
        <f>IF(H20="","",VLOOKUP(H20,'Списки участников'!A:K,12,FALSE))</f>
        <v/>
      </c>
      <c r="J20" s="702"/>
      <c r="K20" s="702"/>
      <c r="L20" s="702"/>
      <c r="M20" s="702"/>
      <c r="N20" s="702"/>
      <c r="O20" s="932" t="str">
        <f t="shared" si="0"/>
        <v/>
      </c>
      <c r="P20" s="933" t="str">
        <f t="shared" si="1"/>
        <v/>
      </c>
      <c r="Q20" s="701"/>
    </row>
    <row r="21" spans="1:17" ht="15" customHeight="1" x14ac:dyDescent="0.25">
      <c r="A21" s="486">
        <v>17</v>
      </c>
      <c r="B21" s="482">
        <v>3</v>
      </c>
      <c r="C21" s="483" t="s">
        <v>980</v>
      </c>
      <c r="D21" s="485">
        <f>'1Ф КРУГ'!B5</f>
        <v>0</v>
      </c>
      <c r="E21" s="689" t="e">
        <f>IF(D21="","",VLOOKUP(D21,'Списки участников'!A:K,12,FALSE))</f>
        <v>#N/A</v>
      </c>
      <c r="F21" s="485">
        <f>'1Ф КРУГ'!B31</f>
        <v>0</v>
      </c>
      <c r="G21" s="689" t="e">
        <f>IF(F21="","",VLOOKUP(F21,'Списки участников'!A:K,12,FALSE))</f>
        <v>#N/A</v>
      </c>
      <c r="H21" s="485"/>
      <c r="I21" s="880" t="str">
        <f>IF(H21="","",VLOOKUP(H21,'Списки участников'!A:K,12,FALSE))</f>
        <v/>
      </c>
      <c r="J21" s="688"/>
      <c r="K21" s="688"/>
      <c r="L21" s="688"/>
      <c r="M21" s="688"/>
      <c r="N21" s="688"/>
      <c r="O21" s="905" t="str">
        <f t="shared" si="0"/>
        <v/>
      </c>
      <c r="P21" s="930" t="str">
        <f t="shared" si="1"/>
        <v/>
      </c>
      <c r="Q21" s="922"/>
    </row>
    <row r="22" spans="1:17" x14ac:dyDescent="0.25">
      <c r="A22" s="486">
        <v>18</v>
      </c>
      <c r="B22" s="496">
        <v>3</v>
      </c>
      <c r="C22" s="906" t="s">
        <v>2627</v>
      </c>
      <c r="D22" s="484">
        <f>'1Ф КРУГ'!B29</f>
        <v>0</v>
      </c>
      <c r="E22" s="689" t="e">
        <f>IF(D22="","",VLOOKUP(D22,'Списки участников'!A:K,12,FALSE))</f>
        <v>#N/A</v>
      </c>
      <c r="F22" s="485">
        <f>'1Ф КРУГ'!B33</f>
        <v>0</v>
      </c>
      <c r="G22" s="689" t="e">
        <f>IF(F22="","",VLOOKUP(F22,'Списки участников'!A:K,12,FALSE))</f>
        <v>#N/A</v>
      </c>
      <c r="H22" s="484"/>
      <c r="I22" s="880" t="str">
        <f>IF(H22="","",VLOOKUP(H22,'Списки участников'!A:K,12,FALSE))</f>
        <v/>
      </c>
      <c r="J22" s="915"/>
      <c r="K22" s="915"/>
      <c r="L22" s="915"/>
      <c r="M22" s="486"/>
      <c r="N22" s="486"/>
      <c r="O22" s="905" t="str">
        <f t="shared" si="0"/>
        <v/>
      </c>
      <c r="P22" s="930" t="str">
        <f t="shared" si="1"/>
        <v/>
      </c>
      <c r="Q22" s="931"/>
    </row>
    <row r="23" spans="1:17" ht="15" customHeight="1" x14ac:dyDescent="0.25">
      <c r="A23" s="486">
        <v>19</v>
      </c>
      <c r="B23" s="496">
        <v>3</v>
      </c>
      <c r="C23" s="906" t="s">
        <v>2628</v>
      </c>
      <c r="D23" s="484">
        <f>'1Ф КРУГ'!B27</f>
        <v>0</v>
      </c>
      <c r="E23" s="689" t="e">
        <f>IF(D23="","",VLOOKUP(D23,'Списки участников'!A:K,12,FALSE))</f>
        <v>#N/A</v>
      </c>
      <c r="F23" s="485">
        <f>'1Ф КРУГ'!B35</f>
        <v>0</v>
      </c>
      <c r="G23" s="689" t="e">
        <f>IF(F23="","",VLOOKUP(F23,'Списки участников'!A:K,12,FALSE))</f>
        <v>#N/A</v>
      </c>
      <c r="H23" s="484"/>
      <c r="I23" s="880" t="str">
        <f>IF(H23="","",VLOOKUP(H23,'Списки участников'!A:K,12,FALSE))</f>
        <v/>
      </c>
      <c r="J23" s="915"/>
      <c r="K23" s="915"/>
      <c r="L23" s="915"/>
      <c r="M23" s="486"/>
      <c r="N23" s="486"/>
      <c r="O23" s="905" t="str">
        <f t="shared" si="0"/>
        <v/>
      </c>
      <c r="P23" s="930" t="str">
        <f t="shared" si="1"/>
        <v/>
      </c>
      <c r="Q23" s="931"/>
    </row>
    <row r="24" spans="1:17" x14ac:dyDescent="0.25">
      <c r="A24" s="486">
        <v>20</v>
      </c>
      <c r="B24" s="496">
        <v>3</v>
      </c>
      <c r="C24" s="488" t="s">
        <v>981</v>
      </c>
      <c r="D24" s="484">
        <f>'1Ф КРУГ'!B7</f>
        <v>0</v>
      </c>
      <c r="E24" s="689" t="e">
        <f>IF(D24="","",VLOOKUP(D24,'Списки участников'!A:K,12,FALSE))</f>
        <v>#N/A</v>
      </c>
      <c r="F24" s="485">
        <f>'1Ф КРУГ'!B25</f>
        <v>0</v>
      </c>
      <c r="G24" s="689" t="e">
        <f>IF(F24="","",VLOOKUP(F24,'Списки участников'!A:K,12,FALSE))</f>
        <v>#N/A</v>
      </c>
      <c r="H24" s="484"/>
      <c r="I24" s="880" t="str">
        <f>IF(H24="","",VLOOKUP(H24,'Списки участников'!A:K,12,FALSE))</f>
        <v/>
      </c>
      <c r="J24" s="915"/>
      <c r="K24" s="915"/>
      <c r="L24" s="915"/>
      <c r="M24" s="486"/>
      <c r="N24" s="486"/>
      <c r="O24" s="905" t="str">
        <f t="shared" si="0"/>
        <v/>
      </c>
      <c r="P24" s="930" t="str">
        <f t="shared" si="1"/>
        <v/>
      </c>
      <c r="Q24" s="931"/>
    </row>
    <row r="25" spans="1:17" x14ac:dyDescent="0.25">
      <c r="A25" s="486">
        <v>21</v>
      </c>
      <c r="B25" s="489">
        <v>3</v>
      </c>
      <c r="C25" s="488" t="s">
        <v>982</v>
      </c>
      <c r="D25" s="484">
        <f>'1Ф КРУГ'!B9</f>
        <v>0</v>
      </c>
      <c r="E25" s="689" t="e">
        <f>IF(D25="","",VLOOKUP(D25,'Списки участников'!A:K,12,FALSE))</f>
        <v>#N/A</v>
      </c>
      <c r="F25" s="485">
        <f>'1Ф КРУГ'!B23</f>
        <v>0</v>
      </c>
      <c r="G25" s="689" t="e">
        <f>IF(F25="","",VLOOKUP(F25,'Списки участников'!A:K,12,FALSE))</f>
        <v>#N/A</v>
      </c>
      <c r="H25" s="484"/>
      <c r="I25" s="880" t="str">
        <f>IF(H25="","",VLOOKUP(H25,'Списки участников'!A:K,12,FALSE))</f>
        <v/>
      </c>
      <c r="J25" s="915"/>
      <c r="K25" s="915"/>
      <c r="L25" s="915"/>
      <c r="M25" s="486"/>
      <c r="N25" s="486"/>
      <c r="O25" s="905" t="str">
        <f t="shared" si="0"/>
        <v/>
      </c>
      <c r="P25" s="930" t="str">
        <f t="shared" si="1"/>
        <v/>
      </c>
      <c r="Q25" s="931"/>
    </row>
    <row r="26" spans="1:17" x14ac:dyDescent="0.25">
      <c r="A26" s="486">
        <v>22</v>
      </c>
      <c r="B26" s="496">
        <v>3</v>
      </c>
      <c r="C26" s="490" t="s">
        <v>983</v>
      </c>
      <c r="D26" s="491">
        <f>'1Ф КРУГ'!B11</f>
        <v>0</v>
      </c>
      <c r="E26" s="689" t="e">
        <f>IF(D26="","",VLOOKUP(D26,'Списки участников'!A:K,12,FALSE))</f>
        <v>#N/A</v>
      </c>
      <c r="F26" s="485">
        <f>'1Ф КРУГ'!B21</f>
        <v>0</v>
      </c>
      <c r="G26" s="689" t="e">
        <f>IF(F26="","",VLOOKUP(F26,'Списки участников'!A:K,12,FALSE))</f>
        <v>#N/A</v>
      </c>
      <c r="H26" s="491"/>
      <c r="I26" s="880" t="str">
        <f>IF(H26="","",VLOOKUP(H26,'Списки участников'!A:K,12,FALSE))</f>
        <v/>
      </c>
      <c r="J26" s="915"/>
      <c r="K26" s="915"/>
      <c r="L26" s="915"/>
      <c r="M26" s="687"/>
      <c r="N26" s="687"/>
      <c r="O26" s="905" t="str">
        <f t="shared" si="0"/>
        <v/>
      </c>
      <c r="P26" s="930" t="str">
        <f t="shared" si="1"/>
        <v/>
      </c>
      <c r="Q26" s="931"/>
    </row>
    <row r="27" spans="1:17" x14ac:dyDescent="0.25">
      <c r="A27" s="486">
        <v>23</v>
      </c>
      <c r="B27" s="496">
        <v>3</v>
      </c>
      <c r="C27" s="490" t="s">
        <v>984</v>
      </c>
      <c r="D27" s="491">
        <f>'1Ф КРУГ'!B13</f>
        <v>0</v>
      </c>
      <c r="E27" s="689" t="e">
        <f>IF(D27="","",VLOOKUP(D27,'Списки участников'!A:K,12,FALSE))</f>
        <v>#N/A</v>
      </c>
      <c r="F27" s="485">
        <f>'1Ф КРУГ'!B19</f>
        <v>0</v>
      </c>
      <c r="G27" s="689" t="e">
        <f>IF(F27="","",VLOOKUP(F27,'Списки участников'!A:K,12,FALSE))</f>
        <v>#N/A</v>
      </c>
      <c r="H27" s="491"/>
      <c r="I27" s="880" t="str">
        <f>IF(H27="","",VLOOKUP(H27,'Списки участников'!A:K,12,FALSE))</f>
        <v/>
      </c>
      <c r="J27" s="915"/>
      <c r="K27" s="915"/>
      <c r="L27" s="915"/>
      <c r="M27" s="687"/>
      <c r="N27" s="687"/>
      <c r="O27" s="905" t="str">
        <f t="shared" si="0"/>
        <v/>
      </c>
      <c r="P27" s="930" t="str">
        <f t="shared" si="1"/>
        <v/>
      </c>
      <c r="Q27" s="931"/>
    </row>
    <row r="28" spans="1:17" ht="15.75" thickBot="1" x14ac:dyDescent="0.3">
      <c r="A28" s="486">
        <v>24</v>
      </c>
      <c r="B28" s="500">
        <v>3</v>
      </c>
      <c r="C28" s="493" t="s">
        <v>985</v>
      </c>
      <c r="D28" s="494">
        <f>'1Ф КРУГ'!B15</f>
        <v>0</v>
      </c>
      <c r="E28" s="701" t="e">
        <f>IF(D28="","",VLOOKUP(D28,'Списки участников'!A:K,12,FALSE))</f>
        <v>#N/A</v>
      </c>
      <c r="F28" s="494">
        <f>'1Ф КРУГ'!B17</f>
        <v>0</v>
      </c>
      <c r="G28" s="701" t="e">
        <f>IF(F28="","",VLOOKUP(F28,'Списки участников'!A:K,12,FALSE))</f>
        <v>#N/A</v>
      </c>
      <c r="H28" s="494"/>
      <c r="I28" s="701" t="str">
        <f>IF(H28="","",VLOOKUP(H28,'Списки участников'!A:K,12,FALSE))</f>
        <v/>
      </c>
      <c r="J28" s="702"/>
      <c r="K28" s="702"/>
      <c r="L28" s="702"/>
      <c r="M28" s="702"/>
      <c r="N28" s="702"/>
      <c r="O28" s="932" t="str">
        <f t="shared" si="0"/>
        <v/>
      </c>
      <c r="P28" s="933" t="str">
        <f t="shared" si="1"/>
        <v/>
      </c>
      <c r="Q28" s="701"/>
    </row>
    <row r="29" spans="1:17" x14ac:dyDescent="0.25">
      <c r="A29" s="486">
        <v>25</v>
      </c>
      <c r="B29" s="496">
        <v>4</v>
      </c>
      <c r="C29" s="907" t="s">
        <v>2629</v>
      </c>
      <c r="D29" s="485">
        <f>'1Ф КРУГ'!B5</f>
        <v>0</v>
      </c>
      <c r="E29" s="689" t="e">
        <f>IF(D29="","",VLOOKUP(D29,'Списки участников'!A:K,12,FALSE))</f>
        <v>#N/A</v>
      </c>
      <c r="F29" s="485">
        <f>'1Ф КРУГ'!B29</f>
        <v>0</v>
      </c>
      <c r="G29" s="689" t="e">
        <f>IF(F29="","",VLOOKUP(F29,'Списки участников'!A:K,12,FALSE))</f>
        <v>#N/A</v>
      </c>
      <c r="H29" s="485"/>
      <c r="I29" s="880" t="str">
        <f>IF(H29="","",VLOOKUP(H29,'Списки участников'!A:K,12,FALSE))</f>
        <v/>
      </c>
      <c r="J29" s="688"/>
      <c r="K29" s="688"/>
      <c r="L29" s="688"/>
      <c r="M29" s="688"/>
      <c r="N29" s="688"/>
      <c r="O29" s="905" t="str">
        <f t="shared" si="0"/>
        <v/>
      </c>
      <c r="P29" s="930" t="str">
        <f t="shared" si="1"/>
        <v/>
      </c>
      <c r="Q29" s="922"/>
    </row>
    <row r="30" spans="1:17" x14ac:dyDescent="0.25">
      <c r="A30" s="486">
        <v>26</v>
      </c>
      <c r="B30" s="496">
        <v>4</v>
      </c>
      <c r="C30" s="906" t="s">
        <v>2630</v>
      </c>
      <c r="D30" s="484">
        <f>'1Ф КРУГ'!B27</f>
        <v>0</v>
      </c>
      <c r="E30" s="689" t="e">
        <f>IF(D30="","",VLOOKUP(D30,'Списки участников'!A:K,12,FALSE))</f>
        <v>#N/A</v>
      </c>
      <c r="F30" s="484">
        <f>'1Ф КРУГ'!B31</f>
        <v>0</v>
      </c>
      <c r="G30" s="689" t="e">
        <f>IF(F30="","",VLOOKUP(F30,'Списки участников'!A:K,12,FALSE))</f>
        <v>#N/A</v>
      </c>
      <c r="H30" s="484"/>
      <c r="I30" s="880" t="str">
        <f>IF(H30="","",VLOOKUP(H30,'Списки участников'!A:K,12,FALSE))</f>
        <v/>
      </c>
      <c r="J30" s="915"/>
      <c r="K30" s="915"/>
      <c r="L30" s="915"/>
      <c r="M30" s="486"/>
      <c r="N30" s="486"/>
      <c r="O30" s="905" t="str">
        <f t="shared" si="0"/>
        <v/>
      </c>
      <c r="P30" s="930" t="str">
        <f t="shared" si="1"/>
        <v/>
      </c>
      <c r="Q30" s="931"/>
    </row>
    <row r="31" spans="1:17" x14ac:dyDescent="0.25">
      <c r="A31" s="486">
        <v>27</v>
      </c>
      <c r="B31" s="498">
        <v>4</v>
      </c>
      <c r="C31" s="906" t="s">
        <v>2631</v>
      </c>
      <c r="D31" s="484">
        <f>'1Ф КРУГ'!B25</f>
        <v>0</v>
      </c>
      <c r="E31" s="689" t="e">
        <f>IF(D31="","",VLOOKUP(D31,'Списки участников'!A:K,12,FALSE))</f>
        <v>#N/A</v>
      </c>
      <c r="F31" s="484">
        <f>'1Ф КРУГ'!B33</f>
        <v>0</v>
      </c>
      <c r="G31" s="689" t="e">
        <f>IF(F31="","",VLOOKUP(F31,'Списки участников'!A:K,12,FALSE))</f>
        <v>#N/A</v>
      </c>
      <c r="H31" s="484"/>
      <c r="I31" s="880" t="str">
        <f>IF(H31="","",VLOOKUP(H31,'Списки участников'!A:K,12,FALSE))</f>
        <v/>
      </c>
      <c r="J31" s="915"/>
      <c r="K31" s="915"/>
      <c r="L31" s="915"/>
      <c r="M31" s="486"/>
      <c r="N31" s="486"/>
      <c r="O31" s="905" t="str">
        <f t="shared" si="0"/>
        <v/>
      </c>
      <c r="P31" s="930" t="str">
        <f t="shared" si="1"/>
        <v/>
      </c>
      <c r="Q31" s="931"/>
    </row>
    <row r="32" spans="1:17" x14ac:dyDescent="0.25">
      <c r="A32" s="486">
        <v>28</v>
      </c>
      <c r="B32" s="496">
        <v>4</v>
      </c>
      <c r="C32" s="906" t="s">
        <v>2632</v>
      </c>
      <c r="D32" s="484">
        <f>'1Ф КРУГ'!B23</f>
        <v>0</v>
      </c>
      <c r="E32" s="689" t="e">
        <f>IF(D32="","",VLOOKUP(D32,'Списки участников'!A:K,12,FALSE))</f>
        <v>#N/A</v>
      </c>
      <c r="F32" s="484">
        <f>'1Ф КРУГ'!B35</f>
        <v>0</v>
      </c>
      <c r="G32" s="689" t="e">
        <f>IF(F32="","",VLOOKUP(F32,'Списки участников'!A:K,12,FALSE))</f>
        <v>#N/A</v>
      </c>
      <c r="H32" s="484"/>
      <c r="I32" s="880" t="str">
        <f>IF(H32="","",VLOOKUP(H32,'Списки участников'!A:K,12,FALSE))</f>
        <v/>
      </c>
      <c r="J32" s="915"/>
      <c r="K32" s="915"/>
      <c r="L32" s="915"/>
      <c r="M32" s="486"/>
      <c r="N32" s="486"/>
      <c r="O32" s="905" t="str">
        <f t="shared" si="0"/>
        <v/>
      </c>
      <c r="P32" s="930" t="str">
        <f t="shared" si="1"/>
        <v/>
      </c>
      <c r="Q32" s="931"/>
    </row>
    <row r="33" spans="1:17" x14ac:dyDescent="0.25">
      <c r="A33" s="486">
        <v>29</v>
      </c>
      <c r="B33" s="499">
        <v>4</v>
      </c>
      <c r="C33" s="488" t="s">
        <v>986</v>
      </c>
      <c r="D33" s="484">
        <f>'1Ф КРУГ'!B7</f>
        <v>0</v>
      </c>
      <c r="E33" s="689" t="e">
        <f>IF(D33="","",VLOOKUP(D33,'Списки участников'!A:K,12,FALSE))</f>
        <v>#N/A</v>
      </c>
      <c r="F33" s="484">
        <f>'1Ф КРУГ'!B21</f>
        <v>0</v>
      </c>
      <c r="G33" s="689" t="e">
        <f>IF(F33="","",VLOOKUP(F33,'Списки участников'!A:K,12,FALSE))</f>
        <v>#N/A</v>
      </c>
      <c r="H33" s="484"/>
      <c r="I33" s="880" t="str">
        <f>IF(H33="","",VLOOKUP(H33,'Списки участников'!A:K,12,FALSE))</f>
        <v/>
      </c>
      <c r="J33" s="915"/>
      <c r="K33" s="915"/>
      <c r="L33" s="915"/>
      <c r="M33" s="486"/>
      <c r="N33" s="486"/>
      <c r="O33" s="905" t="str">
        <f t="shared" si="0"/>
        <v/>
      </c>
      <c r="P33" s="930" t="str">
        <f t="shared" si="1"/>
        <v/>
      </c>
      <c r="Q33" s="931"/>
    </row>
    <row r="34" spans="1:17" x14ac:dyDescent="0.25">
      <c r="A34" s="486">
        <v>30</v>
      </c>
      <c r="B34" s="496">
        <v>4</v>
      </c>
      <c r="C34" s="490" t="s">
        <v>987</v>
      </c>
      <c r="D34" s="491">
        <f>'1Ф КРУГ'!B9</f>
        <v>0</v>
      </c>
      <c r="E34" s="689" t="e">
        <f>IF(D34="","",VLOOKUP(D34,'Списки участников'!A:K,12,FALSE))</f>
        <v>#N/A</v>
      </c>
      <c r="F34" s="484">
        <f>'1Ф КРУГ'!B19</f>
        <v>0</v>
      </c>
      <c r="G34" s="689" t="e">
        <f>IF(F34="","",VLOOKUP(F34,'Списки участников'!A:K,12,FALSE))</f>
        <v>#N/A</v>
      </c>
      <c r="H34" s="491"/>
      <c r="I34" s="880" t="str">
        <f>IF(H34="","",VLOOKUP(H34,'Списки участников'!A:K,12,FALSE))</f>
        <v/>
      </c>
      <c r="J34" s="915"/>
      <c r="K34" s="915"/>
      <c r="L34" s="915"/>
      <c r="M34" s="687"/>
      <c r="N34" s="687"/>
      <c r="O34" s="905" t="str">
        <f t="shared" si="0"/>
        <v/>
      </c>
      <c r="P34" s="930" t="str">
        <f t="shared" si="1"/>
        <v/>
      </c>
      <c r="Q34" s="931"/>
    </row>
    <row r="35" spans="1:17" x14ac:dyDescent="0.25">
      <c r="A35" s="486">
        <v>31</v>
      </c>
      <c r="B35" s="498">
        <v>4</v>
      </c>
      <c r="C35" s="490" t="s">
        <v>988</v>
      </c>
      <c r="D35" s="491">
        <f>'1Ф КРУГ'!B11</f>
        <v>0</v>
      </c>
      <c r="E35" s="689" t="e">
        <f>IF(D35="","",VLOOKUP(D35,'Списки участников'!A:K,12,FALSE))</f>
        <v>#N/A</v>
      </c>
      <c r="F35" s="484">
        <f>'1Ф КРУГ'!B17</f>
        <v>0</v>
      </c>
      <c r="G35" s="689" t="e">
        <f>IF(F35="","",VLOOKUP(F35,'Списки участников'!A:K,12,FALSE))</f>
        <v>#N/A</v>
      </c>
      <c r="H35" s="491"/>
      <c r="I35" s="880" t="str">
        <f>IF(H35="","",VLOOKUP(H35,'Списки участников'!A:K,12,FALSE))</f>
        <v/>
      </c>
      <c r="J35" s="915"/>
      <c r="K35" s="915"/>
      <c r="L35" s="915"/>
      <c r="M35" s="687"/>
      <c r="N35" s="687"/>
      <c r="O35" s="905" t="str">
        <f t="shared" si="0"/>
        <v/>
      </c>
      <c r="P35" s="930" t="str">
        <f t="shared" si="1"/>
        <v/>
      </c>
      <c r="Q35" s="931"/>
    </row>
    <row r="36" spans="1:17" ht="15.75" thickBot="1" x14ac:dyDescent="0.3">
      <c r="A36" s="486">
        <v>32</v>
      </c>
      <c r="B36" s="500">
        <v>4</v>
      </c>
      <c r="C36" s="493" t="s">
        <v>989</v>
      </c>
      <c r="D36" s="494">
        <f>'1Ф КРУГ'!B13</f>
        <v>0</v>
      </c>
      <c r="E36" s="701" t="e">
        <f>IF(D36="","",VLOOKUP(D36,'Списки участников'!A:K,12,FALSE))</f>
        <v>#N/A</v>
      </c>
      <c r="F36" s="494">
        <f>'1Ф КРУГ'!B15</f>
        <v>0</v>
      </c>
      <c r="G36" s="701" t="e">
        <f>IF(F36="","",VLOOKUP(F36,'Списки участников'!A:K,12,FALSE))</f>
        <v>#N/A</v>
      </c>
      <c r="H36" s="494"/>
      <c r="I36" s="701" t="str">
        <f>IF(H36="","",VLOOKUP(H36,'Списки участников'!A:K,12,FALSE))</f>
        <v/>
      </c>
      <c r="J36" s="702"/>
      <c r="K36" s="702"/>
      <c r="L36" s="702"/>
      <c r="M36" s="702"/>
      <c r="N36" s="702"/>
      <c r="O36" s="932" t="str">
        <f t="shared" si="0"/>
        <v/>
      </c>
      <c r="P36" s="933" t="str">
        <f t="shared" si="1"/>
        <v/>
      </c>
      <c r="Q36" s="701"/>
    </row>
    <row r="37" spans="1:17" ht="15" customHeight="1" x14ac:dyDescent="0.25">
      <c r="A37" s="486">
        <v>33</v>
      </c>
      <c r="B37" s="496">
        <v>5</v>
      </c>
      <c r="C37" s="483" t="s">
        <v>990</v>
      </c>
      <c r="D37" s="485">
        <f>'1Ф КРУГ'!B5</f>
        <v>0</v>
      </c>
      <c r="E37" s="689" t="e">
        <f>IF(D37="","",VLOOKUP(D37,'Списки участников'!A:K,12,FALSE))</f>
        <v>#N/A</v>
      </c>
      <c r="F37" s="485">
        <f>'1Ф КРУГ'!B27</f>
        <v>0</v>
      </c>
      <c r="G37" s="689" t="e">
        <f>IF(F37="","",VLOOKUP(F37,'Списки участников'!A:K,12,FALSE))</f>
        <v>#N/A</v>
      </c>
      <c r="H37" s="485"/>
      <c r="I37" s="880" t="str">
        <f>IF(H37="","",VLOOKUP(H37,'Списки участников'!A:K,12,FALSE))</f>
        <v/>
      </c>
      <c r="J37" s="688"/>
      <c r="K37" s="688"/>
      <c r="L37" s="688"/>
      <c r="M37" s="688"/>
      <c r="N37" s="688"/>
      <c r="O37" s="905" t="str">
        <f t="shared" si="0"/>
        <v/>
      </c>
      <c r="P37" s="930" t="str">
        <f t="shared" si="1"/>
        <v/>
      </c>
      <c r="Q37" s="922"/>
    </row>
    <row r="38" spans="1:17" x14ac:dyDescent="0.25">
      <c r="A38" s="486">
        <v>34</v>
      </c>
      <c r="B38" s="496">
        <v>5</v>
      </c>
      <c r="C38" s="906" t="s">
        <v>2633</v>
      </c>
      <c r="D38" s="484">
        <f>'1Ф КРУГ'!B25</f>
        <v>0</v>
      </c>
      <c r="E38" s="689" t="e">
        <f>IF(D38="","",VLOOKUP(D38,'Списки участников'!A:K,12,FALSE))</f>
        <v>#N/A</v>
      </c>
      <c r="F38" s="485">
        <f>'1Ф КРУГ'!B29</f>
        <v>0</v>
      </c>
      <c r="G38" s="689" t="e">
        <f>IF(F38="","",VLOOKUP(F38,'Списки участников'!A:K,12,FALSE))</f>
        <v>#N/A</v>
      </c>
      <c r="H38" s="484"/>
      <c r="I38" s="880" t="str">
        <f>IF(H38="","",VLOOKUP(H38,'Списки участников'!A:K,12,FALSE))</f>
        <v/>
      </c>
      <c r="J38" s="915"/>
      <c r="K38" s="915"/>
      <c r="L38" s="915"/>
      <c r="M38" s="486"/>
      <c r="N38" s="486"/>
      <c r="O38" s="905" t="str">
        <f t="shared" si="0"/>
        <v/>
      </c>
      <c r="P38" s="930" t="str">
        <f t="shared" si="1"/>
        <v/>
      </c>
      <c r="Q38" s="931"/>
    </row>
    <row r="39" spans="1:17" x14ac:dyDescent="0.25">
      <c r="A39" s="486">
        <v>35</v>
      </c>
      <c r="B39" s="496">
        <v>5</v>
      </c>
      <c r="C39" s="906" t="s">
        <v>2634</v>
      </c>
      <c r="D39" s="484">
        <f>'1Ф КРУГ'!B23</f>
        <v>0</v>
      </c>
      <c r="E39" s="689" t="e">
        <f>IF(D39="","",VLOOKUP(D39,'Списки участников'!A:K,12,FALSE))</f>
        <v>#N/A</v>
      </c>
      <c r="F39" s="485">
        <f>'1Ф КРУГ'!B31</f>
        <v>0</v>
      </c>
      <c r="G39" s="689" t="e">
        <f>IF(F39="","",VLOOKUP(F39,'Списки участников'!A:K,12,FALSE))</f>
        <v>#N/A</v>
      </c>
      <c r="H39" s="484"/>
      <c r="I39" s="880" t="str">
        <f>IF(H39="","",VLOOKUP(H39,'Списки участников'!A:K,12,FALSE))</f>
        <v/>
      </c>
      <c r="J39" s="915"/>
      <c r="K39" s="915"/>
      <c r="L39" s="915"/>
      <c r="M39" s="486"/>
      <c r="N39" s="486"/>
      <c r="O39" s="905" t="str">
        <f t="shared" si="0"/>
        <v/>
      </c>
      <c r="P39" s="930" t="str">
        <f t="shared" si="1"/>
        <v/>
      </c>
      <c r="Q39" s="931"/>
    </row>
    <row r="40" spans="1:17" x14ac:dyDescent="0.25">
      <c r="A40" s="486">
        <v>36</v>
      </c>
      <c r="B40" s="496">
        <v>5</v>
      </c>
      <c r="C40" s="906" t="s">
        <v>2635</v>
      </c>
      <c r="D40" s="484">
        <f>'1Ф КРУГ'!B21</f>
        <v>0</v>
      </c>
      <c r="E40" s="689" t="e">
        <f>IF(D40="","",VLOOKUP(D40,'Списки участников'!A:K,12,FALSE))</f>
        <v>#N/A</v>
      </c>
      <c r="F40" s="485">
        <f>'1Ф КРУГ'!B33</f>
        <v>0</v>
      </c>
      <c r="G40" s="689" t="e">
        <f>IF(F40="","",VLOOKUP(F40,'Списки участников'!A:K,12,FALSE))</f>
        <v>#N/A</v>
      </c>
      <c r="H40" s="484"/>
      <c r="I40" s="880" t="str">
        <f>IF(H40="","",VLOOKUP(H40,'Списки участников'!A:K,12,FALSE))</f>
        <v/>
      </c>
      <c r="J40" s="915"/>
      <c r="K40" s="915"/>
      <c r="L40" s="915"/>
      <c r="M40" s="486"/>
      <c r="N40" s="486"/>
      <c r="O40" s="905" t="str">
        <f t="shared" si="0"/>
        <v/>
      </c>
      <c r="P40" s="930" t="str">
        <f t="shared" si="1"/>
        <v/>
      </c>
      <c r="Q40" s="931"/>
    </row>
    <row r="41" spans="1:17" x14ac:dyDescent="0.25">
      <c r="A41" s="486">
        <v>37</v>
      </c>
      <c r="B41" s="489">
        <v>5</v>
      </c>
      <c r="C41" s="906" t="s">
        <v>2636</v>
      </c>
      <c r="D41" s="484">
        <f>'1Ф КРУГ'!B19</f>
        <v>0</v>
      </c>
      <c r="E41" s="689" t="e">
        <f>IF(D41="","",VLOOKUP(D41,'Списки участников'!A:K,12,FALSE))</f>
        <v>#N/A</v>
      </c>
      <c r="F41" s="485">
        <f>'1Ф КРУГ'!B35</f>
        <v>0</v>
      </c>
      <c r="G41" s="689" t="e">
        <f>IF(F41="","",VLOOKUP(F41,'Списки участников'!A:K,12,FALSE))</f>
        <v>#N/A</v>
      </c>
      <c r="H41" s="484"/>
      <c r="I41" s="880" t="str">
        <f>IF(H41="","",VLOOKUP(H41,'Списки участников'!A:K,12,FALSE))</f>
        <v/>
      </c>
      <c r="J41" s="915"/>
      <c r="K41" s="915"/>
      <c r="L41" s="915"/>
      <c r="M41" s="486"/>
      <c r="N41" s="486"/>
      <c r="O41" s="905" t="str">
        <f t="shared" si="0"/>
        <v/>
      </c>
      <c r="P41" s="930" t="str">
        <f t="shared" si="1"/>
        <v/>
      </c>
      <c r="Q41" s="931"/>
    </row>
    <row r="42" spans="1:17" x14ac:dyDescent="0.25">
      <c r="A42" s="486">
        <v>38</v>
      </c>
      <c r="B42" s="496">
        <v>5</v>
      </c>
      <c r="C42" s="490" t="s">
        <v>991</v>
      </c>
      <c r="D42" s="491">
        <f>'1Ф КРУГ'!B7</f>
        <v>0</v>
      </c>
      <c r="E42" s="689" t="e">
        <f>IF(D42="","",VLOOKUP(D42,'Списки участников'!A:K,12,FALSE))</f>
        <v>#N/A</v>
      </c>
      <c r="F42" s="485">
        <f>'1Ф КРУГ'!B17</f>
        <v>0</v>
      </c>
      <c r="G42" s="689" t="e">
        <f>IF(F42="","",VLOOKUP(F42,'Списки участников'!A:K,12,FALSE))</f>
        <v>#N/A</v>
      </c>
      <c r="H42" s="491"/>
      <c r="I42" s="880" t="str">
        <f>IF(H42="","",VLOOKUP(H42,'Списки участников'!A:K,12,FALSE))</f>
        <v/>
      </c>
      <c r="J42" s="915"/>
      <c r="K42" s="915"/>
      <c r="L42" s="915"/>
      <c r="M42" s="687"/>
      <c r="N42" s="687"/>
      <c r="O42" s="905" t="str">
        <f t="shared" si="0"/>
        <v/>
      </c>
      <c r="P42" s="930" t="str">
        <f t="shared" si="1"/>
        <v/>
      </c>
      <c r="Q42" s="931"/>
    </row>
    <row r="43" spans="1:17" x14ac:dyDescent="0.25">
      <c r="A43" s="486">
        <v>39</v>
      </c>
      <c r="B43" s="496">
        <v>5</v>
      </c>
      <c r="C43" s="490" t="s">
        <v>992</v>
      </c>
      <c r="D43" s="491">
        <f>'1Ф КРУГ'!B9</f>
        <v>0</v>
      </c>
      <c r="E43" s="689" t="e">
        <f>IF(D43="","",VLOOKUP(D43,'Списки участников'!A:K,12,FALSE))</f>
        <v>#N/A</v>
      </c>
      <c r="F43" s="485">
        <f>'1Ф КРУГ'!B15</f>
        <v>0</v>
      </c>
      <c r="G43" s="689" t="e">
        <f>IF(F43="","",VLOOKUP(F43,'Списки участников'!A:K,12,FALSE))</f>
        <v>#N/A</v>
      </c>
      <c r="H43" s="491"/>
      <c r="I43" s="880" t="str">
        <f>IF(H43="","",VLOOKUP(H43,'Списки участников'!A:K,12,FALSE))</f>
        <v/>
      </c>
      <c r="J43" s="915"/>
      <c r="K43" s="915"/>
      <c r="L43" s="915"/>
      <c r="M43" s="687"/>
      <c r="N43" s="687"/>
      <c r="O43" s="905" t="str">
        <f t="shared" si="0"/>
        <v/>
      </c>
      <c r="P43" s="930" t="str">
        <f t="shared" si="1"/>
        <v/>
      </c>
      <c r="Q43" s="931"/>
    </row>
    <row r="44" spans="1:17" ht="15.75" thickBot="1" x14ac:dyDescent="0.3">
      <c r="A44" s="486">
        <v>40</v>
      </c>
      <c r="B44" s="500">
        <v>5</v>
      </c>
      <c r="C44" s="493" t="s">
        <v>993</v>
      </c>
      <c r="D44" s="494">
        <f>'1Ф КРУГ'!B11</f>
        <v>0</v>
      </c>
      <c r="E44" s="701" t="e">
        <f>IF(D44="","",VLOOKUP(D44,'Списки участников'!A:K,12,FALSE))</f>
        <v>#N/A</v>
      </c>
      <c r="F44" s="494">
        <f>'1Ф КРУГ'!B13</f>
        <v>0</v>
      </c>
      <c r="G44" s="701" t="e">
        <f>IF(F44="","",VLOOKUP(F44,'Списки участников'!A:K,12,FALSE))</f>
        <v>#N/A</v>
      </c>
      <c r="H44" s="494"/>
      <c r="I44" s="701" t="str">
        <f>IF(H44="","",VLOOKUP(H44,'Списки участников'!A:K,12,FALSE))</f>
        <v/>
      </c>
      <c r="J44" s="702"/>
      <c r="K44" s="702"/>
      <c r="L44" s="702"/>
      <c r="M44" s="702"/>
      <c r="N44" s="702"/>
      <c r="O44" s="932" t="str">
        <f t="shared" si="0"/>
        <v/>
      </c>
      <c r="P44" s="933" t="str">
        <f t="shared" si="1"/>
        <v/>
      </c>
      <c r="Q44" s="701"/>
    </row>
    <row r="45" spans="1:17" ht="15" customHeight="1" x14ac:dyDescent="0.25">
      <c r="A45" s="486">
        <v>41</v>
      </c>
      <c r="B45" s="482">
        <v>6</v>
      </c>
      <c r="C45" s="907" t="s">
        <v>2637</v>
      </c>
      <c r="D45" s="485">
        <f>'1Ф КРУГ'!B5</f>
        <v>0</v>
      </c>
      <c r="E45" s="689" t="e">
        <f>IF(D45="","",VLOOKUP(D45,'Списки участников'!A:K,12,FALSE))</f>
        <v>#N/A</v>
      </c>
      <c r="F45" s="485">
        <f>'1Ф КРУГ'!B25</f>
        <v>0</v>
      </c>
      <c r="G45" s="689" t="e">
        <f>IF(F45="","",VLOOKUP(F45,'Списки участников'!A:K,12,FALSE))</f>
        <v>#N/A</v>
      </c>
      <c r="H45" s="485"/>
      <c r="I45" s="880" t="str">
        <f>IF(H45="","",VLOOKUP(H45,'Списки участников'!A:K,12,FALSE))</f>
        <v/>
      </c>
      <c r="J45" s="688"/>
      <c r="K45" s="688"/>
      <c r="L45" s="688"/>
      <c r="M45" s="688"/>
      <c r="N45" s="688"/>
      <c r="O45" s="905" t="str">
        <f t="shared" si="0"/>
        <v/>
      </c>
      <c r="P45" s="930" t="str">
        <f t="shared" si="1"/>
        <v/>
      </c>
      <c r="Q45" s="922"/>
    </row>
    <row r="46" spans="1:17" x14ac:dyDescent="0.25">
      <c r="A46" s="486">
        <v>42</v>
      </c>
      <c r="B46" s="496">
        <v>6</v>
      </c>
      <c r="C46" s="906" t="s">
        <v>2638</v>
      </c>
      <c r="D46" s="484">
        <f>'1Ф КРУГ'!B23</f>
        <v>0</v>
      </c>
      <c r="E46" s="689" t="e">
        <f>IF(D46="","",VLOOKUP(D46,'Списки участников'!A:K,12,FALSE))</f>
        <v>#N/A</v>
      </c>
      <c r="F46" s="484">
        <f>'1Ф КРУГ'!B27</f>
        <v>0</v>
      </c>
      <c r="G46" s="689" t="e">
        <f>IF(F46="","",VLOOKUP(F46,'Списки участников'!A:K,12,FALSE))</f>
        <v>#N/A</v>
      </c>
      <c r="H46" s="484"/>
      <c r="I46" s="880" t="str">
        <f>IF(H46="","",VLOOKUP(H46,'Списки участников'!A:K,12,FALSE))</f>
        <v/>
      </c>
      <c r="J46" s="915"/>
      <c r="K46" s="915"/>
      <c r="L46" s="915"/>
      <c r="M46" s="486"/>
      <c r="N46" s="486"/>
      <c r="O46" s="905" t="str">
        <f t="shared" si="0"/>
        <v/>
      </c>
      <c r="P46" s="930" t="str">
        <f t="shared" si="1"/>
        <v/>
      </c>
      <c r="Q46" s="931"/>
    </row>
    <row r="47" spans="1:17" x14ac:dyDescent="0.25">
      <c r="A47" s="486">
        <v>43</v>
      </c>
      <c r="B47" s="496">
        <v>6</v>
      </c>
      <c r="C47" s="906" t="s">
        <v>2639</v>
      </c>
      <c r="D47" s="484">
        <f>'1Ф КРУГ'!B21</f>
        <v>0</v>
      </c>
      <c r="E47" s="689" t="e">
        <f>IF(D47="","",VLOOKUP(D47,'Списки участников'!A:K,12,FALSE))</f>
        <v>#N/A</v>
      </c>
      <c r="F47" s="484">
        <f>'1Ф КРУГ'!B29</f>
        <v>0</v>
      </c>
      <c r="G47" s="689" t="e">
        <f>IF(F47="","",VLOOKUP(F47,'Списки участников'!A:K,12,FALSE))</f>
        <v>#N/A</v>
      </c>
      <c r="H47" s="484"/>
      <c r="I47" s="880" t="str">
        <f>IF(H47="","",VLOOKUP(H47,'Списки участников'!A:K,12,FALSE))</f>
        <v/>
      </c>
      <c r="J47" s="915"/>
      <c r="K47" s="915"/>
      <c r="L47" s="915"/>
      <c r="M47" s="486"/>
      <c r="N47" s="486"/>
      <c r="O47" s="905" t="str">
        <f t="shared" si="0"/>
        <v/>
      </c>
      <c r="P47" s="930" t="str">
        <f t="shared" si="1"/>
        <v/>
      </c>
      <c r="Q47" s="931"/>
    </row>
    <row r="48" spans="1:17" x14ac:dyDescent="0.25">
      <c r="A48" s="486">
        <v>44</v>
      </c>
      <c r="B48" s="496">
        <v>6</v>
      </c>
      <c r="C48" s="906" t="s">
        <v>2640</v>
      </c>
      <c r="D48" s="484">
        <f>'1Ф КРУГ'!B19</f>
        <v>0</v>
      </c>
      <c r="E48" s="689" t="e">
        <f>IF(D48="","",VLOOKUP(D48,'Списки участников'!A:K,12,FALSE))</f>
        <v>#N/A</v>
      </c>
      <c r="F48" s="484">
        <f>'1Ф КРУГ'!B31</f>
        <v>0</v>
      </c>
      <c r="G48" s="689" t="e">
        <f>IF(F48="","",VLOOKUP(F48,'Списки участников'!A:K,12,FALSE))</f>
        <v>#N/A</v>
      </c>
      <c r="H48" s="484"/>
      <c r="I48" s="880" t="str">
        <f>IF(H48="","",VLOOKUP(H48,'Списки участников'!A:K,12,FALSE))</f>
        <v/>
      </c>
      <c r="J48" s="915"/>
      <c r="K48" s="915"/>
      <c r="L48" s="915"/>
      <c r="M48" s="486"/>
      <c r="N48" s="486"/>
      <c r="O48" s="905" t="str">
        <f t="shared" si="0"/>
        <v/>
      </c>
      <c r="P48" s="930" t="str">
        <f t="shared" si="1"/>
        <v/>
      </c>
      <c r="Q48" s="931"/>
    </row>
    <row r="49" spans="1:21" x14ac:dyDescent="0.25">
      <c r="A49" s="486">
        <v>45</v>
      </c>
      <c r="B49" s="501">
        <v>6</v>
      </c>
      <c r="C49" s="906" t="s">
        <v>2641</v>
      </c>
      <c r="D49" s="484">
        <f>'1Ф КРУГ'!B17</f>
        <v>0</v>
      </c>
      <c r="E49" s="689" t="e">
        <f>IF(D49="","",VLOOKUP(D49,'Списки участников'!A:K,12,FALSE))</f>
        <v>#N/A</v>
      </c>
      <c r="F49" s="484">
        <f>'1Ф КРУГ'!B33</f>
        <v>0</v>
      </c>
      <c r="G49" s="689" t="e">
        <f>IF(F49="","",VLOOKUP(F49,'Списки участников'!A:K,12,FALSE))</f>
        <v>#N/A</v>
      </c>
      <c r="H49" s="484"/>
      <c r="I49" s="880" t="str">
        <f>IF(H49="","",VLOOKUP(H49,'Списки участников'!A:K,12,FALSE))</f>
        <v/>
      </c>
      <c r="J49" s="915"/>
      <c r="K49" s="915"/>
      <c r="L49" s="915"/>
      <c r="M49" s="486"/>
      <c r="N49" s="486"/>
      <c r="O49" s="905" t="str">
        <f t="shared" si="0"/>
        <v/>
      </c>
      <c r="P49" s="930" t="str">
        <f t="shared" si="1"/>
        <v/>
      </c>
      <c r="Q49" s="931"/>
    </row>
    <row r="50" spans="1:21" x14ac:dyDescent="0.25">
      <c r="A50" s="486">
        <v>46</v>
      </c>
      <c r="B50" s="496">
        <v>6</v>
      </c>
      <c r="C50" s="908" t="s">
        <v>2642</v>
      </c>
      <c r="D50" s="491">
        <f>'1Ф КРУГ'!B15</f>
        <v>0</v>
      </c>
      <c r="E50" s="689" t="e">
        <f>IF(D50="","",VLOOKUP(D50,'Списки участников'!A:K,12,FALSE))</f>
        <v>#N/A</v>
      </c>
      <c r="F50" s="484">
        <f>'1Ф КРУГ'!B35</f>
        <v>0</v>
      </c>
      <c r="G50" s="689" t="e">
        <f>IF(F50="","",VLOOKUP(F50,'Списки участников'!A:K,12,FALSE))</f>
        <v>#N/A</v>
      </c>
      <c r="H50" s="491"/>
      <c r="I50" s="880" t="str">
        <f>IF(H50="","",VLOOKUP(H50,'Списки участников'!A:K,12,FALSE))</f>
        <v/>
      </c>
      <c r="J50" s="915"/>
      <c r="K50" s="915"/>
      <c r="L50" s="915"/>
      <c r="M50" s="687"/>
      <c r="N50" s="687"/>
      <c r="O50" s="905" t="str">
        <f t="shared" si="0"/>
        <v/>
      </c>
      <c r="P50" s="930" t="str">
        <f t="shared" si="1"/>
        <v/>
      </c>
      <c r="Q50" s="931"/>
    </row>
    <row r="51" spans="1:21" x14ac:dyDescent="0.25">
      <c r="A51" s="486">
        <v>47</v>
      </c>
      <c r="B51" s="496">
        <v>6</v>
      </c>
      <c r="C51" s="490" t="s">
        <v>994</v>
      </c>
      <c r="D51" s="491">
        <f>'1Ф КРУГ'!B7</f>
        <v>0</v>
      </c>
      <c r="E51" s="689" t="e">
        <f>IF(D51="","",VLOOKUP(D51,'Списки участников'!A:K,12,FALSE))</f>
        <v>#N/A</v>
      </c>
      <c r="F51" s="484">
        <f>'1Ф КРУГ'!B13</f>
        <v>0</v>
      </c>
      <c r="G51" s="689" t="e">
        <f>IF(F51="","",VLOOKUP(F51,'Списки участников'!A:K,12,FALSE))</f>
        <v>#N/A</v>
      </c>
      <c r="H51" s="491"/>
      <c r="I51" s="880" t="str">
        <f>IF(H51="","",VLOOKUP(H51,'Списки участников'!A:K,12,FALSE))</f>
        <v/>
      </c>
      <c r="J51" s="915"/>
      <c r="K51" s="915"/>
      <c r="L51" s="915"/>
      <c r="M51" s="687"/>
      <c r="N51" s="687"/>
      <c r="O51" s="905" t="str">
        <f t="shared" si="0"/>
        <v/>
      </c>
      <c r="P51" s="930" t="str">
        <f t="shared" si="1"/>
        <v/>
      </c>
      <c r="Q51" s="931"/>
    </row>
    <row r="52" spans="1:21" ht="15.75" thickBot="1" x14ac:dyDescent="0.3">
      <c r="A52" s="486">
        <v>48</v>
      </c>
      <c r="B52" s="497">
        <v>6</v>
      </c>
      <c r="C52" s="493" t="s">
        <v>995</v>
      </c>
      <c r="D52" s="494">
        <f>'1Ф КРУГ'!B9</f>
        <v>0</v>
      </c>
      <c r="E52" s="701" t="e">
        <f>IF(D52="","",VLOOKUP(D52,'Списки участников'!A:K,12,FALSE))</f>
        <v>#N/A</v>
      </c>
      <c r="F52" s="494">
        <f>'1Ф КРУГ'!B11</f>
        <v>0</v>
      </c>
      <c r="G52" s="701" t="e">
        <f>IF(F52="","",VLOOKUP(F52,'Списки участников'!A:K,12,FALSE))</f>
        <v>#N/A</v>
      </c>
      <c r="H52" s="494"/>
      <c r="I52" s="701" t="str">
        <f>IF(H52="","",VLOOKUP(H52,'Списки участников'!A:K,12,FALSE))</f>
        <v/>
      </c>
      <c r="J52" s="702"/>
      <c r="K52" s="702"/>
      <c r="L52" s="702"/>
      <c r="M52" s="702"/>
      <c r="N52" s="702"/>
      <c r="O52" s="932" t="str">
        <f t="shared" si="0"/>
        <v/>
      </c>
      <c r="P52" s="933" t="str">
        <f t="shared" si="1"/>
        <v/>
      </c>
      <c r="Q52" s="701"/>
    </row>
    <row r="53" spans="1:21" ht="15" customHeight="1" x14ac:dyDescent="0.25">
      <c r="A53" s="486">
        <v>49</v>
      </c>
      <c r="B53" s="498">
        <v>7</v>
      </c>
      <c r="C53" s="483" t="s">
        <v>996</v>
      </c>
      <c r="D53" s="485">
        <f>'1Ф КРУГ'!B5</f>
        <v>0</v>
      </c>
      <c r="E53" s="689" t="e">
        <f>IF(D53="","",VLOOKUP(D53,'Списки участников'!A:K,12,FALSE))</f>
        <v>#N/A</v>
      </c>
      <c r="F53" s="485">
        <f>'1Ф КРУГ'!B23</f>
        <v>0</v>
      </c>
      <c r="G53" s="689" t="e">
        <f>IF(F53="","",VLOOKUP(F53,'Списки участников'!A:K,12,FALSE))</f>
        <v>#N/A</v>
      </c>
      <c r="H53" s="485"/>
      <c r="I53" s="880" t="str">
        <f>IF(H53="","",VLOOKUP(H53,'Списки участников'!A:K,12,FALSE))</f>
        <v/>
      </c>
      <c r="J53" s="688"/>
      <c r="K53" s="688"/>
      <c r="L53" s="688"/>
      <c r="M53" s="688"/>
      <c r="N53" s="688"/>
      <c r="O53" s="905" t="str">
        <f t="shared" si="0"/>
        <v/>
      </c>
      <c r="P53" s="930" t="str">
        <f t="shared" si="1"/>
        <v/>
      </c>
      <c r="Q53" s="922"/>
    </row>
    <row r="54" spans="1:21" x14ac:dyDescent="0.25">
      <c r="A54" s="486">
        <v>50</v>
      </c>
      <c r="B54" s="496">
        <v>7</v>
      </c>
      <c r="C54" s="906" t="s">
        <v>2643</v>
      </c>
      <c r="D54" s="484">
        <f>'1Ф КРУГ'!B21</f>
        <v>0</v>
      </c>
      <c r="E54" s="689" t="e">
        <f>IF(D54="","",VLOOKUP(D54,'Списки участников'!A:K,12,FALSE))</f>
        <v>#N/A</v>
      </c>
      <c r="F54" s="485">
        <f>'1Ф КРУГ'!B25</f>
        <v>0</v>
      </c>
      <c r="G54" s="689" t="e">
        <f>IF(F54="","",VLOOKUP(F54,'Списки участников'!A:K,12,FALSE))</f>
        <v>#N/A</v>
      </c>
      <c r="H54" s="484"/>
      <c r="I54" s="880" t="str">
        <f>IF(H54="","",VLOOKUP(H54,'Списки участников'!A:K,12,FALSE))</f>
        <v/>
      </c>
      <c r="J54" s="915"/>
      <c r="K54" s="915"/>
      <c r="L54" s="915"/>
      <c r="M54" s="486"/>
      <c r="N54" s="486"/>
      <c r="O54" s="905" t="str">
        <f t="shared" si="0"/>
        <v/>
      </c>
      <c r="P54" s="930" t="str">
        <f t="shared" si="1"/>
        <v/>
      </c>
      <c r="Q54" s="931"/>
    </row>
    <row r="55" spans="1:21" x14ac:dyDescent="0.25">
      <c r="A55" s="486">
        <v>51</v>
      </c>
      <c r="B55" s="496">
        <v>7</v>
      </c>
      <c r="C55" s="906" t="s">
        <v>2644</v>
      </c>
      <c r="D55" s="484">
        <f>'1Ф КРУГ'!B19</f>
        <v>0</v>
      </c>
      <c r="E55" s="689" t="e">
        <f>IF(D55="","",VLOOKUP(D55,'Списки участников'!A:K,12,FALSE))</f>
        <v>#N/A</v>
      </c>
      <c r="F55" s="485">
        <f>'1Ф КРУГ'!B27</f>
        <v>0</v>
      </c>
      <c r="G55" s="689" t="e">
        <f>IF(F55="","",VLOOKUP(F55,'Списки участников'!A:K,12,FALSE))</f>
        <v>#N/A</v>
      </c>
      <c r="H55" s="484"/>
      <c r="I55" s="880" t="str">
        <f>IF(H55="","",VLOOKUP(H55,'Списки участников'!A:K,12,FALSE))</f>
        <v/>
      </c>
      <c r="J55" s="915"/>
      <c r="K55" s="915"/>
      <c r="L55" s="915"/>
      <c r="M55" s="486"/>
      <c r="N55" s="486"/>
      <c r="O55" s="905" t="str">
        <f t="shared" si="0"/>
        <v/>
      </c>
      <c r="P55" s="930" t="str">
        <f t="shared" si="1"/>
        <v/>
      </c>
      <c r="Q55" s="931"/>
    </row>
    <row r="56" spans="1:21" x14ac:dyDescent="0.25">
      <c r="A56" s="486">
        <v>52</v>
      </c>
      <c r="B56" s="496">
        <v>7</v>
      </c>
      <c r="C56" s="906" t="s">
        <v>2645</v>
      </c>
      <c r="D56" s="484">
        <f>'1Ф КРУГ'!B17</f>
        <v>0</v>
      </c>
      <c r="E56" s="689" t="e">
        <f>IF(D56="","",VLOOKUP(D56,'Списки участников'!A:K,12,FALSE))</f>
        <v>#N/A</v>
      </c>
      <c r="F56" s="485">
        <f>'1Ф КРУГ'!B29</f>
        <v>0</v>
      </c>
      <c r="G56" s="689" t="e">
        <f>IF(F56="","",VLOOKUP(F56,'Списки участников'!A:K,12,FALSE))</f>
        <v>#N/A</v>
      </c>
      <c r="H56" s="484"/>
      <c r="I56" s="880" t="str">
        <f>IF(H56="","",VLOOKUP(H56,'Списки участников'!A:K,12,FALSE))</f>
        <v/>
      </c>
      <c r="J56" s="915"/>
      <c r="K56" s="915"/>
      <c r="L56" s="915"/>
      <c r="M56" s="486"/>
      <c r="N56" s="486"/>
      <c r="O56" s="905" t="str">
        <f t="shared" si="0"/>
        <v/>
      </c>
      <c r="P56" s="930" t="str">
        <f t="shared" si="1"/>
        <v/>
      </c>
      <c r="Q56" s="931"/>
    </row>
    <row r="57" spans="1:21" x14ac:dyDescent="0.25">
      <c r="A57" s="486">
        <v>53</v>
      </c>
      <c r="B57" s="501">
        <v>7</v>
      </c>
      <c r="C57" s="906" t="s">
        <v>2646</v>
      </c>
      <c r="D57" s="484">
        <f>'1Ф КРУГ'!B15</f>
        <v>0</v>
      </c>
      <c r="E57" s="689" t="e">
        <f>IF(D57="","",VLOOKUP(D57,'Списки участников'!A:K,12,FALSE))</f>
        <v>#N/A</v>
      </c>
      <c r="F57" s="485">
        <f>'1Ф КРУГ'!B31</f>
        <v>0</v>
      </c>
      <c r="G57" s="689" t="e">
        <f>IF(F57="","",VLOOKUP(F57,'Списки участников'!A:K,12,FALSE))</f>
        <v>#N/A</v>
      </c>
      <c r="H57" s="484"/>
      <c r="I57" s="880" t="str">
        <f>IF(H57="","",VLOOKUP(H57,'Списки участников'!A:K,12,FALSE))</f>
        <v/>
      </c>
      <c r="J57" s="915"/>
      <c r="K57" s="915"/>
      <c r="L57" s="915"/>
      <c r="M57" s="486"/>
      <c r="N57" s="486"/>
      <c r="O57" s="905" t="str">
        <f t="shared" si="0"/>
        <v/>
      </c>
      <c r="P57" s="930" t="str">
        <f t="shared" si="1"/>
        <v/>
      </c>
      <c r="Q57" s="931"/>
    </row>
    <row r="58" spans="1:21" x14ac:dyDescent="0.25">
      <c r="A58" s="486">
        <v>54</v>
      </c>
      <c r="B58" s="496">
        <v>7</v>
      </c>
      <c r="C58" s="908" t="s">
        <v>2647</v>
      </c>
      <c r="D58" s="491">
        <f>'1Ф КРУГ'!B13</f>
        <v>0</v>
      </c>
      <c r="E58" s="689" t="e">
        <f>IF(D58="","",VLOOKUP(D58,'Списки участников'!A:K,12,FALSE))</f>
        <v>#N/A</v>
      </c>
      <c r="F58" s="485">
        <f>'1Ф КРУГ'!B33</f>
        <v>0</v>
      </c>
      <c r="G58" s="689" t="e">
        <f>IF(F58="","",VLOOKUP(F58,'Списки участников'!A:K,12,FALSE))</f>
        <v>#N/A</v>
      </c>
      <c r="H58" s="491"/>
      <c r="I58" s="880" t="str">
        <f>IF(H58="","",VLOOKUP(H58,'Списки участников'!A:K,12,FALSE))</f>
        <v/>
      </c>
      <c r="J58" s="915"/>
      <c r="K58" s="915"/>
      <c r="L58" s="915"/>
      <c r="M58" s="687"/>
      <c r="N58" s="687"/>
      <c r="O58" s="905" t="str">
        <f t="shared" si="0"/>
        <v/>
      </c>
      <c r="P58" s="930" t="str">
        <f t="shared" si="1"/>
        <v/>
      </c>
      <c r="Q58" s="931"/>
    </row>
    <row r="59" spans="1:21" x14ac:dyDescent="0.25">
      <c r="A59" s="486">
        <v>55</v>
      </c>
      <c r="B59" s="496">
        <v>7</v>
      </c>
      <c r="C59" s="908" t="s">
        <v>2648</v>
      </c>
      <c r="D59" s="491">
        <f>'1Ф КРУГ'!B11</f>
        <v>0</v>
      </c>
      <c r="E59" s="689" t="e">
        <f>IF(D59="","",VLOOKUP(D59,'Списки участников'!A:K,12,FALSE))</f>
        <v>#N/A</v>
      </c>
      <c r="F59" s="485">
        <f>'1Ф КРУГ'!B35</f>
        <v>0</v>
      </c>
      <c r="G59" s="689" t="e">
        <f>IF(F59="","",VLOOKUP(F59,'Списки участников'!A:K,12,FALSE))</f>
        <v>#N/A</v>
      </c>
      <c r="H59" s="491"/>
      <c r="I59" s="880" t="str">
        <f>IF(H59="","",VLOOKUP(H59,'Списки участников'!A:K,12,FALSE))</f>
        <v/>
      </c>
      <c r="J59" s="915"/>
      <c r="K59" s="915"/>
      <c r="L59" s="915"/>
      <c r="M59" s="687"/>
      <c r="N59" s="687"/>
      <c r="O59" s="905" t="str">
        <f t="shared" si="0"/>
        <v/>
      </c>
      <c r="P59" s="930" t="str">
        <f t="shared" si="1"/>
        <v/>
      </c>
      <c r="Q59" s="931"/>
      <c r="R59" s="511"/>
      <c r="S59" s="511"/>
      <c r="T59" s="511"/>
      <c r="U59" s="511"/>
    </row>
    <row r="60" spans="1:21" ht="15.75" thickBot="1" x14ac:dyDescent="0.3">
      <c r="A60" s="486">
        <v>56</v>
      </c>
      <c r="B60" s="500">
        <v>7</v>
      </c>
      <c r="C60" s="493" t="s">
        <v>997</v>
      </c>
      <c r="D60" s="494">
        <f>'1Ф КРУГ'!B7</f>
        <v>0</v>
      </c>
      <c r="E60" s="701" t="e">
        <f>IF(D60="","",VLOOKUP(D60,'Списки участников'!A:K,12,FALSE))</f>
        <v>#N/A</v>
      </c>
      <c r="F60" s="494">
        <f>'1Ф КРУГ'!B9</f>
        <v>0</v>
      </c>
      <c r="G60" s="701" t="e">
        <f>IF(F60="","",VLOOKUP(F60,'Списки участников'!A:K,12,FALSE))</f>
        <v>#N/A</v>
      </c>
      <c r="H60" s="494"/>
      <c r="I60" s="701" t="str">
        <f>IF(H60="","",VLOOKUP(H60,'Списки участников'!A:K,12,FALSE))</f>
        <v/>
      </c>
      <c r="J60" s="702"/>
      <c r="K60" s="702"/>
      <c r="L60" s="702"/>
      <c r="M60" s="702"/>
      <c r="N60" s="702"/>
      <c r="O60" s="932" t="str">
        <f t="shared" si="0"/>
        <v/>
      </c>
      <c r="P60" s="933" t="str">
        <f t="shared" si="1"/>
        <v/>
      </c>
      <c r="Q60" s="701"/>
      <c r="R60" s="511"/>
      <c r="S60" s="511"/>
      <c r="T60" s="511"/>
      <c r="U60" s="511"/>
    </row>
    <row r="61" spans="1:21" ht="15" customHeight="1" x14ac:dyDescent="0.25">
      <c r="A61" s="486">
        <v>57</v>
      </c>
      <c r="B61" s="482">
        <v>8</v>
      </c>
      <c r="C61" s="907" t="s">
        <v>2649</v>
      </c>
      <c r="D61" s="485">
        <f>'1Ф КРУГ'!B5</f>
        <v>0</v>
      </c>
      <c r="E61" s="689" t="e">
        <f>IF(D61="","",VLOOKUP(D61,'Списки участников'!A:K,12,FALSE))</f>
        <v>#N/A</v>
      </c>
      <c r="F61" s="485">
        <f>'1Ф КРУГ'!B21</f>
        <v>0</v>
      </c>
      <c r="G61" s="689" t="e">
        <f>IF(F61="","",VLOOKUP(F61,'Списки участников'!A:K,12,FALSE))</f>
        <v>#N/A</v>
      </c>
      <c r="H61" s="485"/>
      <c r="I61" s="880" t="str">
        <f>IF(H61="","",VLOOKUP(H61,'Списки участников'!A:K,12,FALSE))</f>
        <v/>
      </c>
      <c r="J61" s="688"/>
      <c r="K61" s="688"/>
      <c r="L61" s="688"/>
      <c r="M61" s="688"/>
      <c r="N61" s="688"/>
      <c r="O61" s="905" t="str">
        <f t="shared" si="0"/>
        <v/>
      </c>
      <c r="P61" s="930" t="str">
        <f t="shared" si="1"/>
        <v/>
      </c>
      <c r="Q61" s="922"/>
    </row>
    <row r="62" spans="1:21" x14ac:dyDescent="0.25">
      <c r="A62" s="486">
        <v>58</v>
      </c>
      <c r="B62" s="496">
        <v>8</v>
      </c>
      <c r="C62" s="906" t="s">
        <v>2650</v>
      </c>
      <c r="D62" s="484">
        <f>'1Ф КРУГ'!B19</f>
        <v>0</v>
      </c>
      <c r="E62" s="689" t="e">
        <f>IF(D62="","",VLOOKUP(D62,'Списки участников'!A:K,12,FALSE))</f>
        <v>#N/A</v>
      </c>
      <c r="F62" s="484">
        <f>'1Ф КРУГ'!B23</f>
        <v>0</v>
      </c>
      <c r="G62" s="689" t="e">
        <f>IF(F62="","",VLOOKUP(F62,'Списки участников'!A:K,12,FALSE))</f>
        <v>#N/A</v>
      </c>
      <c r="H62" s="484"/>
      <c r="I62" s="880" t="str">
        <f>IF(H62="","",VLOOKUP(H62,'Списки участников'!A:K,12,FALSE))</f>
        <v/>
      </c>
      <c r="J62" s="915"/>
      <c r="K62" s="915"/>
      <c r="L62" s="915"/>
      <c r="M62" s="915"/>
      <c r="N62" s="486"/>
      <c r="O62" s="905" t="str">
        <f t="shared" si="0"/>
        <v/>
      </c>
      <c r="P62" s="930" t="str">
        <f t="shared" si="1"/>
        <v/>
      </c>
      <c r="Q62" s="931"/>
    </row>
    <row r="63" spans="1:21" x14ac:dyDescent="0.25">
      <c r="A63" s="486">
        <v>59</v>
      </c>
      <c r="B63" s="496">
        <v>8</v>
      </c>
      <c r="C63" s="906" t="s">
        <v>2651</v>
      </c>
      <c r="D63" s="484">
        <f>'1Ф КРУГ'!B17</f>
        <v>0</v>
      </c>
      <c r="E63" s="689" t="e">
        <f>IF(D63="","",VLOOKUP(D63,'Списки участников'!A:K,12,FALSE))</f>
        <v>#N/A</v>
      </c>
      <c r="F63" s="484">
        <f>'1Ф КРУГ'!B25</f>
        <v>0</v>
      </c>
      <c r="G63" s="689" t="e">
        <f>IF(F63="","",VLOOKUP(F63,'Списки участников'!A:K,12,FALSE))</f>
        <v>#N/A</v>
      </c>
      <c r="H63" s="484"/>
      <c r="I63" s="880" t="str">
        <f>IF(H63="","",VLOOKUP(H63,'Списки участников'!A:K,12,FALSE))</f>
        <v/>
      </c>
      <c r="J63" s="915"/>
      <c r="K63" s="915"/>
      <c r="L63" s="915"/>
      <c r="M63" s="915"/>
      <c r="N63" s="486"/>
      <c r="O63" s="905" t="str">
        <f t="shared" si="0"/>
        <v/>
      </c>
      <c r="P63" s="930" t="str">
        <f t="shared" si="1"/>
        <v/>
      </c>
      <c r="Q63" s="931"/>
    </row>
    <row r="64" spans="1:21" x14ac:dyDescent="0.25">
      <c r="A64" s="486">
        <v>60</v>
      </c>
      <c r="B64" s="496">
        <v>8</v>
      </c>
      <c r="C64" s="906" t="s">
        <v>2652</v>
      </c>
      <c r="D64" s="484">
        <f>'1Ф КРУГ'!B15</f>
        <v>0</v>
      </c>
      <c r="E64" s="689" t="e">
        <f>IF(D64="","",VLOOKUP(D64,'Списки участников'!A:K,12,FALSE))</f>
        <v>#N/A</v>
      </c>
      <c r="F64" s="484">
        <f>'1Ф КРУГ'!B27</f>
        <v>0</v>
      </c>
      <c r="G64" s="689" t="e">
        <f>IF(F64="","",VLOOKUP(F64,'Списки участников'!A:K,12,FALSE))</f>
        <v>#N/A</v>
      </c>
      <c r="H64" s="484"/>
      <c r="I64" s="880" t="str">
        <f>IF(H64="","",VLOOKUP(H64,'Списки участников'!A:K,12,FALSE))</f>
        <v/>
      </c>
      <c r="J64" s="915"/>
      <c r="K64" s="915"/>
      <c r="L64" s="915"/>
      <c r="M64" s="915"/>
      <c r="N64" s="486"/>
      <c r="O64" s="905" t="str">
        <f t="shared" si="0"/>
        <v/>
      </c>
      <c r="P64" s="930" t="str">
        <f t="shared" si="1"/>
        <v/>
      </c>
      <c r="Q64" s="931"/>
    </row>
    <row r="65" spans="1:17" x14ac:dyDescent="0.25">
      <c r="A65" s="486">
        <v>61</v>
      </c>
      <c r="B65" s="501">
        <v>8</v>
      </c>
      <c r="C65" s="906" t="s">
        <v>2653</v>
      </c>
      <c r="D65" s="484">
        <f>'1Ф КРУГ'!B13</f>
        <v>0</v>
      </c>
      <c r="E65" s="689" t="e">
        <f>IF(D65="","",VLOOKUP(D65,'Списки участников'!A:K,12,FALSE))</f>
        <v>#N/A</v>
      </c>
      <c r="F65" s="484">
        <f>'1Ф КРУГ'!B29</f>
        <v>0</v>
      </c>
      <c r="G65" s="689" t="e">
        <f>IF(F65="","",VLOOKUP(F65,'Списки участников'!A:K,12,FALSE))</f>
        <v>#N/A</v>
      </c>
      <c r="H65" s="484"/>
      <c r="I65" s="880" t="str">
        <f>IF(H65="","",VLOOKUP(H65,'Списки участников'!A:K,12,FALSE))</f>
        <v/>
      </c>
      <c r="J65" s="915"/>
      <c r="K65" s="915"/>
      <c r="L65" s="915"/>
      <c r="M65" s="915"/>
      <c r="N65" s="486"/>
      <c r="O65" s="905" t="str">
        <f t="shared" si="0"/>
        <v/>
      </c>
      <c r="P65" s="930" t="str">
        <f t="shared" si="1"/>
        <v/>
      </c>
      <c r="Q65" s="931"/>
    </row>
    <row r="66" spans="1:17" x14ac:dyDescent="0.25">
      <c r="A66" s="486">
        <v>62</v>
      </c>
      <c r="B66" s="496">
        <v>8</v>
      </c>
      <c r="C66" s="908" t="s">
        <v>2654</v>
      </c>
      <c r="D66" s="484">
        <f>'1Ф КРУГ'!B11</f>
        <v>0</v>
      </c>
      <c r="E66" s="689" t="e">
        <f>IF(D66="","",VLOOKUP(D66,'Списки участников'!A:K,12,FALSE))</f>
        <v>#N/A</v>
      </c>
      <c r="F66" s="484">
        <f>'1Ф КРУГ'!B31</f>
        <v>0</v>
      </c>
      <c r="G66" s="689" t="e">
        <f>IF(F66="","",VLOOKUP(F66,'Списки участников'!A:K,12,FALSE))</f>
        <v>#N/A</v>
      </c>
      <c r="H66" s="491"/>
      <c r="I66" s="880" t="str">
        <f>IF(H66="","",VLOOKUP(H66,'Списки участников'!A:K,12,FALSE))</f>
        <v/>
      </c>
      <c r="J66" s="915"/>
      <c r="K66" s="915"/>
      <c r="L66" s="915"/>
      <c r="M66" s="915"/>
      <c r="N66" s="687"/>
      <c r="O66" s="905" t="str">
        <f t="shared" si="0"/>
        <v/>
      </c>
      <c r="P66" s="930" t="str">
        <f t="shared" si="1"/>
        <v/>
      </c>
      <c r="Q66" s="931"/>
    </row>
    <row r="67" spans="1:17" x14ac:dyDescent="0.25">
      <c r="A67" s="486">
        <v>63</v>
      </c>
      <c r="B67" s="496">
        <v>8</v>
      </c>
      <c r="C67" s="908" t="s">
        <v>2655</v>
      </c>
      <c r="D67" s="484">
        <f>'1Ф КРУГ'!B9</f>
        <v>0</v>
      </c>
      <c r="E67" s="689" t="e">
        <f>IF(D67="","",VLOOKUP(D67,'Списки участников'!A:K,12,FALSE))</f>
        <v>#N/A</v>
      </c>
      <c r="F67" s="484">
        <f>'1Ф КРУГ'!B33</f>
        <v>0</v>
      </c>
      <c r="G67" s="689" t="e">
        <f>IF(F67="","",VLOOKUP(F67,'Списки участников'!A:K,12,FALSE))</f>
        <v>#N/A</v>
      </c>
      <c r="H67" s="491"/>
      <c r="I67" s="880" t="str">
        <f>IF(H67="","",VLOOKUP(H67,'Списки участников'!A:K,12,FALSE))</f>
        <v/>
      </c>
      <c r="J67" s="915"/>
      <c r="K67" s="915"/>
      <c r="L67" s="915"/>
      <c r="M67" s="915"/>
      <c r="N67" s="687"/>
      <c r="O67" s="905" t="str">
        <f t="shared" si="0"/>
        <v/>
      </c>
      <c r="P67" s="930" t="str">
        <f t="shared" si="1"/>
        <v/>
      </c>
      <c r="Q67" s="931"/>
    </row>
    <row r="68" spans="1:17" ht="15.75" thickBot="1" x14ac:dyDescent="0.3">
      <c r="A68" s="486">
        <v>64</v>
      </c>
      <c r="B68" s="500">
        <v>8</v>
      </c>
      <c r="C68" s="909" t="s">
        <v>2656</v>
      </c>
      <c r="D68" s="484">
        <f>'1Ф КРУГ'!B7</f>
        <v>0</v>
      </c>
      <c r="E68" s="689" t="e">
        <f>IF(D68="","",VLOOKUP(D68,'Списки участников'!A:K,12,FALSE))</f>
        <v>#N/A</v>
      </c>
      <c r="F68" s="484">
        <f>'1Ф КРУГ'!B35</f>
        <v>0</v>
      </c>
      <c r="G68" s="689" t="e">
        <f>IF(F68="","",VLOOKUP(F68,'Списки участников'!A:K,12,FALSE))</f>
        <v>#N/A</v>
      </c>
      <c r="H68" s="494"/>
      <c r="I68" s="910" t="str">
        <f>IF(H68="","",VLOOKUP(H68,'Списки участников'!A:K,12,FALSE))</f>
        <v/>
      </c>
      <c r="J68" s="702"/>
      <c r="K68" s="702"/>
      <c r="L68" s="702"/>
      <c r="M68" s="702"/>
      <c r="N68" s="702"/>
      <c r="O68" s="932" t="str">
        <f t="shared" si="0"/>
        <v/>
      </c>
      <c r="P68" s="933" t="str">
        <f t="shared" si="1"/>
        <v/>
      </c>
      <c r="Q68" s="701"/>
    </row>
    <row r="69" spans="1:17" ht="15" customHeight="1" x14ac:dyDescent="0.25">
      <c r="A69" s="486">
        <v>65</v>
      </c>
      <c r="B69" s="482">
        <v>9</v>
      </c>
      <c r="C69" s="483" t="s">
        <v>998</v>
      </c>
      <c r="D69" s="485">
        <f>'1Ф КРУГ'!B5</f>
        <v>0</v>
      </c>
      <c r="E69" s="689" t="e">
        <f>IF(D69="","",VLOOKUP(D69,'Списки участников'!A:K,12,FALSE))</f>
        <v>#N/A</v>
      </c>
      <c r="F69" s="485">
        <f>'1Ф КРУГ'!B19</f>
        <v>0</v>
      </c>
      <c r="G69" s="689" t="e">
        <f>IF(F69="","",VLOOKUP(F69,'Списки участников'!A:K,12,FALSE))</f>
        <v>#N/A</v>
      </c>
      <c r="H69" s="485"/>
      <c r="I69" s="880" t="str">
        <f>IF(H69="","",VLOOKUP(H69,'Списки участников'!A:K,12,FALSE))</f>
        <v/>
      </c>
      <c r="J69" s="688"/>
      <c r="K69" s="688"/>
      <c r="L69" s="688"/>
      <c r="M69" s="688"/>
      <c r="N69" s="688"/>
      <c r="O69" s="905" t="str">
        <f t="shared" si="0"/>
        <v/>
      </c>
      <c r="P69" s="930" t="str">
        <f t="shared" si="1"/>
        <v/>
      </c>
      <c r="Q69" s="922"/>
    </row>
    <row r="70" spans="1:17" x14ac:dyDescent="0.25">
      <c r="A70" s="486">
        <v>66</v>
      </c>
      <c r="B70" s="496">
        <v>9</v>
      </c>
      <c r="C70" s="906" t="s">
        <v>2657</v>
      </c>
      <c r="D70" s="484">
        <f>'1Ф КРУГ'!B17</f>
        <v>0</v>
      </c>
      <c r="E70" s="689" t="e">
        <f>IF(D70="","",VLOOKUP(D70,'Списки участников'!A:K,12,FALSE))</f>
        <v>#N/A</v>
      </c>
      <c r="F70" s="485">
        <f>'1Ф КРУГ'!B21</f>
        <v>0</v>
      </c>
      <c r="G70" s="689" t="e">
        <f>IF(F70="","",VLOOKUP(F70,'Списки участников'!A:K,12,FALSE))</f>
        <v>#N/A</v>
      </c>
      <c r="H70" s="484"/>
      <c r="I70" s="880" t="str">
        <f>IF(H70="","",VLOOKUP(H70,'Списки участников'!A:K,12,FALSE))</f>
        <v/>
      </c>
      <c r="J70" s="915"/>
      <c r="K70" s="915"/>
      <c r="L70" s="915"/>
      <c r="M70" s="486"/>
      <c r="N70" s="486"/>
      <c r="O70" s="905" t="str">
        <f t="shared" ref="O70:O124" si="2">IF(H70="","",IF(J70&gt;0,1,0)+IF(K70&gt;0,1,0)+IF(L70&gt;0,1,0)+IF(M70&gt;0,1,0)+IF(N70&gt;0,1,0))</f>
        <v/>
      </c>
      <c r="P70" s="930" t="str">
        <f t="shared" ref="P70:P124" si="3">IF(H70="","",IF(J70&lt;0,1,0)+IF(K70&lt;0,1,0)+IF(L70&lt;0,1,0)+IF(M70&lt;0,1,0)+IF(N70&lt;0,1,0))</f>
        <v/>
      </c>
      <c r="Q70" s="931"/>
    </row>
    <row r="71" spans="1:17" x14ac:dyDescent="0.25">
      <c r="A71" s="486">
        <v>67</v>
      </c>
      <c r="B71" s="496">
        <v>9</v>
      </c>
      <c r="C71" s="906" t="s">
        <v>2658</v>
      </c>
      <c r="D71" s="484">
        <f>'1Ф КРУГ'!B15</f>
        <v>0</v>
      </c>
      <c r="E71" s="689" t="e">
        <f>IF(D71="","",VLOOKUP(D71,'Списки участников'!A:K,12,FALSE))</f>
        <v>#N/A</v>
      </c>
      <c r="F71" s="485">
        <f>'1Ф КРУГ'!B23</f>
        <v>0</v>
      </c>
      <c r="G71" s="689" t="e">
        <f>IF(F71="","",VLOOKUP(F71,'Списки участников'!A:K,12,FALSE))</f>
        <v>#N/A</v>
      </c>
      <c r="H71" s="484"/>
      <c r="I71" s="880" t="str">
        <f>IF(H71="","",VLOOKUP(H71,'Списки участников'!A:K,12,FALSE))</f>
        <v/>
      </c>
      <c r="J71" s="915"/>
      <c r="K71" s="915"/>
      <c r="L71" s="915"/>
      <c r="M71" s="486"/>
      <c r="N71" s="486"/>
      <c r="O71" s="905" t="str">
        <f t="shared" si="2"/>
        <v/>
      </c>
      <c r="P71" s="930" t="str">
        <f t="shared" si="3"/>
        <v/>
      </c>
      <c r="Q71" s="931"/>
    </row>
    <row r="72" spans="1:17" x14ac:dyDescent="0.25">
      <c r="A72" s="486">
        <v>68</v>
      </c>
      <c r="B72" s="496">
        <v>9</v>
      </c>
      <c r="C72" s="912" t="s">
        <v>2678</v>
      </c>
      <c r="D72" s="484">
        <f>'1Ф КРУГ'!B13</f>
        <v>0</v>
      </c>
      <c r="E72" s="689" t="e">
        <f>IF(D72="","",VLOOKUP(D72,'Списки участников'!A:K,12,FALSE))</f>
        <v>#N/A</v>
      </c>
      <c r="F72" s="485">
        <f>'1Ф КРУГ'!B25</f>
        <v>0</v>
      </c>
      <c r="G72" s="689" t="e">
        <f>IF(F72="","",VLOOKUP(F72,'Списки участников'!A:K,12,FALSE))</f>
        <v>#N/A</v>
      </c>
      <c r="H72" s="484"/>
      <c r="I72" s="880" t="str">
        <f>IF(H72="","",VLOOKUP(H72,'Списки участников'!A:K,12,FALSE))</f>
        <v/>
      </c>
      <c r="J72" s="915"/>
      <c r="K72" s="915"/>
      <c r="L72" s="915"/>
      <c r="M72" s="486"/>
      <c r="N72" s="486"/>
      <c r="O72" s="905" t="str">
        <f t="shared" si="2"/>
        <v/>
      </c>
      <c r="P72" s="930" t="str">
        <f t="shared" si="3"/>
        <v/>
      </c>
      <c r="Q72" s="931"/>
    </row>
    <row r="73" spans="1:17" x14ac:dyDescent="0.25">
      <c r="A73" s="486">
        <v>69</v>
      </c>
      <c r="B73" s="501">
        <v>9</v>
      </c>
      <c r="C73" s="906" t="s">
        <v>2659</v>
      </c>
      <c r="D73" s="484">
        <f>'1Ф КРУГ'!B11</f>
        <v>0</v>
      </c>
      <c r="E73" s="689" t="e">
        <f>IF(D73="","",VLOOKUP(D73,'Списки участников'!A:K,12,FALSE))</f>
        <v>#N/A</v>
      </c>
      <c r="F73" s="485">
        <f>'1Ф КРУГ'!B27</f>
        <v>0</v>
      </c>
      <c r="G73" s="689" t="e">
        <f>IF(F73="","",VLOOKUP(F73,'Списки участников'!A:K,12,FALSE))</f>
        <v>#N/A</v>
      </c>
      <c r="H73" s="484"/>
      <c r="I73" s="880" t="str">
        <f>IF(H73="","",VLOOKUP(H73,'Списки участников'!A:K,12,FALSE))</f>
        <v/>
      </c>
      <c r="J73" s="915"/>
      <c r="K73" s="915"/>
      <c r="L73" s="915"/>
      <c r="M73" s="486"/>
      <c r="N73" s="486"/>
      <c r="O73" s="905" t="str">
        <f t="shared" si="2"/>
        <v/>
      </c>
      <c r="P73" s="930" t="str">
        <f t="shared" si="3"/>
        <v/>
      </c>
      <c r="Q73" s="931"/>
    </row>
    <row r="74" spans="1:17" x14ac:dyDescent="0.25">
      <c r="A74" s="486">
        <v>70</v>
      </c>
      <c r="B74" s="496">
        <v>9</v>
      </c>
      <c r="C74" s="908" t="s">
        <v>2660</v>
      </c>
      <c r="D74" s="484">
        <f>'1Ф КРУГ'!B9</f>
        <v>0</v>
      </c>
      <c r="E74" s="689" t="e">
        <f>IF(D74="","",VLOOKUP(D74,'Списки участников'!A:K,12,FALSE))</f>
        <v>#N/A</v>
      </c>
      <c r="F74" s="485">
        <f>'1Ф КРУГ'!B29</f>
        <v>0</v>
      </c>
      <c r="G74" s="689" t="e">
        <f>IF(F74="","",VLOOKUP(F74,'Списки участников'!A:K,12,FALSE))</f>
        <v>#N/A</v>
      </c>
      <c r="H74" s="491"/>
      <c r="I74" s="880" t="str">
        <f>IF(H74="","",VLOOKUP(H74,'Списки участников'!A:K,12,FALSE))</f>
        <v/>
      </c>
      <c r="J74" s="915"/>
      <c r="K74" s="915"/>
      <c r="L74" s="915"/>
      <c r="M74" s="687"/>
      <c r="N74" s="687"/>
      <c r="O74" s="905" t="str">
        <f t="shared" si="2"/>
        <v/>
      </c>
      <c r="P74" s="930" t="str">
        <f t="shared" si="3"/>
        <v/>
      </c>
      <c r="Q74" s="931"/>
    </row>
    <row r="75" spans="1:17" ht="15" customHeight="1" x14ac:dyDescent="0.25">
      <c r="A75" s="486">
        <v>71</v>
      </c>
      <c r="B75" s="496">
        <v>9</v>
      </c>
      <c r="C75" s="908" t="s">
        <v>2661</v>
      </c>
      <c r="D75" s="484">
        <f>'1Ф КРУГ'!B7</f>
        <v>0</v>
      </c>
      <c r="E75" s="689" t="e">
        <f>IF(D75="","",VLOOKUP(D75,'Списки участников'!A:K,12,FALSE))</f>
        <v>#N/A</v>
      </c>
      <c r="F75" s="485">
        <f>'1Ф КРУГ'!B31</f>
        <v>0</v>
      </c>
      <c r="G75" s="689" t="e">
        <f>IF(F75="","",VLOOKUP(F75,'Списки участников'!A:K,12,FALSE))</f>
        <v>#N/A</v>
      </c>
      <c r="H75" s="491"/>
      <c r="I75" s="880" t="str">
        <f>IF(H75="","",VLOOKUP(H75,'Списки участников'!A:K,12,FALSE))</f>
        <v/>
      </c>
      <c r="J75" s="915"/>
      <c r="K75" s="915"/>
      <c r="L75" s="915"/>
      <c r="M75" s="687"/>
      <c r="N75" s="687"/>
      <c r="O75" s="905" t="str">
        <f t="shared" si="2"/>
        <v/>
      </c>
      <c r="P75" s="930" t="str">
        <f t="shared" si="3"/>
        <v/>
      </c>
      <c r="Q75" s="931"/>
    </row>
    <row r="76" spans="1:17" ht="15.75" thickBot="1" x14ac:dyDescent="0.3">
      <c r="A76" s="486">
        <v>72</v>
      </c>
      <c r="B76" s="500">
        <v>9</v>
      </c>
      <c r="C76" s="493" t="s">
        <v>999</v>
      </c>
      <c r="D76" s="494">
        <f>'1Ф КРУГ'!B33</f>
        <v>0</v>
      </c>
      <c r="E76" s="730" t="e">
        <f>IF(D76="","",VLOOKUP(D76,'Списки участников'!A:K,12,FALSE))</f>
        <v>#N/A</v>
      </c>
      <c r="F76" s="494">
        <f>'1Ф КРУГ'!B35</f>
        <v>0</v>
      </c>
      <c r="G76" s="730" t="e">
        <f>IF(F76="","",VLOOKUP(F76,'Списки участников'!A:K,12,FALSE))</f>
        <v>#N/A</v>
      </c>
      <c r="H76" s="494"/>
      <c r="I76" s="730" t="str">
        <f>IF(H76="","",VLOOKUP(H76,'Списки участников'!A:K,12,FALSE))</f>
        <v/>
      </c>
      <c r="J76" s="929"/>
      <c r="K76" s="929"/>
      <c r="L76" s="929"/>
      <c r="M76" s="702"/>
      <c r="N76" s="702"/>
      <c r="O76" s="932" t="str">
        <f t="shared" si="2"/>
        <v/>
      </c>
      <c r="P76" s="933" t="str">
        <f t="shared" si="3"/>
        <v/>
      </c>
      <c r="Q76" s="701"/>
    </row>
    <row r="77" spans="1:17" ht="15" customHeight="1" x14ac:dyDescent="0.25">
      <c r="A77" s="486">
        <v>73</v>
      </c>
      <c r="B77" s="496">
        <v>10</v>
      </c>
      <c r="C77" s="907" t="s">
        <v>2662</v>
      </c>
      <c r="D77" s="485">
        <f>'1Ф КРУГ'!B5</f>
        <v>0</v>
      </c>
      <c r="E77" s="689" t="e">
        <f>IF(D77="","",VLOOKUP(D77,'Списки участников'!A:K,12,FALSE))</f>
        <v>#N/A</v>
      </c>
      <c r="F77" s="485">
        <f>'1Ф КРУГ'!B17</f>
        <v>0</v>
      </c>
      <c r="G77" s="689" t="e">
        <f>IF(F77="","",VLOOKUP(F77,'Списки участников'!A:K,12,FALSE))</f>
        <v>#N/A</v>
      </c>
      <c r="H77" s="485"/>
      <c r="I77" s="880" t="str">
        <f>IF(H77="","",VLOOKUP(H77,'Списки участников'!A:K,12,FALSE))</f>
        <v/>
      </c>
      <c r="J77" s="688"/>
      <c r="K77" s="688"/>
      <c r="L77" s="688"/>
      <c r="M77" s="688"/>
      <c r="N77" s="688"/>
      <c r="O77" s="905" t="str">
        <f t="shared" si="2"/>
        <v/>
      </c>
      <c r="P77" s="930" t="str">
        <f t="shared" si="3"/>
        <v/>
      </c>
      <c r="Q77" s="922"/>
    </row>
    <row r="78" spans="1:17" ht="17.25" x14ac:dyDescent="0.25">
      <c r="A78" s="486">
        <v>74</v>
      </c>
      <c r="B78" s="496">
        <v>10</v>
      </c>
      <c r="C78" s="906" t="s">
        <v>2663</v>
      </c>
      <c r="D78" s="485">
        <f>'1Ф КРУГ'!B15</f>
        <v>0</v>
      </c>
      <c r="E78" s="689" t="e">
        <f>IF(D78="","",VLOOKUP(D78,'Списки участников'!A:K,12,FALSE))</f>
        <v>#N/A</v>
      </c>
      <c r="F78" s="484">
        <f>'1Ф КРУГ'!B19</f>
        <v>0</v>
      </c>
      <c r="G78" s="689" t="e">
        <f>IF(F78="","",VLOOKUP(F78,'Списки участников'!A:K,12,FALSE))</f>
        <v>#N/A</v>
      </c>
      <c r="H78" s="484"/>
      <c r="I78" s="880" t="str">
        <f>IF(H78="","",VLOOKUP(H78,'Списки участников'!A:K,12,FALSE))</f>
        <v/>
      </c>
      <c r="J78" s="915"/>
      <c r="K78" s="915"/>
      <c r="L78" s="915"/>
      <c r="M78" s="486"/>
      <c r="N78" s="486"/>
      <c r="O78" s="905" t="str">
        <f t="shared" si="2"/>
        <v/>
      </c>
      <c r="P78" s="930" t="str">
        <f t="shared" si="3"/>
        <v/>
      </c>
      <c r="Q78" s="931"/>
    </row>
    <row r="79" spans="1:17" ht="17.25" x14ac:dyDescent="0.25">
      <c r="A79" s="486">
        <v>75</v>
      </c>
      <c r="B79" s="496">
        <v>10</v>
      </c>
      <c r="C79" s="906" t="s">
        <v>2664</v>
      </c>
      <c r="D79" s="485">
        <f>'1Ф КРУГ'!B13</f>
        <v>0</v>
      </c>
      <c r="E79" s="689" t="e">
        <f>IF(D79="","",VLOOKUP(D79,'Списки участников'!A:K,12,FALSE))</f>
        <v>#N/A</v>
      </c>
      <c r="F79" s="484">
        <f>'1Ф КРУГ'!B21</f>
        <v>0</v>
      </c>
      <c r="G79" s="689" t="e">
        <f>IF(F79="","",VLOOKUP(F79,'Списки участников'!A:K,12,FALSE))</f>
        <v>#N/A</v>
      </c>
      <c r="H79" s="484"/>
      <c r="I79" s="880" t="str">
        <f>IF(H79="","",VLOOKUP(H79,'Списки участников'!A:K,12,FALSE))</f>
        <v/>
      </c>
      <c r="J79" s="915"/>
      <c r="K79" s="915"/>
      <c r="L79" s="915"/>
      <c r="M79" s="486"/>
      <c r="N79" s="486"/>
      <c r="O79" s="905" t="str">
        <f t="shared" si="2"/>
        <v/>
      </c>
      <c r="P79" s="930" t="str">
        <f t="shared" si="3"/>
        <v/>
      </c>
      <c r="Q79" s="931"/>
    </row>
    <row r="80" spans="1:17" ht="17.25" x14ac:dyDescent="0.25">
      <c r="A80" s="486">
        <v>76</v>
      </c>
      <c r="B80" s="496">
        <v>10</v>
      </c>
      <c r="C80" s="906" t="s">
        <v>2665</v>
      </c>
      <c r="D80" s="485">
        <f>'1Ф КРУГ'!B11</f>
        <v>0</v>
      </c>
      <c r="E80" s="689" t="e">
        <f>IF(D80="","",VLOOKUP(D80,'Списки участников'!A:K,12,FALSE))</f>
        <v>#N/A</v>
      </c>
      <c r="F80" s="484">
        <f>'1Ф КРУГ'!B23</f>
        <v>0</v>
      </c>
      <c r="G80" s="689" t="e">
        <f>IF(F80="","",VLOOKUP(F80,'Списки участников'!A:K,12,FALSE))</f>
        <v>#N/A</v>
      </c>
      <c r="H80" s="484"/>
      <c r="I80" s="880" t="str">
        <f>IF(H80="","",VLOOKUP(H80,'Списки участников'!A:K,12,FALSE))</f>
        <v/>
      </c>
      <c r="J80" s="915"/>
      <c r="K80" s="915"/>
      <c r="L80" s="915"/>
      <c r="M80" s="486"/>
      <c r="N80" s="486"/>
      <c r="O80" s="905" t="str">
        <f t="shared" si="2"/>
        <v/>
      </c>
      <c r="P80" s="930" t="str">
        <f t="shared" si="3"/>
        <v/>
      </c>
      <c r="Q80" s="931"/>
    </row>
    <row r="81" spans="1:17" ht="17.25" x14ac:dyDescent="0.25">
      <c r="A81" s="486">
        <v>77</v>
      </c>
      <c r="B81" s="501">
        <v>10</v>
      </c>
      <c r="C81" s="906" t="s">
        <v>2666</v>
      </c>
      <c r="D81" s="485">
        <f>'1Ф КРУГ'!B9</f>
        <v>0</v>
      </c>
      <c r="E81" s="689" t="e">
        <f>IF(D81="","",VLOOKUP(D81,'Списки участников'!A:K,12,FALSE))</f>
        <v>#N/A</v>
      </c>
      <c r="F81" s="484">
        <f>'1Ф КРУГ'!B25</f>
        <v>0</v>
      </c>
      <c r="G81" s="689" t="e">
        <f>IF(F81="","",VLOOKUP(F81,'Списки участников'!A:K,12,FALSE))</f>
        <v>#N/A</v>
      </c>
      <c r="H81" s="484"/>
      <c r="I81" s="880" t="str">
        <f>IF(H81="","",VLOOKUP(H81,'Списки участников'!A:K,12,FALSE))</f>
        <v/>
      </c>
      <c r="J81" s="915"/>
      <c r="K81" s="915"/>
      <c r="L81" s="915"/>
      <c r="M81" s="486"/>
      <c r="N81" s="486"/>
      <c r="O81" s="905" t="str">
        <f t="shared" si="2"/>
        <v/>
      </c>
      <c r="P81" s="930" t="str">
        <f t="shared" si="3"/>
        <v/>
      </c>
      <c r="Q81" s="931"/>
    </row>
    <row r="82" spans="1:17" ht="17.25" x14ac:dyDescent="0.25">
      <c r="A82" s="486">
        <v>78</v>
      </c>
      <c r="B82" s="496">
        <v>10</v>
      </c>
      <c r="C82" s="908" t="s">
        <v>2667</v>
      </c>
      <c r="D82" s="485">
        <f>'1Ф КРУГ'!B7</f>
        <v>0</v>
      </c>
      <c r="E82" s="689" t="e">
        <f>IF(D82="","",VLOOKUP(D82,'Списки участников'!A:K,12,FALSE))</f>
        <v>#N/A</v>
      </c>
      <c r="F82" s="484">
        <f>'1Ф КРУГ'!B27</f>
        <v>0</v>
      </c>
      <c r="G82" s="689" t="e">
        <f>IF(F82="","",VLOOKUP(F82,'Списки участников'!A:K,12,FALSE))</f>
        <v>#N/A</v>
      </c>
      <c r="H82" s="491"/>
      <c r="I82" s="880" t="str">
        <f>IF(H82="","",VLOOKUP(H82,'Списки участников'!A:K,12,FALSE))</f>
        <v/>
      </c>
      <c r="J82" s="915"/>
      <c r="K82" s="915"/>
      <c r="L82" s="915"/>
      <c r="M82" s="687"/>
      <c r="N82" s="687"/>
      <c r="O82" s="905" t="str">
        <f t="shared" si="2"/>
        <v/>
      </c>
      <c r="P82" s="930" t="str">
        <f t="shared" si="3"/>
        <v/>
      </c>
      <c r="Q82" s="931"/>
    </row>
    <row r="83" spans="1:17" ht="17.25" x14ac:dyDescent="0.25">
      <c r="A83" s="486">
        <v>79</v>
      </c>
      <c r="B83" s="496">
        <v>10</v>
      </c>
      <c r="C83" s="490" t="s">
        <v>1000</v>
      </c>
      <c r="D83" s="485">
        <f>'1Ф КРУГ'!B29</f>
        <v>0</v>
      </c>
      <c r="E83" s="689" t="e">
        <f>IF(D83="","",VLOOKUP(D83,'Списки участников'!A:K,12,FALSE))</f>
        <v>#N/A</v>
      </c>
      <c r="F83" s="491">
        <f>'1Ф КРУГ'!B35</f>
        <v>0</v>
      </c>
      <c r="G83" s="689" t="e">
        <f>IF(F83="","",VLOOKUP(F83,'Списки участников'!A:K,12,FALSE))</f>
        <v>#N/A</v>
      </c>
      <c r="H83" s="491"/>
      <c r="I83" s="880" t="str">
        <f>IF(H83="","",VLOOKUP(H83,'Списки участников'!A:K,12,FALSE))</f>
        <v/>
      </c>
      <c r="J83" s="915"/>
      <c r="K83" s="915"/>
      <c r="L83" s="915"/>
      <c r="M83" s="687"/>
      <c r="N83" s="687"/>
      <c r="O83" s="905" t="str">
        <f t="shared" si="2"/>
        <v/>
      </c>
      <c r="P83" s="930" t="str">
        <f t="shared" si="3"/>
        <v/>
      </c>
      <c r="Q83" s="931"/>
    </row>
    <row r="84" spans="1:17" ht="18" thickBot="1" x14ac:dyDescent="0.3">
      <c r="A84" s="486">
        <v>80</v>
      </c>
      <c r="B84" s="500">
        <v>10</v>
      </c>
      <c r="C84" s="493" t="s">
        <v>1001</v>
      </c>
      <c r="D84" s="731">
        <f>'1Ф КРУГ'!B31</f>
        <v>0</v>
      </c>
      <c r="E84" s="730" t="e">
        <f>IF(D84="","",VLOOKUP(D84,'Списки участников'!A:K,12,FALSE))</f>
        <v>#N/A</v>
      </c>
      <c r="F84" s="494">
        <f>'1Ф КРУГ'!B33</f>
        <v>0</v>
      </c>
      <c r="G84" s="730" t="e">
        <f>IF(F84="","",VLOOKUP(F84,'Списки участников'!A:K,12,FALSE))</f>
        <v>#N/A</v>
      </c>
      <c r="H84" s="494"/>
      <c r="I84" s="730" t="str">
        <f>IF(H84="","",VLOOKUP(H84,'Списки участников'!A:K,12,FALSE))</f>
        <v/>
      </c>
      <c r="J84" s="702"/>
      <c r="K84" s="702"/>
      <c r="L84" s="702"/>
      <c r="M84" s="702"/>
      <c r="N84" s="702"/>
      <c r="O84" s="932" t="str">
        <f t="shared" si="2"/>
        <v/>
      </c>
      <c r="P84" s="933" t="str">
        <f t="shared" si="3"/>
        <v/>
      </c>
      <c r="Q84" s="701"/>
    </row>
    <row r="85" spans="1:17" ht="15" customHeight="1" x14ac:dyDescent="0.25">
      <c r="A85" s="486">
        <v>81</v>
      </c>
      <c r="B85" s="496">
        <v>11</v>
      </c>
      <c r="C85" s="483" t="s">
        <v>1002</v>
      </c>
      <c r="D85" s="485">
        <f>'1Ф КРУГ'!B5</f>
        <v>0</v>
      </c>
      <c r="E85" s="689" t="e">
        <f>IF(D85="","",VLOOKUP(D85,'Списки участников'!A:K,12,FALSE))</f>
        <v>#N/A</v>
      </c>
      <c r="F85" s="485">
        <f>'1Ф КРУГ'!B15</f>
        <v>0</v>
      </c>
      <c r="G85" s="689" t="e">
        <f>IF(F85="","",VLOOKUP(F85,'Списки участников'!A:K,12,FALSE))</f>
        <v>#N/A</v>
      </c>
      <c r="H85" s="485"/>
      <c r="I85" s="880" t="str">
        <f>IF(H85="","",VLOOKUP(H85,'Списки участников'!A:K,12,FALSE))</f>
        <v/>
      </c>
      <c r="J85" s="688"/>
      <c r="K85" s="688"/>
      <c r="L85" s="688"/>
      <c r="M85" s="688"/>
      <c r="N85" s="688"/>
      <c r="O85" s="905" t="str">
        <f t="shared" si="2"/>
        <v/>
      </c>
      <c r="P85" s="930" t="str">
        <f t="shared" si="3"/>
        <v/>
      </c>
      <c r="Q85" s="922"/>
    </row>
    <row r="86" spans="1:17" ht="17.25" x14ac:dyDescent="0.25">
      <c r="A86" s="486">
        <v>82</v>
      </c>
      <c r="B86" s="496">
        <v>11</v>
      </c>
      <c r="C86" s="906" t="s">
        <v>2668</v>
      </c>
      <c r="D86" s="484">
        <f>'1Ф КРУГ'!B13</f>
        <v>0</v>
      </c>
      <c r="E86" s="689" t="e">
        <f>IF(D86="","",VLOOKUP(D86,'Списки участников'!A:K,12,FALSE))</f>
        <v>#N/A</v>
      </c>
      <c r="F86" s="485">
        <f>'1Ф КРУГ'!B17</f>
        <v>0</v>
      </c>
      <c r="G86" s="689" t="e">
        <f>IF(F86="","",VLOOKUP(F86,'Списки участников'!A:K,12,FALSE))</f>
        <v>#N/A</v>
      </c>
      <c r="H86" s="484"/>
      <c r="I86" s="880" t="str">
        <f>IF(H86="","",VLOOKUP(H86,'Списки участников'!A:K,12,FALSE))</f>
        <v/>
      </c>
      <c r="J86" s="915"/>
      <c r="K86" s="915"/>
      <c r="L86" s="915"/>
      <c r="M86" s="486"/>
      <c r="N86" s="486"/>
      <c r="O86" s="905" t="str">
        <f t="shared" si="2"/>
        <v/>
      </c>
      <c r="P86" s="930" t="str">
        <f t="shared" si="3"/>
        <v/>
      </c>
      <c r="Q86" s="931"/>
    </row>
    <row r="87" spans="1:17" ht="17.25" x14ac:dyDescent="0.25">
      <c r="A87" s="486">
        <v>83</v>
      </c>
      <c r="B87" s="496">
        <v>11</v>
      </c>
      <c r="C87" s="906" t="s">
        <v>2669</v>
      </c>
      <c r="D87" s="484">
        <f>'1Ф КРУГ'!B11</f>
        <v>0</v>
      </c>
      <c r="E87" s="689" t="e">
        <f>IF(D87="","",VLOOKUP(D87,'Списки участников'!A:K,12,FALSE))</f>
        <v>#N/A</v>
      </c>
      <c r="F87" s="485">
        <f>'1Ф КРУГ'!B19</f>
        <v>0</v>
      </c>
      <c r="G87" s="689" t="e">
        <f>IF(F87="","",VLOOKUP(F87,'Списки участников'!A:K,12,FALSE))</f>
        <v>#N/A</v>
      </c>
      <c r="H87" s="484"/>
      <c r="I87" s="880" t="str">
        <f>IF(H87="","",VLOOKUP(H87,'Списки участников'!A:K,12,FALSE))</f>
        <v/>
      </c>
      <c r="J87" s="915"/>
      <c r="K87" s="915"/>
      <c r="L87" s="915"/>
      <c r="M87" s="486"/>
      <c r="N87" s="486"/>
      <c r="O87" s="905" t="str">
        <f t="shared" si="2"/>
        <v/>
      </c>
      <c r="P87" s="930" t="str">
        <f t="shared" si="3"/>
        <v/>
      </c>
      <c r="Q87" s="931"/>
    </row>
    <row r="88" spans="1:17" ht="17.25" x14ac:dyDescent="0.25">
      <c r="A88" s="486">
        <v>84</v>
      </c>
      <c r="B88" s="496">
        <v>11</v>
      </c>
      <c r="C88" s="912" t="s">
        <v>2679</v>
      </c>
      <c r="D88" s="484">
        <f>'1Ф КРУГ'!B9</f>
        <v>0</v>
      </c>
      <c r="E88" s="689" t="e">
        <f>IF(D88="","",VLOOKUP(D88,'Списки участников'!A:K,12,FALSE))</f>
        <v>#N/A</v>
      </c>
      <c r="F88" s="485">
        <f>'1Ф КРУГ'!B21</f>
        <v>0</v>
      </c>
      <c r="G88" s="689" t="e">
        <f>IF(F88="","",VLOOKUP(F88,'Списки участников'!A:K,12,FALSE))</f>
        <v>#N/A</v>
      </c>
      <c r="H88" s="484"/>
      <c r="I88" s="880" t="str">
        <f>IF(H88="","",VLOOKUP(H88,'Списки участников'!A:K,12,FALSE))</f>
        <v/>
      </c>
      <c r="J88" s="915"/>
      <c r="K88" s="915"/>
      <c r="L88" s="915"/>
      <c r="M88" s="486"/>
      <c r="N88" s="486"/>
      <c r="O88" s="905" t="str">
        <f t="shared" si="2"/>
        <v/>
      </c>
      <c r="P88" s="930" t="str">
        <f t="shared" si="3"/>
        <v/>
      </c>
      <c r="Q88" s="931"/>
    </row>
    <row r="89" spans="1:17" ht="17.25" x14ac:dyDescent="0.25">
      <c r="A89" s="486">
        <v>85</v>
      </c>
      <c r="B89" s="496">
        <v>11</v>
      </c>
      <c r="C89" s="906" t="s">
        <v>2670</v>
      </c>
      <c r="D89" s="484">
        <f>'1Ф КРУГ'!B7</f>
        <v>0</v>
      </c>
      <c r="E89" s="689" t="e">
        <f>IF(D89="","",VLOOKUP(D89,'Списки участников'!A:K,12,FALSE))</f>
        <v>#N/A</v>
      </c>
      <c r="F89" s="485">
        <f>'1Ф КРУГ'!B23</f>
        <v>0</v>
      </c>
      <c r="G89" s="689" t="e">
        <f>IF(F89="","",VLOOKUP(F89,'Списки участников'!A:K,12,FALSE))</f>
        <v>#N/A</v>
      </c>
      <c r="H89" s="484"/>
      <c r="I89" s="880" t="str">
        <f>IF(H89="","",VLOOKUP(H89,'Списки участников'!A:K,12,FALSE))</f>
        <v/>
      </c>
      <c r="J89" s="915"/>
      <c r="K89" s="915"/>
      <c r="L89" s="915"/>
      <c r="M89" s="486"/>
      <c r="N89" s="486"/>
      <c r="O89" s="905" t="str">
        <f t="shared" si="2"/>
        <v/>
      </c>
      <c r="P89" s="930" t="str">
        <f t="shared" si="3"/>
        <v/>
      </c>
      <c r="Q89" s="931"/>
    </row>
    <row r="90" spans="1:17" ht="17.25" x14ac:dyDescent="0.25">
      <c r="A90" s="486">
        <v>86</v>
      </c>
      <c r="B90" s="496">
        <v>11</v>
      </c>
      <c r="C90" s="490" t="s">
        <v>1003</v>
      </c>
      <c r="D90" s="484">
        <f>'1Ф КРУГ'!B25</f>
        <v>0</v>
      </c>
      <c r="E90" s="689" t="e">
        <f>IF(D90="","",VLOOKUP(D90,'Списки участников'!A:K,12,FALSE))</f>
        <v>#N/A</v>
      </c>
      <c r="F90" s="491">
        <f>'1Ф КРУГ'!B35</f>
        <v>0</v>
      </c>
      <c r="G90" s="689" t="e">
        <f>IF(F90="","",VLOOKUP(F90,'Списки участников'!A:K,12,FALSE))</f>
        <v>#N/A</v>
      </c>
      <c r="H90" s="491"/>
      <c r="I90" s="880" t="str">
        <f>IF(H90="","",VLOOKUP(H90,'Списки участников'!A:K,12,FALSE))</f>
        <v/>
      </c>
      <c r="J90" s="915"/>
      <c r="K90" s="915"/>
      <c r="L90" s="915"/>
      <c r="M90" s="687"/>
      <c r="N90" s="687"/>
      <c r="O90" s="905" t="str">
        <f t="shared" si="2"/>
        <v/>
      </c>
      <c r="P90" s="930" t="str">
        <f t="shared" si="3"/>
        <v/>
      </c>
      <c r="Q90" s="931"/>
    </row>
    <row r="91" spans="1:17" ht="17.25" x14ac:dyDescent="0.25">
      <c r="A91" s="486">
        <v>87</v>
      </c>
      <c r="B91" s="496">
        <v>11</v>
      </c>
      <c r="C91" s="490" t="s">
        <v>1004</v>
      </c>
      <c r="D91" s="484">
        <f>'1Ф КРУГ'!B27</f>
        <v>0</v>
      </c>
      <c r="E91" s="689" t="e">
        <f>IF(D91="","",VLOOKUP(D91,'Списки участников'!A:K,12,FALSE))</f>
        <v>#N/A</v>
      </c>
      <c r="F91" s="491">
        <f>'1Ф КРУГ'!B33</f>
        <v>0</v>
      </c>
      <c r="G91" s="689" t="e">
        <f>IF(F91="","",VLOOKUP(F91,'Списки участников'!A:K,12,FALSE))</f>
        <v>#N/A</v>
      </c>
      <c r="H91" s="491"/>
      <c r="I91" s="880" t="str">
        <f>IF(H91="","",VLOOKUP(H91,'Списки участников'!A:K,12,FALSE))</f>
        <v/>
      </c>
      <c r="J91" s="915"/>
      <c r="K91" s="915"/>
      <c r="L91" s="915"/>
      <c r="M91" s="687"/>
      <c r="N91" s="687"/>
      <c r="O91" s="905" t="str">
        <f t="shared" si="2"/>
        <v/>
      </c>
      <c r="P91" s="930" t="str">
        <f t="shared" si="3"/>
        <v/>
      </c>
      <c r="Q91" s="931"/>
    </row>
    <row r="92" spans="1:17" ht="18" thickBot="1" x14ac:dyDescent="0.3">
      <c r="A92" s="486">
        <v>88</v>
      </c>
      <c r="B92" s="500">
        <v>11</v>
      </c>
      <c r="C92" s="493" t="s">
        <v>1005</v>
      </c>
      <c r="D92" s="494">
        <f>'1Ф КРУГ'!B29</f>
        <v>0</v>
      </c>
      <c r="E92" s="730" t="e">
        <f>IF(D92="","",VLOOKUP(D92,'Списки участников'!A:K,12,FALSE))</f>
        <v>#N/A</v>
      </c>
      <c r="F92" s="494">
        <f>'1Ф КРУГ'!B31</f>
        <v>0</v>
      </c>
      <c r="G92" s="730" t="e">
        <f>IF(F92="","",VLOOKUP(F92,'Списки участников'!A:K,12,FALSE))</f>
        <v>#N/A</v>
      </c>
      <c r="H92" s="494"/>
      <c r="I92" s="701" t="str">
        <f>IF(H92="","",VLOOKUP(H92,'Списки участников'!A:K,12,FALSE))</f>
        <v/>
      </c>
      <c r="J92" s="702"/>
      <c r="K92" s="702"/>
      <c r="L92" s="702"/>
      <c r="M92" s="702"/>
      <c r="N92" s="702"/>
      <c r="O92" s="932" t="str">
        <f t="shared" si="2"/>
        <v/>
      </c>
      <c r="P92" s="933" t="str">
        <f t="shared" si="3"/>
        <v/>
      </c>
      <c r="Q92" s="701"/>
    </row>
    <row r="93" spans="1:17" ht="15" customHeight="1" x14ac:dyDescent="0.25">
      <c r="A93" s="486">
        <v>89</v>
      </c>
      <c r="B93" s="496">
        <v>12</v>
      </c>
      <c r="C93" s="907" t="s">
        <v>2626</v>
      </c>
      <c r="D93" s="485">
        <f>'1Ф КРУГ'!B5</f>
        <v>0</v>
      </c>
      <c r="E93" s="689" t="e">
        <f>IF(D93="","",VLOOKUP(D93,'Списки участников'!A:K,12,FALSE))</f>
        <v>#N/A</v>
      </c>
      <c r="F93" s="485">
        <f>'1Ф КРУГ'!B13</f>
        <v>0</v>
      </c>
      <c r="G93" s="689" t="e">
        <f>IF(F93="","",VLOOKUP(F93,'Списки участников'!A:K,12,FALSE))</f>
        <v>#N/A</v>
      </c>
      <c r="H93" s="485"/>
      <c r="I93" s="880" t="str">
        <f>IF(H93="","",VLOOKUP(H93,'Списки участников'!A:K,12,FALSE))</f>
        <v/>
      </c>
      <c r="J93" s="688"/>
      <c r="K93" s="688"/>
      <c r="L93" s="688"/>
      <c r="M93" s="688"/>
      <c r="N93" s="688"/>
      <c r="O93" s="905" t="str">
        <f t="shared" si="2"/>
        <v/>
      </c>
      <c r="P93" s="930" t="str">
        <f t="shared" si="3"/>
        <v/>
      </c>
      <c r="Q93" s="922"/>
    </row>
    <row r="94" spans="1:17" ht="17.25" x14ac:dyDescent="0.25">
      <c r="A94" s="486">
        <v>90</v>
      </c>
      <c r="B94" s="496">
        <v>12</v>
      </c>
      <c r="C94" s="906" t="s">
        <v>2671</v>
      </c>
      <c r="D94" s="485">
        <f>'1Ф КРУГ'!B11</f>
        <v>0</v>
      </c>
      <c r="E94" s="689" t="e">
        <f>IF(D94="","",VLOOKUP(D94,'Списки участников'!A:K,12,FALSE))</f>
        <v>#N/A</v>
      </c>
      <c r="F94" s="484">
        <f>'1Ф КРУГ'!B15</f>
        <v>0</v>
      </c>
      <c r="G94" s="689" t="e">
        <f>IF(F94="","",VLOOKUP(F94,'Списки участников'!A:K,12,FALSE))</f>
        <v>#N/A</v>
      </c>
      <c r="H94" s="484"/>
      <c r="I94" s="880" t="str">
        <f>IF(H94="","",VLOOKUP(H94,'Списки участников'!A:K,12,FALSE))</f>
        <v/>
      </c>
      <c r="J94" s="915"/>
      <c r="K94" s="915"/>
      <c r="L94" s="915"/>
      <c r="M94" s="486"/>
      <c r="N94" s="486"/>
      <c r="O94" s="905" t="str">
        <f t="shared" si="2"/>
        <v/>
      </c>
      <c r="P94" s="930" t="str">
        <f t="shared" si="3"/>
        <v/>
      </c>
      <c r="Q94" s="931"/>
    </row>
    <row r="95" spans="1:17" ht="17.25" x14ac:dyDescent="0.25">
      <c r="A95" s="486">
        <v>91</v>
      </c>
      <c r="B95" s="496">
        <v>12</v>
      </c>
      <c r="C95" s="906" t="s">
        <v>2672</v>
      </c>
      <c r="D95" s="485">
        <f>'1Ф КРУГ'!B9</f>
        <v>0</v>
      </c>
      <c r="E95" s="689" t="e">
        <f>IF(D95="","",VLOOKUP(D95,'Списки участников'!A:K,12,FALSE))</f>
        <v>#N/A</v>
      </c>
      <c r="F95" s="484">
        <f>'1Ф КРУГ'!B17</f>
        <v>0</v>
      </c>
      <c r="G95" s="689" t="e">
        <f>IF(F95="","",VLOOKUP(F95,'Списки участников'!A:K,12,FALSE))</f>
        <v>#N/A</v>
      </c>
      <c r="H95" s="484"/>
      <c r="I95" s="880" t="str">
        <f>IF(H95="","",VLOOKUP(H95,'Списки участников'!A:K,12,FALSE))</f>
        <v/>
      </c>
      <c r="J95" s="915"/>
      <c r="K95" s="915"/>
      <c r="L95" s="915"/>
      <c r="M95" s="486"/>
      <c r="N95" s="486"/>
      <c r="O95" s="905" t="str">
        <f t="shared" si="2"/>
        <v/>
      </c>
      <c r="P95" s="930" t="str">
        <f t="shared" si="3"/>
        <v/>
      </c>
      <c r="Q95" s="931"/>
    </row>
    <row r="96" spans="1:17" ht="17.25" x14ac:dyDescent="0.25">
      <c r="A96" s="486">
        <v>92</v>
      </c>
      <c r="B96" s="496">
        <v>12</v>
      </c>
      <c r="C96" s="906" t="s">
        <v>2673</v>
      </c>
      <c r="D96" s="485">
        <f>'1Ф КРУГ'!B7</f>
        <v>0</v>
      </c>
      <c r="E96" s="689" t="e">
        <f>IF(D96="","",VLOOKUP(D96,'Списки участников'!A:K,12,FALSE))</f>
        <v>#N/A</v>
      </c>
      <c r="F96" s="484">
        <f>'1Ф КРУГ'!B19</f>
        <v>0</v>
      </c>
      <c r="G96" s="689" t="e">
        <f>IF(F96="","",VLOOKUP(F96,'Списки участников'!A:K,12,FALSE))</f>
        <v>#N/A</v>
      </c>
      <c r="H96" s="484"/>
      <c r="I96" s="880" t="str">
        <f>IF(H96="","",VLOOKUP(H96,'Списки участников'!A:K,12,FALSE))</f>
        <v/>
      </c>
      <c r="J96" s="915"/>
      <c r="K96" s="915"/>
      <c r="L96" s="915"/>
      <c r="M96" s="486"/>
      <c r="N96" s="486"/>
      <c r="O96" s="905" t="str">
        <f t="shared" si="2"/>
        <v/>
      </c>
      <c r="P96" s="930" t="str">
        <f t="shared" si="3"/>
        <v/>
      </c>
      <c r="Q96" s="931"/>
    </row>
    <row r="97" spans="1:17" ht="17.25" x14ac:dyDescent="0.25">
      <c r="A97" s="486">
        <v>93</v>
      </c>
      <c r="B97" s="501">
        <v>12</v>
      </c>
      <c r="C97" s="488" t="s">
        <v>1006</v>
      </c>
      <c r="D97" s="485">
        <f>'1Ф КРУГ'!B21</f>
        <v>0</v>
      </c>
      <c r="E97" s="689" t="e">
        <f>IF(D97="","",VLOOKUP(D97,'Списки участников'!A:K,12,FALSE))</f>
        <v>#N/A</v>
      </c>
      <c r="F97" s="484">
        <f>'1Ф КРУГ'!B35</f>
        <v>0</v>
      </c>
      <c r="G97" s="689" t="e">
        <f>IF(F97="","",VLOOKUP(F97,'Списки участников'!A:K,12,FALSE))</f>
        <v>#N/A</v>
      </c>
      <c r="H97" s="484"/>
      <c r="I97" s="880" t="str">
        <f>IF(H97="","",VLOOKUP(H97,'Списки участников'!A:K,12,FALSE))</f>
        <v/>
      </c>
      <c r="J97" s="915"/>
      <c r="K97" s="915"/>
      <c r="L97" s="915"/>
      <c r="M97" s="486"/>
      <c r="N97" s="486"/>
      <c r="O97" s="905" t="str">
        <f t="shared" si="2"/>
        <v/>
      </c>
      <c r="P97" s="930" t="str">
        <f t="shared" si="3"/>
        <v/>
      </c>
      <c r="Q97" s="931"/>
    </row>
    <row r="98" spans="1:17" ht="17.25" x14ac:dyDescent="0.25">
      <c r="A98" s="486">
        <v>94</v>
      </c>
      <c r="B98" s="496">
        <v>12</v>
      </c>
      <c r="C98" s="490" t="s">
        <v>1007</v>
      </c>
      <c r="D98" s="485">
        <f>'1Ф КРУГ'!B23</f>
        <v>0</v>
      </c>
      <c r="E98" s="689" t="e">
        <f>IF(D98="","",VLOOKUP(D98,'Списки участников'!A:K,12,FALSE))</f>
        <v>#N/A</v>
      </c>
      <c r="F98" s="484">
        <f>'1Ф КРУГ'!B33</f>
        <v>0</v>
      </c>
      <c r="G98" s="689" t="e">
        <f>IF(F98="","",VLOOKUP(F98,'Списки участников'!A:K,12,FALSE))</f>
        <v>#N/A</v>
      </c>
      <c r="H98" s="491"/>
      <c r="I98" s="880" t="str">
        <f>IF(H98="","",VLOOKUP(H98,'Списки участников'!A:K,12,FALSE))</f>
        <v/>
      </c>
      <c r="J98" s="915"/>
      <c r="K98" s="915"/>
      <c r="L98" s="915"/>
      <c r="M98" s="687"/>
      <c r="N98" s="687"/>
      <c r="O98" s="905" t="str">
        <f t="shared" si="2"/>
        <v/>
      </c>
      <c r="P98" s="930" t="str">
        <f t="shared" si="3"/>
        <v/>
      </c>
      <c r="Q98" s="931"/>
    </row>
    <row r="99" spans="1:17" ht="17.25" x14ac:dyDescent="0.25">
      <c r="A99" s="486">
        <v>95</v>
      </c>
      <c r="B99" s="496">
        <v>12</v>
      </c>
      <c r="C99" s="490" t="s">
        <v>1008</v>
      </c>
      <c r="D99" s="485">
        <f>'1Ф КРУГ'!B25</f>
        <v>0</v>
      </c>
      <c r="E99" s="689" t="e">
        <f>IF(D99="","",VLOOKUP(D99,'Списки участников'!A:K,12,FALSE))</f>
        <v>#N/A</v>
      </c>
      <c r="F99" s="484">
        <f>'1Ф КРУГ'!B31</f>
        <v>0</v>
      </c>
      <c r="G99" s="689" t="e">
        <f>IF(F99="","",VLOOKUP(F99,'Списки участников'!A:K,12,FALSE))</f>
        <v>#N/A</v>
      </c>
      <c r="H99" s="491"/>
      <c r="I99" s="880" t="str">
        <f>IF(H99="","",VLOOKUP(H99,'Списки участников'!A:K,12,FALSE))</f>
        <v/>
      </c>
      <c r="J99" s="915"/>
      <c r="K99" s="915"/>
      <c r="L99" s="915"/>
      <c r="M99" s="687"/>
      <c r="N99" s="687"/>
      <c r="O99" s="905" t="str">
        <f t="shared" si="2"/>
        <v/>
      </c>
      <c r="P99" s="930" t="str">
        <f t="shared" si="3"/>
        <v/>
      </c>
      <c r="Q99" s="931"/>
    </row>
    <row r="100" spans="1:17" ht="18" thickBot="1" x14ac:dyDescent="0.3">
      <c r="A100" s="486">
        <v>96</v>
      </c>
      <c r="B100" s="500">
        <v>12</v>
      </c>
      <c r="C100" s="493" t="s">
        <v>1009</v>
      </c>
      <c r="D100" s="731">
        <f>'1Ф КРУГ'!B27</f>
        <v>0</v>
      </c>
      <c r="E100" s="730" t="e">
        <f>IF(D100="","",VLOOKUP(D100,'Списки участников'!A:K,12,FALSE))</f>
        <v>#N/A</v>
      </c>
      <c r="F100" s="494">
        <f>'1Ф КРУГ'!B29</f>
        <v>0</v>
      </c>
      <c r="G100" s="730" t="e">
        <f>IF(F100="","",VLOOKUP(F100,'Списки участников'!A:K,12,FALSE))</f>
        <v>#N/A</v>
      </c>
      <c r="H100" s="494"/>
      <c r="I100" s="701" t="str">
        <f>IF(H100="","",VLOOKUP(H100,'Списки участников'!A:K,12,FALSE))</f>
        <v/>
      </c>
      <c r="J100" s="702"/>
      <c r="K100" s="702"/>
      <c r="L100" s="702"/>
      <c r="M100" s="702"/>
      <c r="N100" s="702"/>
      <c r="O100" s="932" t="str">
        <f t="shared" si="2"/>
        <v/>
      </c>
      <c r="P100" s="933" t="str">
        <f t="shared" si="3"/>
        <v/>
      </c>
      <c r="Q100" s="701"/>
    </row>
    <row r="101" spans="1:17" ht="15" customHeight="1" x14ac:dyDescent="0.25">
      <c r="A101" s="486">
        <v>97</v>
      </c>
      <c r="B101" s="496">
        <v>13</v>
      </c>
      <c r="C101" s="483" t="s">
        <v>1010</v>
      </c>
      <c r="D101" s="485">
        <f>'1Ф КРУГ'!B5</f>
        <v>0</v>
      </c>
      <c r="E101" s="689" t="e">
        <f>IF(D101="","",VLOOKUP(D101,'Списки участников'!A:K,12,FALSE))</f>
        <v>#N/A</v>
      </c>
      <c r="F101" s="485">
        <f>'1Ф КРУГ'!B11</f>
        <v>0</v>
      </c>
      <c r="G101" s="689" t="e">
        <f>IF(F101="","",VLOOKUP(F101,'Списки участников'!A:K,12,FALSE))</f>
        <v>#N/A</v>
      </c>
      <c r="H101" s="485"/>
      <c r="I101" s="880" t="str">
        <f>IF(H101="","",VLOOKUP(H101,'Списки участников'!A:K,12,FALSE))</f>
        <v/>
      </c>
      <c r="J101" s="688"/>
      <c r="K101" s="688"/>
      <c r="L101" s="688"/>
      <c r="M101" s="688"/>
      <c r="N101" s="688"/>
      <c r="O101" s="905" t="str">
        <f t="shared" si="2"/>
        <v/>
      </c>
      <c r="P101" s="930" t="str">
        <f t="shared" si="3"/>
        <v/>
      </c>
      <c r="Q101" s="922"/>
    </row>
    <row r="102" spans="1:17" ht="17.25" x14ac:dyDescent="0.25">
      <c r="A102" s="486">
        <v>98</v>
      </c>
      <c r="B102" s="496">
        <v>13</v>
      </c>
      <c r="C102" s="906" t="s">
        <v>2674</v>
      </c>
      <c r="D102" s="484">
        <f>'1Ф КРУГ'!B9</f>
        <v>0</v>
      </c>
      <c r="E102" s="689" t="e">
        <f>IF(D102="","",VLOOKUP(D102,'Списки участников'!A:K,12,FALSE))</f>
        <v>#N/A</v>
      </c>
      <c r="F102" s="485">
        <f>'1Ф КРУГ'!B13</f>
        <v>0</v>
      </c>
      <c r="G102" s="689" t="e">
        <f>IF(F102="","",VLOOKUP(F102,'Списки участников'!A:K,12,FALSE))</f>
        <v>#N/A</v>
      </c>
      <c r="H102" s="484"/>
      <c r="I102" s="880" t="str">
        <f>IF(H102="","",VLOOKUP(H102,'Списки участников'!A:K,12,FALSE))</f>
        <v/>
      </c>
      <c r="J102" s="915"/>
      <c r="K102" s="915"/>
      <c r="L102" s="915"/>
      <c r="M102" s="486"/>
      <c r="N102" s="486"/>
      <c r="O102" s="905" t="str">
        <f t="shared" si="2"/>
        <v/>
      </c>
      <c r="P102" s="930" t="str">
        <f t="shared" si="3"/>
        <v/>
      </c>
      <c r="Q102" s="931"/>
    </row>
    <row r="103" spans="1:17" ht="17.25" x14ac:dyDescent="0.25">
      <c r="A103" s="486">
        <v>99</v>
      </c>
      <c r="B103" s="496">
        <v>13</v>
      </c>
      <c r="C103" s="906" t="s">
        <v>2675</v>
      </c>
      <c r="D103" s="484">
        <f>'1Ф КРУГ'!B7</f>
        <v>0</v>
      </c>
      <c r="E103" s="689" t="e">
        <f>IF(D103="","",VLOOKUP(D103,'Списки участников'!A:K,12,FALSE))</f>
        <v>#N/A</v>
      </c>
      <c r="F103" s="485">
        <f>'1Ф КРУГ'!B15</f>
        <v>0</v>
      </c>
      <c r="G103" s="689" t="e">
        <f>IF(F103="","",VLOOKUP(F103,'Списки участников'!A:K,12,FALSE))</f>
        <v>#N/A</v>
      </c>
      <c r="H103" s="484"/>
      <c r="I103" s="880" t="str">
        <f>IF(H103="","",VLOOKUP(H103,'Списки участников'!A:K,12,FALSE))</f>
        <v/>
      </c>
      <c r="J103" s="915"/>
      <c r="K103" s="915"/>
      <c r="L103" s="915"/>
      <c r="M103" s="486"/>
      <c r="N103" s="486"/>
      <c r="O103" s="905" t="str">
        <f t="shared" si="2"/>
        <v/>
      </c>
      <c r="P103" s="930" t="str">
        <f t="shared" si="3"/>
        <v/>
      </c>
      <c r="Q103" s="931"/>
    </row>
    <row r="104" spans="1:17" ht="17.25" x14ac:dyDescent="0.25">
      <c r="A104" s="486">
        <v>100</v>
      </c>
      <c r="B104" s="496">
        <v>13</v>
      </c>
      <c r="C104" s="488" t="s">
        <v>1011</v>
      </c>
      <c r="D104" s="484">
        <f>'1Ф КРУГ'!B17</f>
        <v>0</v>
      </c>
      <c r="E104" s="689" t="e">
        <f>IF(D104="","",VLOOKUP(D104,'Списки участников'!A:K,12,FALSE))</f>
        <v>#N/A</v>
      </c>
      <c r="F104" s="484">
        <f>'1Ф КРУГ'!B35</f>
        <v>0</v>
      </c>
      <c r="G104" s="689" t="e">
        <f>IF(F104="","",VLOOKUP(F104,'Списки участников'!A:K,12,FALSE))</f>
        <v>#N/A</v>
      </c>
      <c r="H104" s="484"/>
      <c r="I104" s="880" t="str">
        <f>IF(H104="","",VLOOKUP(H104,'Списки участников'!A:K,12,FALSE))</f>
        <v/>
      </c>
      <c r="J104" s="915"/>
      <c r="K104" s="915"/>
      <c r="L104" s="915"/>
      <c r="M104" s="486"/>
      <c r="N104" s="486"/>
      <c r="O104" s="905" t="str">
        <f t="shared" si="2"/>
        <v/>
      </c>
      <c r="P104" s="930" t="str">
        <f t="shared" si="3"/>
        <v/>
      </c>
      <c r="Q104" s="931"/>
    </row>
    <row r="105" spans="1:17" ht="17.25" x14ac:dyDescent="0.25">
      <c r="A105" s="486">
        <v>101</v>
      </c>
      <c r="B105" s="501">
        <v>13</v>
      </c>
      <c r="C105" s="488" t="s">
        <v>1012</v>
      </c>
      <c r="D105" s="484">
        <f>'1Ф КРУГ'!B19</f>
        <v>0</v>
      </c>
      <c r="E105" s="689" t="e">
        <f>IF(D105="","",VLOOKUP(D105,'Списки участников'!A:K,12,FALSE))</f>
        <v>#N/A</v>
      </c>
      <c r="F105" s="484">
        <f>'1Ф КРУГ'!B33</f>
        <v>0</v>
      </c>
      <c r="G105" s="689" t="e">
        <f>IF(F105="","",VLOOKUP(F105,'Списки участников'!A:K,12,FALSE))</f>
        <v>#N/A</v>
      </c>
      <c r="H105" s="484"/>
      <c r="I105" s="880" t="str">
        <f>IF(H105="","",VLOOKUP(H105,'Списки участников'!A:K,12,FALSE))</f>
        <v/>
      </c>
      <c r="J105" s="915"/>
      <c r="K105" s="915"/>
      <c r="L105" s="915"/>
      <c r="M105" s="486"/>
      <c r="N105" s="486"/>
      <c r="O105" s="905" t="str">
        <f t="shared" si="2"/>
        <v/>
      </c>
      <c r="P105" s="930" t="str">
        <f t="shared" si="3"/>
        <v/>
      </c>
      <c r="Q105" s="931"/>
    </row>
    <row r="106" spans="1:17" ht="17.25" x14ac:dyDescent="0.25">
      <c r="A106" s="486">
        <v>102</v>
      </c>
      <c r="B106" s="496">
        <v>13</v>
      </c>
      <c r="C106" s="490" t="s">
        <v>1013</v>
      </c>
      <c r="D106" s="484">
        <f>'1Ф КРУГ'!B21</f>
        <v>0</v>
      </c>
      <c r="E106" s="689" t="e">
        <f>IF(D106="","",VLOOKUP(D106,'Списки участников'!A:K,12,FALSE))</f>
        <v>#N/A</v>
      </c>
      <c r="F106" s="484">
        <f>'1Ф КРУГ'!B31</f>
        <v>0</v>
      </c>
      <c r="G106" s="689" t="e">
        <f>IF(F106="","",VLOOKUP(F106,'Списки участников'!A:K,12,FALSE))</f>
        <v>#N/A</v>
      </c>
      <c r="H106" s="491"/>
      <c r="I106" s="880" t="str">
        <f>IF(H106="","",VLOOKUP(H106,'Списки участников'!A:K,12,FALSE))</f>
        <v/>
      </c>
      <c r="J106" s="915"/>
      <c r="K106" s="915"/>
      <c r="L106" s="915"/>
      <c r="M106" s="687"/>
      <c r="N106" s="687"/>
      <c r="O106" s="905" t="str">
        <f t="shared" si="2"/>
        <v/>
      </c>
      <c r="P106" s="930" t="str">
        <f t="shared" si="3"/>
        <v/>
      </c>
      <c r="Q106" s="931"/>
    </row>
    <row r="107" spans="1:17" ht="17.25" x14ac:dyDescent="0.25">
      <c r="A107" s="486">
        <v>103</v>
      </c>
      <c r="B107" s="496">
        <v>13</v>
      </c>
      <c r="C107" s="490" t="s">
        <v>1014</v>
      </c>
      <c r="D107" s="484">
        <f>'1Ф КРУГ'!B23</f>
        <v>0</v>
      </c>
      <c r="E107" s="689" t="e">
        <f>IF(D107="","",VLOOKUP(D107,'Списки участников'!A:K,12,FALSE))</f>
        <v>#N/A</v>
      </c>
      <c r="F107" s="484">
        <f>'1Ф КРУГ'!B29</f>
        <v>0</v>
      </c>
      <c r="G107" s="689" t="e">
        <f>IF(F107="","",VLOOKUP(F107,'Списки участников'!A:K,12,FALSE))</f>
        <v>#N/A</v>
      </c>
      <c r="H107" s="491"/>
      <c r="I107" s="880" t="str">
        <f>IF(H107="","",VLOOKUP(H107,'Списки участников'!A:K,12,FALSE))</f>
        <v/>
      </c>
      <c r="J107" s="915"/>
      <c r="K107" s="915"/>
      <c r="L107" s="915"/>
      <c r="M107" s="687"/>
      <c r="N107" s="687"/>
      <c r="O107" s="905" t="str">
        <f t="shared" si="2"/>
        <v/>
      </c>
      <c r="P107" s="930" t="str">
        <f t="shared" si="3"/>
        <v/>
      </c>
      <c r="Q107" s="931"/>
    </row>
    <row r="108" spans="1:17" ht="18" thickBot="1" x14ac:dyDescent="0.3">
      <c r="A108" s="486">
        <v>104</v>
      </c>
      <c r="B108" s="500">
        <v>13</v>
      </c>
      <c r="C108" s="493" t="s">
        <v>1015</v>
      </c>
      <c r="D108" s="494">
        <f>'1Ф КРУГ'!B25</f>
        <v>0</v>
      </c>
      <c r="E108" s="730" t="e">
        <f>IF(D108="","",VLOOKUP(D108,'Списки участников'!A:K,12,FALSE))</f>
        <v>#N/A</v>
      </c>
      <c r="F108" s="494">
        <f>'1Ф КРУГ'!B27</f>
        <v>0</v>
      </c>
      <c r="G108" s="730" t="e">
        <f>IF(F108="","",VLOOKUP(F108,'Списки участников'!A:K,12,FALSE))</f>
        <v>#N/A</v>
      </c>
      <c r="H108" s="494"/>
      <c r="I108" s="701" t="str">
        <f>IF(H108="","",VLOOKUP(H108,'Списки участников'!A:K,12,FALSE))</f>
        <v/>
      </c>
      <c r="J108" s="702"/>
      <c r="K108" s="702"/>
      <c r="L108" s="702"/>
      <c r="M108" s="702"/>
      <c r="N108" s="702"/>
      <c r="O108" s="932" t="str">
        <f t="shared" si="2"/>
        <v/>
      </c>
      <c r="P108" s="933" t="str">
        <f t="shared" si="3"/>
        <v/>
      </c>
      <c r="Q108" s="701"/>
    </row>
    <row r="109" spans="1:17" ht="15" customHeight="1" x14ac:dyDescent="0.25">
      <c r="A109" s="486">
        <v>105</v>
      </c>
      <c r="B109" s="496">
        <v>14</v>
      </c>
      <c r="C109" s="913" t="s">
        <v>2680</v>
      </c>
      <c r="D109" s="485">
        <f>'1Ф КРУГ'!B5</f>
        <v>0</v>
      </c>
      <c r="E109" s="689" t="e">
        <f>IF(D109="","",VLOOKUP(D109,'Списки участников'!A:K,12,FALSE))</f>
        <v>#N/A</v>
      </c>
      <c r="F109" s="485">
        <f>'1Ф КРУГ'!B9</f>
        <v>0</v>
      </c>
      <c r="G109" s="689" t="e">
        <f>IF(F109="","",VLOOKUP(F109,'Списки участников'!A:K,12,FALSE))</f>
        <v>#N/A</v>
      </c>
      <c r="H109" s="485"/>
      <c r="I109" s="880" t="str">
        <f>IF(H109="","",VLOOKUP(H109,'Списки участников'!A:K,12,FALSE))</f>
        <v/>
      </c>
      <c r="J109" s="688"/>
      <c r="K109" s="688"/>
      <c r="L109" s="688"/>
      <c r="M109" s="688"/>
      <c r="N109" s="688"/>
      <c r="O109" s="905" t="str">
        <f t="shared" si="2"/>
        <v/>
      </c>
      <c r="P109" s="930" t="str">
        <f t="shared" si="3"/>
        <v/>
      </c>
      <c r="Q109" s="922"/>
    </row>
    <row r="110" spans="1:17" ht="17.25" x14ac:dyDescent="0.25">
      <c r="A110" s="486">
        <v>106</v>
      </c>
      <c r="B110" s="496">
        <v>14</v>
      </c>
      <c r="C110" s="906" t="s">
        <v>2676</v>
      </c>
      <c r="D110" s="485">
        <f>'1Ф КРУГ'!B7</f>
        <v>0</v>
      </c>
      <c r="E110" s="689" t="e">
        <f>IF(D110="","",VLOOKUP(D110,'Списки участников'!A:K,12,FALSE))</f>
        <v>#N/A</v>
      </c>
      <c r="F110" s="484">
        <f>'1Ф КРУГ'!B11</f>
        <v>0</v>
      </c>
      <c r="G110" s="689" t="e">
        <f>IF(F110="","",VLOOKUP(F110,'Списки участников'!A:K,12,FALSE))</f>
        <v>#N/A</v>
      </c>
      <c r="H110" s="484"/>
      <c r="I110" s="880" t="str">
        <f>IF(H110="","",VLOOKUP(H110,'Списки участников'!A:K,12,FALSE))</f>
        <v/>
      </c>
      <c r="J110" s="915"/>
      <c r="K110" s="915"/>
      <c r="L110" s="915"/>
      <c r="M110" s="486"/>
      <c r="N110" s="486"/>
      <c r="O110" s="905" t="str">
        <f t="shared" si="2"/>
        <v/>
      </c>
      <c r="P110" s="930" t="str">
        <f t="shared" si="3"/>
        <v/>
      </c>
      <c r="Q110" s="931"/>
    </row>
    <row r="111" spans="1:17" ht="17.25" x14ac:dyDescent="0.25">
      <c r="A111" s="486">
        <v>107</v>
      </c>
      <c r="B111" s="496">
        <v>14</v>
      </c>
      <c r="C111" s="488" t="s">
        <v>1016</v>
      </c>
      <c r="D111" s="485">
        <f>'1Ф КРУГ'!B13</f>
        <v>0</v>
      </c>
      <c r="E111" s="689" t="e">
        <f>IF(D111="","",VLOOKUP(D111,'Списки участников'!A:K,12,FALSE))</f>
        <v>#N/A</v>
      </c>
      <c r="F111" s="484">
        <f>'1Ф КРУГ'!B35</f>
        <v>0</v>
      </c>
      <c r="G111" s="689" t="e">
        <f>IF(F111="","",VLOOKUP(F111,'Списки участников'!A:K,12,FALSE))</f>
        <v>#N/A</v>
      </c>
      <c r="H111" s="484"/>
      <c r="I111" s="880" t="str">
        <f>IF(H111="","",VLOOKUP(H111,'Списки участников'!A:K,12,FALSE))</f>
        <v/>
      </c>
      <c r="J111" s="915"/>
      <c r="K111" s="915"/>
      <c r="L111" s="915"/>
      <c r="M111" s="486"/>
      <c r="N111" s="486"/>
      <c r="O111" s="905" t="str">
        <f t="shared" si="2"/>
        <v/>
      </c>
      <c r="P111" s="930" t="str">
        <f t="shared" si="3"/>
        <v/>
      </c>
      <c r="Q111" s="931"/>
    </row>
    <row r="112" spans="1:17" ht="17.25" x14ac:dyDescent="0.25">
      <c r="A112" s="486">
        <v>108</v>
      </c>
      <c r="B112" s="496">
        <v>14</v>
      </c>
      <c r="C112" s="488" t="s">
        <v>1017</v>
      </c>
      <c r="D112" s="485">
        <f>'1Ф КРУГ'!B15</f>
        <v>0</v>
      </c>
      <c r="E112" s="689" t="e">
        <f>IF(D112="","",VLOOKUP(D112,'Списки участников'!A:K,12,FALSE))</f>
        <v>#N/A</v>
      </c>
      <c r="F112" s="484">
        <f>'1Ф КРУГ'!B33</f>
        <v>0</v>
      </c>
      <c r="G112" s="689" t="e">
        <f>IF(F112="","",VLOOKUP(F112,'Списки участников'!A:K,12,FALSE))</f>
        <v>#N/A</v>
      </c>
      <c r="H112" s="484"/>
      <c r="I112" s="880" t="str">
        <f>IF(H112="","",VLOOKUP(H112,'Списки участников'!A:K,12,FALSE))</f>
        <v/>
      </c>
      <c r="J112" s="915"/>
      <c r="K112" s="915"/>
      <c r="L112" s="915"/>
      <c r="M112" s="486"/>
      <c r="N112" s="486"/>
      <c r="O112" s="905" t="str">
        <f t="shared" si="2"/>
        <v/>
      </c>
      <c r="P112" s="930" t="str">
        <f t="shared" si="3"/>
        <v/>
      </c>
      <c r="Q112" s="931"/>
    </row>
    <row r="113" spans="1:17" ht="17.25" x14ac:dyDescent="0.25">
      <c r="A113" s="486">
        <v>109</v>
      </c>
      <c r="B113" s="501">
        <v>14</v>
      </c>
      <c r="C113" s="488" t="s">
        <v>1018</v>
      </c>
      <c r="D113" s="485">
        <f>'1Ф КРУГ'!B17</f>
        <v>0</v>
      </c>
      <c r="E113" s="689" t="e">
        <f>IF(D113="","",VLOOKUP(D113,'Списки участников'!A:K,12,FALSE))</f>
        <v>#N/A</v>
      </c>
      <c r="F113" s="484">
        <f>'1Ф КРУГ'!B31</f>
        <v>0</v>
      </c>
      <c r="G113" s="689" t="e">
        <f>IF(F113="","",VLOOKUP(F113,'Списки участников'!A:K,12,FALSE))</f>
        <v>#N/A</v>
      </c>
      <c r="H113" s="484"/>
      <c r="I113" s="880" t="str">
        <f>IF(H113="","",VLOOKUP(H113,'Списки участников'!A:K,12,FALSE))</f>
        <v/>
      </c>
      <c r="J113" s="915"/>
      <c r="K113" s="915"/>
      <c r="L113" s="915"/>
      <c r="M113" s="486"/>
      <c r="N113" s="486"/>
      <c r="O113" s="905" t="str">
        <f t="shared" si="2"/>
        <v/>
      </c>
      <c r="P113" s="930" t="str">
        <f t="shared" si="3"/>
        <v/>
      </c>
      <c r="Q113" s="931"/>
    </row>
    <row r="114" spans="1:17" ht="17.25" x14ac:dyDescent="0.25">
      <c r="A114" s="486">
        <v>110</v>
      </c>
      <c r="B114" s="496">
        <v>14</v>
      </c>
      <c r="C114" s="490" t="s">
        <v>1019</v>
      </c>
      <c r="D114" s="485">
        <f>'1Ф КРУГ'!B19</f>
        <v>0</v>
      </c>
      <c r="E114" s="689" t="e">
        <f>IF(D114="","",VLOOKUP(D114,'Списки участников'!A:K,12,FALSE))</f>
        <v>#N/A</v>
      </c>
      <c r="F114" s="484">
        <f>'1Ф КРУГ'!B29</f>
        <v>0</v>
      </c>
      <c r="G114" s="689" t="e">
        <f>IF(F114="","",VLOOKUP(F114,'Списки участников'!A:K,12,FALSE))</f>
        <v>#N/A</v>
      </c>
      <c r="H114" s="491"/>
      <c r="I114" s="880" t="str">
        <f>IF(H114="","",VLOOKUP(H114,'Списки участников'!A:K,12,FALSE))</f>
        <v/>
      </c>
      <c r="J114" s="915"/>
      <c r="K114" s="915"/>
      <c r="L114" s="915"/>
      <c r="M114" s="687"/>
      <c r="N114" s="687"/>
      <c r="O114" s="905" t="str">
        <f t="shared" si="2"/>
        <v/>
      </c>
      <c r="P114" s="930" t="str">
        <f t="shared" si="3"/>
        <v/>
      </c>
      <c r="Q114" s="931"/>
    </row>
    <row r="115" spans="1:17" ht="17.25" x14ac:dyDescent="0.25">
      <c r="A115" s="486">
        <v>111</v>
      </c>
      <c r="B115" s="496">
        <v>14</v>
      </c>
      <c r="C115" s="490" t="s">
        <v>1020</v>
      </c>
      <c r="D115" s="485">
        <f>'1Ф КРУГ'!B21</f>
        <v>0</v>
      </c>
      <c r="E115" s="689" t="e">
        <f>IF(D115="","",VLOOKUP(D115,'Списки участников'!A:K,12,FALSE))</f>
        <v>#N/A</v>
      </c>
      <c r="F115" s="484">
        <f>'1Ф КРУГ'!B27</f>
        <v>0</v>
      </c>
      <c r="G115" s="689" t="e">
        <f>IF(F115="","",VLOOKUP(F115,'Списки участников'!A:K,12,FALSE))</f>
        <v>#N/A</v>
      </c>
      <c r="H115" s="491"/>
      <c r="I115" s="880" t="str">
        <f>IF(H115="","",VLOOKUP(H115,'Списки участников'!A:K,12,FALSE))</f>
        <v/>
      </c>
      <c r="J115" s="915"/>
      <c r="K115" s="915"/>
      <c r="L115" s="915"/>
      <c r="M115" s="687"/>
      <c r="N115" s="687"/>
      <c r="O115" s="905" t="str">
        <f t="shared" si="2"/>
        <v/>
      </c>
      <c r="P115" s="930" t="str">
        <f t="shared" si="3"/>
        <v/>
      </c>
      <c r="Q115" s="931"/>
    </row>
    <row r="116" spans="1:17" ht="18" thickBot="1" x14ac:dyDescent="0.3">
      <c r="A116" s="486">
        <v>112</v>
      </c>
      <c r="B116" s="500">
        <v>14</v>
      </c>
      <c r="C116" s="493" t="s">
        <v>1021</v>
      </c>
      <c r="D116" s="494">
        <f>'1Ф КРУГ'!B23</f>
        <v>0</v>
      </c>
      <c r="E116" s="701" t="e">
        <f>IF(D116="","",VLOOKUP(D116,'Списки участников'!A:K,12,FALSE))</f>
        <v>#N/A</v>
      </c>
      <c r="F116" s="494">
        <f>'1Ф КРУГ'!B25</f>
        <v>0</v>
      </c>
      <c r="G116" s="701" t="e">
        <f>IF(F116="","",VLOOKUP(F116,'Списки участников'!A:K,12,FALSE))</f>
        <v>#N/A</v>
      </c>
      <c r="H116" s="494"/>
      <c r="I116" s="701" t="str">
        <f>IF(H116="","",VLOOKUP(H116,'Списки участников'!A:K,12,FALSE))</f>
        <v/>
      </c>
      <c r="J116" s="702"/>
      <c r="K116" s="702"/>
      <c r="L116" s="702"/>
      <c r="M116" s="702"/>
      <c r="N116" s="702"/>
      <c r="O116" s="932" t="str">
        <f t="shared" si="2"/>
        <v/>
      </c>
      <c r="P116" s="933" t="str">
        <f t="shared" si="3"/>
        <v/>
      </c>
      <c r="Q116" s="701"/>
    </row>
    <row r="117" spans="1:17" ht="15" customHeight="1" x14ac:dyDescent="0.25">
      <c r="A117" s="486">
        <v>113</v>
      </c>
      <c r="B117" s="482">
        <v>15</v>
      </c>
      <c r="C117" s="483" t="s">
        <v>1022</v>
      </c>
      <c r="D117" s="485">
        <f>'1Ф КРУГ'!B5</f>
        <v>0</v>
      </c>
      <c r="E117" s="689" t="e">
        <f>IF(D117="","",VLOOKUP(D117,'Списки участников'!A:K,12,FALSE))</f>
        <v>#N/A</v>
      </c>
      <c r="F117" s="485">
        <f>'1Ф КРУГ'!B7</f>
        <v>0</v>
      </c>
      <c r="G117" s="689" t="e">
        <f>IF(F117="","",VLOOKUP(F117,'Списки участников'!A:K,12,FALSE))</f>
        <v>#N/A</v>
      </c>
      <c r="H117" s="485"/>
      <c r="I117" s="880" t="str">
        <f>IF(H117="","",VLOOKUP(H117,'Списки участников'!A:K,12,FALSE))</f>
        <v/>
      </c>
      <c r="J117" s="688"/>
      <c r="K117" s="688"/>
      <c r="L117" s="688"/>
      <c r="M117" s="688"/>
      <c r="N117" s="688"/>
      <c r="O117" s="905" t="str">
        <f t="shared" si="2"/>
        <v/>
      </c>
      <c r="P117" s="930" t="str">
        <f t="shared" si="3"/>
        <v/>
      </c>
      <c r="Q117" s="922"/>
    </row>
    <row r="118" spans="1:17" ht="17.25" x14ac:dyDescent="0.25">
      <c r="A118" s="486">
        <v>114</v>
      </c>
      <c r="B118" s="496">
        <v>15</v>
      </c>
      <c r="C118" s="488" t="s">
        <v>1023</v>
      </c>
      <c r="D118" s="484">
        <f>'1Ф КРУГ'!B9</f>
        <v>0</v>
      </c>
      <c r="E118" s="689" t="e">
        <f>IF(D118="","",VLOOKUP(D118,'Списки участников'!A:K,12,FALSE))</f>
        <v>#N/A</v>
      </c>
      <c r="F118" s="484">
        <f>'1Ф КРУГ'!B35</f>
        <v>0</v>
      </c>
      <c r="G118" s="689" t="e">
        <f>IF(F118="","",VLOOKUP(F118,'Списки участников'!A:K,12,FALSE))</f>
        <v>#N/A</v>
      </c>
      <c r="H118" s="484"/>
      <c r="I118" s="880" t="str">
        <f>IF(H118="","",VLOOKUP(H118,'Списки участников'!A:K,12,FALSE))</f>
        <v/>
      </c>
      <c r="J118" s="915"/>
      <c r="K118" s="915"/>
      <c r="L118" s="915"/>
      <c r="M118" s="915"/>
      <c r="N118" s="915"/>
      <c r="O118" s="905" t="str">
        <f t="shared" si="2"/>
        <v/>
      </c>
      <c r="P118" s="930" t="str">
        <f t="shared" si="3"/>
        <v/>
      </c>
      <c r="Q118" s="931"/>
    </row>
    <row r="119" spans="1:17" ht="17.25" x14ac:dyDescent="0.25">
      <c r="A119" s="486">
        <v>115</v>
      </c>
      <c r="B119" s="496">
        <v>15</v>
      </c>
      <c r="C119" s="488" t="s">
        <v>1024</v>
      </c>
      <c r="D119" s="484">
        <f>'1Ф КРУГ'!B11</f>
        <v>0</v>
      </c>
      <c r="E119" s="689" t="e">
        <f>IF(D119="","",VLOOKUP(D119,'Списки участников'!A:K,12,FALSE))</f>
        <v>#N/A</v>
      </c>
      <c r="F119" s="484">
        <f>'1Ф КРУГ'!B33</f>
        <v>0</v>
      </c>
      <c r="G119" s="689" t="e">
        <f>IF(F119="","",VLOOKUP(F119,'Списки участников'!A:K,12,FALSE))</f>
        <v>#N/A</v>
      </c>
      <c r="H119" s="484"/>
      <c r="I119" s="880" t="str">
        <f>IF(H119="","",VLOOKUP(H119,'Списки участников'!A:K,12,FALSE))</f>
        <v/>
      </c>
      <c r="J119" s="915"/>
      <c r="K119" s="915"/>
      <c r="L119" s="915"/>
      <c r="M119" s="915"/>
      <c r="N119" s="915"/>
      <c r="O119" s="905" t="str">
        <f t="shared" si="2"/>
        <v/>
      </c>
      <c r="P119" s="930" t="str">
        <f t="shared" si="3"/>
        <v/>
      </c>
      <c r="Q119" s="931"/>
    </row>
    <row r="120" spans="1:17" ht="17.25" x14ac:dyDescent="0.25">
      <c r="A120" s="486">
        <v>116</v>
      </c>
      <c r="B120" s="496">
        <v>15</v>
      </c>
      <c r="C120" s="488" t="s">
        <v>1025</v>
      </c>
      <c r="D120" s="484">
        <f>'1Ф КРУГ'!B13</f>
        <v>0</v>
      </c>
      <c r="E120" s="689" t="e">
        <f>IF(D120="","",VLOOKUP(D120,'Списки участников'!A:K,12,FALSE))</f>
        <v>#N/A</v>
      </c>
      <c r="F120" s="484">
        <f>'1Ф КРУГ'!B31</f>
        <v>0</v>
      </c>
      <c r="G120" s="689" t="e">
        <f>IF(F120="","",VLOOKUP(F120,'Списки участников'!A:K,12,FALSE))</f>
        <v>#N/A</v>
      </c>
      <c r="H120" s="484"/>
      <c r="I120" s="880" t="str">
        <f>IF(H120="","",VLOOKUP(H120,'Списки участников'!A:K,12,FALSE))</f>
        <v/>
      </c>
      <c r="J120" s="915"/>
      <c r="K120" s="915"/>
      <c r="L120" s="915"/>
      <c r="M120" s="915"/>
      <c r="N120" s="915"/>
      <c r="O120" s="905" t="str">
        <f t="shared" si="2"/>
        <v/>
      </c>
      <c r="P120" s="930" t="str">
        <f t="shared" si="3"/>
        <v/>
      </c>
      <c r="Q120" s="931"/>
    </row>
    <row r="121" spans="1:17" ht="17.25" x14ac:dyDescent="0.25">
      <c r="A121" s="486">
        <v>117</v>
      </c>
      <c r="B121" s="501">
        <v>15</v>
      </c>
      <c r="C121" s="488" t="s">
        <v>1026</v>
      </c>
      <c r="D121" s="484">
        <f>'1Ф КРУГ'!B15</f>
        <v>0</v>
      </c>
      <c r="E121" s="689" t="e">
        <f>IF(D121="","",VLOOKUP(D121,'Списки участников'!A:K,12,FALSE))</f>
        <v>#N/A</v>
      </c>
      <c r="F121" s="484">
        <f>'1Ф КРУГ'!B29</f>
        <v>0</v>
      </c>
      <c r="G121" s="689" t="e">
        <f>IF(F121="","",VLOOKUP(F121,'Списки участников'!A:K,12,FALSE))</f>
        <v>#N/A</v>
      </c>
      <c r="H121" s="484"/>
      <c r="I121" s="880" t="str">
        <f>IF(H121="","",VLOOKUP(H121,'Списки участников'!A:K,12,FALSE))</f>
        <v/>
      </c>
      <c r="J121" s="915"/>
      <c r="K121" s="915"/>
      <c r="L121" s="915"/>
      <c r="M121" s="915"/>
      <c r="N121" s="915"/>
      <c r="O121" s="905" t="str">
        <f t="shared" si="2"/>
        <v/>
      </c>
      <c r="P121" s="930" t="str">
        <f t="shared" si="3"/>
        <v/>
      </c>
      <c r="Q121" s="931"/>
    </row>
    <row r="122" spans="1:17" ht="17.25" x14ac:dyDescent="0.25">
      <c r="A122" s="486">
        <v>118</v>
      </c>
      <c r="B122" s="496">
        <v>15</v>
      </c>
      <c r="C122" s="490" t="s">
        <v>1027</v>
      </c>
      <c r="D122" s="484">
        <f>'1Ф КРУГ'!B17</f>
        <v>0</v>
      </c>
      <c r="E122" s="689" t="e">
        <f>IF(D122="","",VLOOKUP(D122,'Списки участников'!A:K,12,FALSE))</f>
        <v>#N/A</v>
      </c>
      <c r="F122" s="484">
        <f>'1Ф КРУГ'!B27</f>
        <v>0</v>
      </c>
      <c r="G122" s="689" t="e">
        <f>IF(F122="","",VLOOKUP(F122,'Списки участников'!A:K,12,FALSE))</f>
        <v>#N/A</v>
      </c>
      <c r="H122" s="491"/>
      <c r="I122" s="880" t="str">
        <f>IF(H122="","",VLOOKUP(H122,'Списки участников'!A:K,12,FALSE))</f>
        <v/>
      </c>
      <c r="J122" s="915"/>
      <c r="K122" s="915"/>
      <c r="L122" s="915"/>
      <c r="M122" s="915"/>
      <c r="N122" s="915"/>
      <c r="O122" s="905" t="str">
        <f t="shared" si="2"/>
        <v/>
      </c>
      <c r="P122" s="930" t="str">
        <f t="shared" si="3"/>
        <v/>
      </c>
      <c r="Q122" s="931"/>
    </row>
    <row r="123" spans="1:17" ht="17.25" x14ac:dyDescent="0.25">
      <c r="A123" s="486">
        <v>119</v>
      </c>
      <c r="B123" s="496">
        <v>15</v>
      </c>
      <c r="C123" s="490" t="s">
        <v>1028</v>
      </c>
      <c r="D123" s="484">
        <f>'1Ф КРУГ'!B19</f>
        <v>0</v>
      </c>
      <c r="E123" s="689" t="e">
        <f>IF(D123="","",VLOOKUP(D123,'Списки участников'!A:K,12,FALSE))</f>
        <v>#N/A</v>
      </c>
      <c r="F123" s="484">
        <f>'1Ф КРУГ'!B25</f>
        <v>0</v>
      </c>
      <c r="G123" s="689" t="e">
        <f>IF(F123="","",VLOOKUP(F123,'Списки участников'!A:K,12,FALSE))</f>
        <v>#N/A</v>
      </c>
      <c r="H123" s="491"/>
      <c r="I123" s="880" t="str">
        <f>IF(H123="","",VLOOKUP(H123,'Списки участников'!A:K,12,FALSE))</f>
        <v/>
      </c>
      <c r="J123" s="915"/>
      <c r="K123" s="915"/>
      <c r="L123" s="915"/>
      <c r="M123" s="915"/>
      <c r="N123" s="915"/>
      <c r="O123" s="905" t="str">
        <f t="shared" si="2"/>
        <v/>
      </c>
      <c r="P123" s="930" t="str">
        <f t="shared" si="3"/>
        <v/>
      </c>
      <c r="Q123" s="931"/>
    </row>
    <row r="124" spans="1:17" ht="18" thickBot="1" x14ac:dyDescent="0.3">
      <c r="A124" s="486">
        <v>120</v>
      </c>
      <c r="B124" s="500">
        <v>15</v>
      </c>
      <c r="C124" s="493" t="s">
        <v>1029</v>
      </c>
      <c r="D124" s="484">
        <f>'1Ф КРУГ'!B21</f>
        <v>0</v>
      </c>
      <c r="E124" s="689" t="e">
        <f>IF(D124="","",VLOOKUP(D124,'Списки участников'!A:K,12,FALSE))</f>
        <v>#N/A</v>
      </c>
      <c r="F124" s="484">
        <f>'1Ф КРУГ'!B23</f>
        <v>0</v>
      </c>
      <c r="G124" s="689" t="e">
        <f>IF(F124="","",VLOOKUP(F124,'Списки участников'!A:K,12,FALSE))</f>
        <v>#N/A</v>
      </c>
      <c r="H124" s="494"/>
      <c r="I124" s="880" t="str">
        <f>IF(H124="","",VLOOKUP(H124,'Списки участников'!A:K,12,FALSE))</f>
        <v/>
      </c>
      <c r="J124" s="915"/>
      <c r="K124" s="915"/>
      <c r="L124" s="915"/>
      <c r="M124" s="702"/>
      <c r="N124" s="702"/>
      <c r="O124" s="932" t="str">
        <f t="shared" si="2"/>
        <v/>
      </c>
      <c r="P124" s="933" t="str">
        <f t="shared" si="3"/>
        <v/>
      </c>
      <c r="Q124" s="701"/>
    </row>
  </sheetData>
  <mergeCells count="12">
    <mergeCell ref="A3:A4"/>
    <mergeCell ref="B3:B4"/>
    <mergeCell ref="C3:C4"/>
    <mergeCell ref="D3:D4"/>
    <mergeCell ref="E3:E4"/>
    <mergeCell ref="G3:G4"/>
    <mergeCell ref="I3:I4"/>
    <mergeCell ref="J3:N3"/>
    <mergeCell ref="C1:N1"/>
    <mergeCell ref="G2:M2"/>
    <mergeCell ref="N2:O2"/>
    <mergeCell ref="O3:P4"/>
  </mergeCells>
  <pageMargins left="0.51181102362204722" right="0.51181102362204722" top="0.55118110236220474" bottom="0.55118110236220474" header="0.31496062992125984" footer="0.31496062992125984"/>
  <pageSetup paperSize="9" scale="68" orientation="portrait" verticalDpi="0" r:id="rId1"/>
  <rowBreaks count="1" manualBreakCount="1">
    <brk id="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Y60"/>
  <sheetViews>
    <sheetView view="pageBreakPreview" zoomScale="110" zoomScaleNormal="100" zoomScaleSheetLayoutView="110" workbookViewId="0">
      <selection activeCell="BA6" sqref="BA6"/>
    </sheetView>
  </sheetViews>
  <sheetFormatPr defaultRowHeight="12.75" outlineLevelCol="1" x14ac:dyDescent="0.2"/>
  <cols>
    <col min="1" max="1" width="5.6640625" style="91" customWidth="1"/>
    <col min="2" max="2" width="5" style="91" hidden="1" customWidth="1" outlineLevel="1"/>
    <col min="3" max="3" width="30" style="91" customWidth="1" collapsed="1"/>
    <col min="4" max="21" width="2.83203125" style="91" customWidth="1"/>
    <col min="22" max="23" width="3.33203125" style="91" customWidth="1"/>
    <col min="24" max="25" width="5.83203125" style="91" customWidth="1"/>
    <col min="26" max="26" width="3.5" style="91" customWidth="1"/>
    <col min="27" max="27" width="5.6640625" style="91" customWidth="1"/>
    <col min="28" max="28" width="5" style="91" hidden="1" customWidth="1" outlineLevel="1"/>
    <col min="29" max="29" width="30" style="91" customWidth="1" collapsed="1"/>
    <col min="30" max="47" width="2.83203125" style="91" customWidth="1"/>
    <col min="48" max="49" width="3.33203125" style="91" customWidth="1"/>
    <col min="50" max="51" width="5.83203125" style="91" customWidth="1"/>
    <col min="52" max="16384" width="9.33203125" style="91"/>
  </cols>
  <sheetData>
    <row r="1" spans="1:51" ht="19.5" x14ac:dyDescent="0.35">
      <c r="C1" s="1101" t="str">
        <f>'Списки участников'!A1</f>
        <v xml:space="preserve">X Спартакиада
среди предприятий Нижегородской области ФСК "Профсоюзов",
под девизом "Будь спортивным - будь успешным!"
</v>
      </c>
      <c r="D1" s="1101"/>
      <c r="E1" s="1101"/>
      <c r="F1" s="1101"/>
      <c r="G1" s="1101"/>
      <c r="H1" s="1101"/>
      <c r="I1" s="1101"/>
      <c r="J1" s="1101"/>
      <c r="K1" s="1101"/>
      <c r="L1" s="1101"/>
      <c r="M1" s="1101"/>
      <c r="N1" s="1101"/>
      <c r="O1" s="1101"/>
      <c r="P1" s="1101"/>
      <c r="Q1" s="1101"/>
      <c r="R1" s="1101"/>
      <c r="S1" s="1101"/>
      <c r="T1" s="1101"/>
      <c r="U1" s="1101"/>
      <c r="V1" s="1101"/>
      <c r="W1" s="1101"/>
      <c r="X1" s="1101"/>
      <c r="Y1" s="1101"/>
      <c r="Z1" s="1101"/>
      <c r="AA1" s="1101"/>
      <c r="AB1" s="1101"/>
      <c r="AC1" s="1101"/>
      <c r="AD1" s="1101"/>
      <c r="AE1" s="1101"/>
      <c r="AF1" s="1101"/>
      <c r="AG1" s="1101"/>
      <c r="AH1" s="1101"/>
      <c r="AI1" s="1101"/>
      <c r="AJ1" s="1101"/>
      <c r="AK1" s="1101"/>
      <c r="AL1" s="1101"/>
      <c r="AM1" s="1101"/>
      <c r="AN1" s="1101"/>
      <c r="AO1" s="1101"/>
      <c r="AP1" s="1101"/>
      <c r="AQ1" s="1101"/>
      <c r="AR1" s="1101"/>
      <c r="AS1" s="1101"/>
      <c r="AT1" s="1101"/>
      <c r="AU1" s="1039"/>
      <c r="AV1" s="1039"/>
    </row>
    <row r="2" spans="1:51" ht="19.5" x14ac:dyDescent="0.35">
      <c r="C2" s="1040" t="str">
        <f>'Списки участников'!C3</f>
        <v>22 октября 2016 г.</v>
      </c>
      <c r="D2" s="1101" t="str">
        <f>'Списки участников'!A2</f>
        <v>Соревнования по настольному теннису</v>
      </c>
      <c r="E2" s="1101"/>
      <c r="F2" s="1101"/>
      <c r="G2" s="1101"/>
      <c r="H2" s="1101"/>
      <c r="I2" s="1101"/>
      <c r="J2" s="1101"/>
      <c r="K2" s="1101"/>
      <c r="L2" s="1101"/>
      <c r="M2" s="1101"/>
      <c r="N2" s="1101"/>
      <c r="O2" s="1101"/>
      <c r="P2" s="1101"/>
      <c r="Q2" s="1101"/>
      <c r="R2" s="1101"/>
      <c r="S2" s="1101"/>
      <c r="T2" s="1101"/>
      <c r="U2" s="1101"/>
      <c r="V2" s="1101"/>
      <c r="W2" s="1101"/>
      <c r="X2" s="1101"/>
      <c r="Y2" s="1101"/>
      <c r="Z2" s="1101"/>
      <c r="AA2" s="1101"/>
      <c r="AB2" s="1101"/>
      <c r="AC2" s="1101"/>
      <c r="AD2" s="1101"/>
      <c r="AE2" s="1101"/>
      <c r="AF2" s="1101"/>
      <c r="AG2" s="1101"/>
      <c r="AH2" s="1101"/>
      <c r="AI2" s="1101"/>
      <c r="AJ2" s="1101"/>
      <c r="AK2" s="1101"/>
      <c r="AL2" s="1101"/>
      <c r="AM2" s="1133" t="str">
        <f>'Списки участников'!F3</f>
        <v xml:space="preserve">                                               г. Н. Новгород</v>
      </c>
      <c r="AN2" s="1133"/>
      <c r="AO2" s="1133"/>
      <c r="AP2" s="1133"/>
      <c r="AQ2" s="1133"/>
      <c r="AR2" s="1133"/>
      <c r="AS2" s="1133"/>
      <c r="AT2" s="1133"/>
      <c r="AU2" s="1133"/>
      <c r="AV2" s="1133"/>
      <c r="AW2" s="1133"/>
      <c r="AX2" s="1046"/>
      <c r="AY2" s="1046"/>
    </row>
    <row r="3" spans="1:51" ht="15.75" x14ac:dyDescent="0.25">
      <c r="A3" s="1024"/>
      <c r="B3" s="1024"/>
      <c r="C3" s="1025">
        <f>'Списки участников'!F6</f>
        <v>0</v>
      </c>
      <c r="D3" s="1024"/>
      <c r="E3" s="1024"/>
      <c r="F3" s="1024"/>
      <c r="G3" s="1102" t="s">
        <v>954</v>
      </c>
      <c r="H3" s="1102"/>
      <c r="I3" s="1102"/>
      <c r="J3" s="1102"/>
      <c r="K3" s="1102"/>
      <c r="L3" s="1102"/>
      <c r="M3" s="1102"/>
      <c r="N3" s="1102"/>
      <c r="O3" s="1102"/>
      <c r="P3" s="1102"/>
      <c r="Q3" s="1102"/>
      <c r="R3" s="1102"/>
      <c r="S3" s="1041"/>
      <c r="T3" s="1041"/>
      <c r="U3" s="1041"/>
      <c r="V3" s="1024"/>
      <c r="W3" s="1024"/>
      <c r="X3" s="1024"/>
      <c r="Y3" s="1024"/>
      <c r="AA3" s="1024"/>
      <c r="AB3" s="1024"/>
      <c r="AC3" s="1025">
        <f>'Списки участников'!F6</f>
        <v>0</v>
      </c>
      <c r="AD3" s="1024"/>
      <c r="AE3" s="1024"/>
      <c r="AF3" s="1024"/>
      <c r="AG3" s="1102" t="s">
        <v>959</v>
      </c>
      <c r="AH3" s="1102"/>
      <c r="AI3" s="1102"/>
      <c r="AJ3" s="1102"/>
      <c r="AK3" s="1102"/>
      <c r="AL3" s="1102"/>
      <c r="AM3" s="1102"/>
      <c r="AN3" s="1102"/>
      <c r="AO3" s="1102"/>
      <c r="AP3" s="1102"/>
      <c r="AQ3" s="1102"/>
      <c r="AR3" s="1102"/>
      <c r="AS3" s="1041"/>
      <c r="AT3" s="1041"/>
      <c r="AU3" s="1041"/>
      <c r="AV3" s="1024"/>
      <c r="AW3" s="1024"/>
      <c r="AX3" s="1024"/>
      <c r="AY3" s="1024"/>
    </row>
    <row r="4" spans="1:51" ht="12" customHeight="1" x14ac:dyDescent="0.2">
      <c r="A4" s="1026" t="s">
        <v>3</v>
      </c>
      <c r="B4" s="1027"/>
      <c r="C4" s="1028" t="s">
        <v>757</v>
      </c>
      <c r="D4" s="1103">
        <v>1</v>
      </c>
      <c r="E4" s="1104"/>
      <c r="F4" s="1105"/>
      <c r="G4" s="1103">
        <v>2</v>
      </c>
      <c r="H4" s="1104"/>
      <c r="I4" s="1105"/>
      <c r="J4" s="1103">
        <v>3</v>
      </c>
      <c r="K4" s="1104"/>
      <c r="L4" s="1105"/>
      <c r="M4" s="1103">
        <v>4</v>
      </c>
      <c r="N4" s="1104"/>
      <c r="O4" s="1105"/>
      <c r="P4" s="1103">
        <v>5</v>
      </c>
      <c r="Q4" s="1104"/>
      <c r="R4" s="1105"/>
      <c r="S4" s="1103">
        <v>6</v>
      </c>
      <c r="T4" s="1104"/>
      <c r="U4" s="1105"/>
      <c r="V4" s="1106" t="s">
        <v>758</v>
      </c>
      <c r="W4" s="1107"/>
      <c r="X4" s="1029" t="s">
        <v>759</v>
      </c>
      <c r="Y4" s="1042" t="s">
        <v>2803</v>
      </c>
      <c r="AA4" s="1026" t="s">
        <v>3</v>
      </c>
      <c r="AB4" s="1027"/>
      <c r="AC4" s="1028" t="s">
        <v>757</v>
      </c>
      <c r="AD4" s="1103">
        <v>1</v>
      </c>
      <c r="AE4" s="1104"/>
      <c r="AF4" s="1105"/>
      <c r="AG4" s="1103">
        <v>2</v>
      </c>
      <c r="AH4" s="1104"/>
      <c r="AI4" s="1105"/>
      <c r="AJ4" s="1103">
        <v>3</v>
      </c>
      <c r="AK4" s="1104"/>
      <c r="AL4" s="1105"/>
      <c r="AM4" s="1103">
        <v>4</v>
      </c>
      <c r="AN4" s="1104"/>
      <c r="AO4" s="1105"/>
      <c r="AP4" s="1103">
        <v>5</v>
      </c>
      <c r="AQ4" s="1104"/>
      <c r="AR4" s="1105"/>
      <c r="AS4" s="1103">
        <v>6</v>
      </c>
      <c r="AT4" s="1104"/>
      <c r="AU4" s="1105"/>
      <c r="AV4" s="1106" t="s">
        <v>758</v>
      </c>
      <c r="AW4" s="1107"/>
      <c r="AX4" s="1029" t="s">
        <v>759</v>
      </c>
      <c r="AY4" s="1042" t="s">
        <v>2803</v>
      </c>
    </row>
    <row r="5" spans="1:51" ht="12" customHeight="1" x14ac:dyDescent="0.2">
      <c r="A5" s="1108">
        <v>1</v>
      </c>
      <c r="B5" s="1110">
        <v>1</v>
      </c>
      <c r="C5" s="1030" t="str">
        <f>IF(B5="","",VLOOKUP(B5,'Списки участников'!$A:$L,3,FALSE))</f>
        <v>НИКИФОРОВ Александр</v>
      </c>
      <c r="D5" s="1112"/>
      <c r="E5" s="1112"/>
      <c r="F5" s="1113"/>
      <c r="G5" s="1116">
        <v>2</v>
      </c>
      <c r="H5" s="1117"/>
      <c r="I5" s="1118"/>
      <c r="J5" s="1116">
        <v>2</v>
      </c>
      <c r="K5" s="1117"/>
      <c r="L5" s="1118"/>
      <c r="M5" s="1116"/>
      <c r="N5" s="1117"/>
      <c r="O5" s="1118"/>
      <c r="P5" s="1116"/>
      <c r="Q5" s="1117"/>
      <c r="R5" s="1118"/>
      <c r="S5" s="1116"/>
      <c r="T5" s="1117"/>
      <c r="U5" s="1118"/>
      <c r="V5" s="1119">
        <f>IF(B5="","",SUM(G5,J5,M5,P5,D5,S5))</f>
        <v>4</v>
      </c>
      <c r="W5" s="1120"/>
      <c r="X5" s="1123"/>
      <c r="Y5" s="1125">
        <f>IF(B5="","",RANK(V5,$V$5:$W$16))</f>
        <v>1</v>
      </c>
      <c r="AA5" s="1108">
        <v>1</v>
      </c>
      <c r="AB5" s="1110">
        <v>13</v>
      </c>
      <c r="AC5" s="1030" t="str">
        <f>IF(AB5="","",VLOOKUP(AB5,'Списки участников'!$A:$L,3,FALSE))</f>
        <v>ВАХРОМОВ Андрей</v>
      </c>
      <c r="AD5" s="1112"/>
      <c r="AE5" s="1112"/>
      <c r="AF5" s="1113"/>
      <c r="AG5" s="1116">
        <v>1</v>
      </c>
      <c r="AH5" s="1117"/>
      <c r="AI5" s="1118"/>
      <c r="AJ5" s="1116">
        <v>2</v>
      </c>
      <c r="AK5" s="1117"/>
      <c r="AL5" s="1118"/>
      <c r="AM5" s="1116"/>
      <c r="AN5" s="1117"/>
      <c r="AO5" s="1118"/>
      <c r="AP5" s="1116"/>
      <c r="AQ5" s="1117"/>
      <c r="AR5" s="1118"/>
      <c r="AS5" s="1116"/>
      <c r="AT5" s="1117"/>
      <c r="AU5" s="1118"/>
      <c r="AV5" s="1119">
        <f>IF(AB5="","",SUM(AG5,AJ5,AM5,AP5,AD5,AS5))</f>
        <v>3</v>
      </c>
      <c r="AW5" s="1120"/>
      <c r="AX5" s="1123"/>
      <c r="AY5" s="1125">
        <f>IF(AB5="","",RANK(AV5,$AV$5:$AW$16))</f>
        <v>2</v>
      </c>
    </row>
    <row r="6" spans="1:51" ht="12" customHeight="1" x14ac:dyDescent="0.2">
      <c r="A6" s="1109"/>
      <c r="B6" s="1111"/>
      <c r="C6" s="1031" t="str">
        <f>IF(B5="","",VLOOKUP(B5,'Списки участников'!$A:$L,6,FALSE))</f>
        <v>АО ФНПЦ НИИРТ</v>
      </c>
      <c r="D6" s="1114"/>
      <c r="E6" s="1114"/>
      <c r="F6" s="1115"/>
      <c r="G6" s="1032">
        <v>2</v>
      </c>
      <c r="H6" s="1033" t="str">
        <f>IF(G5="","",":")</f>
        <v>:</v>
      </c>
      <c r="I6" s="1034">
        <v>0</v>
      </c>
      <c r="J6" s="1032">
        <v>2</v>
      </c>
      <c r="K6" s="1033" t="str">
        <f>IF(J5="","",":")</f>
        <v>:</v>
      </c>
      <c r="L6" s="1034">
        <v>0</v>
      </c>
      <c r="M6" s="1032"/>
      <c r="N6" s="1033" t="str">
        <f>IF(M6="","",":")</f>
        <v/>
      </c>
      <c r="O6" s="1034"/>
      <c r="P6" s="1032"/>
      <c r="Q6" s="1033" t="str">
        <f>IF(P6="","",":")</f>
        <v/>
      </c>
      <c r="R6" s="1034"/>
      <c r="S6" s="1043"/>
      <c r="T6" s="1043"/>
      <c r="U6" s="1043"/>
      <c r="V6" s="1121"/>
      <c r="W6" s="1122"/>
      <c r="X6" s="1124"/>
      <c r="Y6" s="1125"/>
      <c r="AA6" s="1109"/>
      <c r="AB6" s="1111"/>
      <c r="AC6" s="1031" t="str">
        <f>IF(AB5="","",VLOOKUP(AB5,'Списки участников'!$A:$L,6,FALSE))</f>
        <v>ТПП</v>
      </c>
      <c r="AD6" s="1114"/>
      <c r="AE6" s="1114"/>
      <c r="AF6" s="1115"/>
      <c r="AG6" s="1032">
        <v>0</v>
      </c>
      <c r="AH6" s="1033" t="str">
        <f>IF(AG5="","",":")</f>
        <v>:</v>
      </c>
      <c r="AI6" s="1034">
        <v>2</v>
      </c>
      <c r="AJ6" s="1032">
        <v>2</v>
      </c>
      <c r="AK6" s="1033" t="str">
        <f>IF(AJ5="","",":")</f>
        <v>:</v>
      </c>
      <c r="AL6" s="1034">
        <v>0</v>
      </c>
      <c r="AM6" s="1032"/>
      <c r="AN6" s="1033" t="str">
        <f>IF(AM6="","",":")</f>
        <v/>
      </c>
      <c r="AO6" s="1034"/>
      <c r="AP6" s="1032"/>
      <c r="AQ6" s="1033" t="str">
        <f>IF(AP6="","",":")</f>
        <v/>
      </c>
      <c r="AR6" s="1034"/>
      <c r="AS6" s="1043"/>
      <c r="AT6" s="1043"/>
      <c r="AU6" s="1043"/>
      <c r="AV6" s="1121"/>
      <c r="AW6" s="1122"/>
      <c r="AX6" s="1124"/>
      <c r="AY6" s="1125"/>
    </row>
    <row r="7" spans="1:51" ht="12" customHeight="1" x14ac:dyDescent="0.2">
      <c r="A7" s="1108">
        <v>2</v>
      </c>
      <c r="B7" s="1110">
        <v>46</v>
      </c>
      <c r="C7" s="1030" t="str">
        <f>IF(B7="","",VLOOKUP(B7,'Списки участников'!$A:$L,3,FALSE))</f>
        <v>МАТВЕЕВ Сергей</v>
      </c>
      <c r="D7" s="1116">
        <f>IF(G5="","",IF(G6="W",0,IF(G5=2,1,IF(G5=1,2,IF(G5=0,2)))))</f>
        <v>1</v>
      </c>
      <c r="E7" s="1117"/>
      <c r="F7" s="1118"/>
      <c r="G7" s="1126"/>
      <c r="H7" s="1127"/>
      <c r="I7" s="1128"/>
      <c r="J7" s="1116">
        <v>2</v>
      </c>
      <c r="K7" s="1117"/>
      <c r="L7" s="1118"/>
      <c r="M7" s="1116"/>
      <c r="N7" s="1117"/>
      <c r="O7" s="1118"/>
      <c r="P7" s="1116"/>
      <c r="Q7" s="1117"/>
      <c r="R7" s="1118"/>
      <c r="S7" s="1116"/>
      <c r="T7" s="1117"/>
      <c r="U7" s="1118"/>
      <c r="V7" s="1119">
        <f t="shared" ref="V7" si="0">IF(B7="","",SUM(G7,J7,M7,P7,D7,S7))</f>
        <v>3</v>
      </c>
      <c r="W7" s="1120"/>
      <c r="X7" s="1123"/>
      <c r="Y7" s="1125">
        <f t="shared" ref="Y7" si="1">IF(B7="","",RANK(V7,$V$5:$W$16))</f>
        <v>2</v>
      </c>
      <c r="AA7" s="1108">
        <v>2</v>
      </c>
      <c r="AB7" s="1110">
        <v>24</v>
      </c>
      <c r="AC7" s="1030" t="str">
        <f>IF(AB7="","",VLOOKUP(AB7,'Списки участников'!$A:$L,3,FALSE))</f>
        <v>КРЫЛОВА Ольга</v>
      </c>
      <c r="AD7" s="1116">
        <f>IF(AG5="","",IF(AG6="W",0,IF(AG5=2,1,IF(AG5=1,2,IF(AG5=0,2)))))</f>
        <v>2</v>
      </c>
      <c r="AE7" s="1117"/>
      <c r="AF7" s="1118"/>
      <c r="AG7" s="1126"/>
      <c r="AH7" s="1127"/>
      <c r="AI7" s="1128"/>
      <c r="AJ7" s="1116">
        <v>2</v>
      </c>
      <c r="AK7" s="1117"/>
      <c r="AL7" s="1118"/>
      <c r="AM7" s="1116"/>
      <c r="AN7" s="1117"/>
      <c r="AO7" s="1118"/>
      <c r="AP7" s="1116"/>
      <c r="AQ7" s="1117"/>
      <c r="AR7" s="1118"/>
      <c r="AS7" s="1116"/>
      <c r="AT7" s="1117"/>
      <c r="AU7" s="1118"/>
      <c r="AV7" s="1119">
        <f t="shared" ref="AV7" si="2">IF(AB7="","",SUM(AG7,AJ7,AM7,AP7,AD7,AS7))</f>
        <v>4</v>
      </c>
      <c r="AW7" s="1120"/>
      <c r="AX7" s="1123"/>
      <c r="AY7" s="1125">
        <f t="shared" ref="AY7" si="3">IF(AB7="","",RANK(AV7,$AV$5:$AW$16))</f>
        <v>1</v>
      </c>
    </row>
    <row r="8" spans="1:51" ht="12" customHeight="1" x14ac:dyDescent="0.2">
      <c r="A8" s="1109"/>
      <c r="B8" s="1111"/>
      <c r="C8" s="1031" t="str">
        <f>IF(B7="","",VLOOKUP(B7,'Списки участников'!$A:$L,6,FALSE))</f>
        <v>ПАО НАЗ "СОКОЛ"</v>
      </c>
      <c r="D8" s="1035">
        <f>IF(G6="","",IF(I6="l","W",I6))</f>
        <v>0</v>
      </c>
      <c r="E8" s="1036" t="str">
        <f>IF(G5="","",":")</f>
        <v>:</v>
      </c>
      <c r="F8" s="1037">
        <f>IF(I6="","",IF(G6="W","L",G6))</f>
        <v>2</v>
      </c>
      <c r="G8" s="1129"/>
      <c r="H8" s="1114"/>
      <c r="I8" s="1115"/>
      <c r="J8" s="1032">
        <v>2</v>
      </c>
      <c r="K8" s="1033" t="str">
        <f>IF(J7="","",":")</f>
        <v>:</v>
      </c>
      <c r="L8" s="1034">
        <v>1</v>
      </c>
      <c r="M8" s="1032"/>
      <c r="N8" s="1033" t="str">
        <f>IF(M7="","",":")</f>
        <v/>
      </c>
      <c r="O8" s="1034"/>
      <c r="P8" s="1032"/>
      <c r="Q8" s="1033" t="str">
        <f>IF(P7="","",":")</f>
        <v/>
      </c>
      <c r="R8" s="1034"/>
      <c r="S8" s="1043"/>
      <c r="T8" s="1043"/>
      <c r="U8" s="1043"/>
      <c r="V8" s="1121"/>
      <c r="W8" s="1122"/>
      <c r="X8" s="1124"/>
      <c r="Y8" s="1125"/>
      <c r="AA8" s="1109"/>
      <c r="AB8" s="1111"/>
      <c r="AC8" s="1031" t="str">
        <f>IF(AB7="","",VLOOKUP(AB7,'Списки участников'!$A:$L,6,FALSE))</f>
        <v>НИИИС</v>
      </c>
      <c r="AD8" s="1035">
        <f>IF(AG6="","",IF(AI6="l","W",AI6))</f>
        <v>2</v>
      </c>
      <c r="AE8" s="1036" t="str">
        <f>IF(AG5="","",":")</f>
        <v>:</v>
      </c>
      <c r="AF8" s="1037">
        <f>IF(AI6="","",IF(AG6="W","L",AG6))</f>
        <v>0</v>
      </c>
      <c r="AG8" s="1129"/>
      <c r="AH8" s="1114"/>
      <c r="AI8" s="1115"/>
      <c r="AJ8" s="1032">
        <v>2</v>
      </c>
      <c r="AK8" s="1033" t="str">
        <f>IF(AJ7="","",":")</f>
        <v>:</v>
      </c>
      <c r="AL8" s="1034">
        <v>0</v>
      </c>
      <c r="AM8" s="1032"/>
      <c r="AN8" s="1033" t="str">
        <f>IF(AM7="","",":")</f>
        <v/>
      </c>
      <c r="AO8" s="1034"/>
      <c r="AP8" s="1032"/>
      <c r="AQ8" s="1033" t="str">
        <f>IF(AP7="","",":")</f>
        <v/>
      </c>
      <c r="AR8" s="1034"/>
      <c r="AS8" s="1043"/>
      <c r="AT8" s="1043"/>
      <c r="AU8" s="1043"/>
      <c r="AV8" s="1121"/>
      <c r="AW8" s="1122"/>
      <c r="AX8" s="1124"/>
      <c r="AY8" s="1125"/>
    </row>
    <row r="9" spans="1:51" ht="12" customHeight="1" x14ac:dyDescent="0.2">
      <c r="A9" s="1108">
        <v>3</v>
      </c>
      <c r="B9" s="1110">
        <v>5</v>
      </c>
      <c r="C9" s="1030" t="str">
        <f>IF(B9="","",VLOOKUP(B9,'Списки участников'!$A:$L,3,FALSE))</f>
        <v>АСТАПОВ Андрей</v>
      </c>
      <c r="D9" s="1116">
        <f>IF(J5="","",IF(J6="W",0,IF(J5=2,1,IF(J5=1,2,IF(J5=0,2)))))</f>
        <v>1</v>
      </c>
      <c r="E9" s="1117"/>
      <c r="F9" s="1118"/>
      <c r="G9" s="1116">
        <f>IF(J7="","",IF(J8="W",0,IF(J7=2,1,IF(J7=1,2,IF(J7=0,2)))))</f>
        <v>1</v>
      </c>
      <c r="H9" s="1117"/>
      <c r="I9" s="1118"/>
      <c r="J9" s="1126"/>
      <c r="K9" s="1127"/>
      <c r="L9" s="1128"/>
      <c r="M9" s="1116"/>
      <c r="N9" s="1117"/>
      <c r="O9" s="1118"/>
      <c r="P9" s="1116"/>
      <c r="Q9" s="1117"/>
      <c r="R9" s="1118"/>
      <c r="S9" s="1116"/>
      <c r="T9" s="1117"/>
      <c r="U9" s="1118"/>
      <c r="V9" s="1119">
        <f t="shared" ref="V9" si="4">IF(B9="","",SUM(G9,J9,M9,P9,D9,S9))</f>
        <v>2</v>
      </c>
      <c r="W9" s="1120"/>
      <c r="X9" s="1130"/>
      <c r="Y9" s="1125">
        <f t="shared" ref="Y9" si="5">IF(B9="","",RANK(V9,$V$5:$W$16))</f>
        <v>3</v>
      </c>
      <c r="AA9" s="1108">
        <v>3</v>
      </c>
      <c r="AB9" s="1110">
        <v>23</v>
      </c>
      <c r="AC9" s="1030" t="str">
        <f>IF(AB9="","",VLOOKUP(AB9,'Списки участников'!$A:$L,3,FALSE))</f>
        <v>КОРНИЛАЕВ Михаил</v>
      </c>
      <c r="AD9" s="1116">
        <f>IF(AJ5="","",IF(AJ6="W",0,IF(AJ5=2,1,IF(AJ5=1,2,IF(AJ5=0,2)))))</f>
        <v>1</v>
      </c>
      <c r="AE9" s="1117"/>
      <c r="AF9" s="1118"/>
      <c r="AG9" s="1116">
        <f>IF(AJ7="","",IF(AJ8="W",0,IF(AJ7=2,1,IF(AJ7=1,2,IF(AJ7=0,2)))))</f>
        <v>1</v>
      </c>
      <c r="AH9" s="1117"/>
      <c r="AI9" s="1118"/>
      <c r="AJ9" s="1126"/>
      <c r="AK9" s="1127"/>
      <c r="AL9" s="1128"/>
      <c r="AM9" s="1116"/>
      <c r="AN9" s="1117"/>
      <c r="AO9" s="1118"/>
      <c r="AP9" s="1116"/>
      <c r="AQ9" s="1117"/>
      <c r="AR9" s="1118"/>
      <c r="AS9" s="1116"/>
      <c r="AT9" s="1117"/>
      <c r="AU9" s="1118"/>
      <c r="AV9" s="1119">
        <f t="shared" ref="AV9" si="6">IF(AB9="","",SUM(AG9,AJ9,AM9,AP9,AD9,AS9))</f>
        <v>2</v>
      </c>
      <c r="AW9" s="1120"/>
      <c r="AX9" s="1130"/>
      <c r="AY9" s="1125">
        <f t="shared" ref="AY9" si="7">IF(AB9="","",RANK(AV9,$AV$5:$AW$16))</f>
        <v>3</v>
      </c>
    </row>
    <row r="10" spans="1:51" ht="12" customHeight="1" x14ac:dyDescent="0.2">
      <c r="A10" s="1109"/>
      <c r="B10" s="1111"/>
      <c r="C10" s="1031" t="str">
        <f>IF(B9="","",VLOOKUP(B9,'Списки участников'!$A:$L,6,FALSE))</f>
        <v>ОАО АНПП "ТЕМП-АВИА"</v>
      </c>
      <c r="D10" s="1032">
        <f>IF(J6="","",IF(L6="l","W",L6))</f>
        <v>0</v>
      </c>
      <c r="E10" s="1033" t="str">
        <f>IF(K6="","",":")</f>
        <v>:</v>
      </c>
      <c r="F10" s="1038">
        <f>IF(L6="","",IF(J6="W","L",J6))</f>
        <v>2</v>
      </c>
      <c r="G10" s="1032">
        <f>IF(J8="","",IF(L8="l","W",L8))</f>
        <v>1</v>
      </c>
      <c r="H10" s="1033" t="str">
        <f>IF(K8="","",":")</f>
        <v>:</v>
      </c>
      <c r="I10" s="1038">
        <f>IF(L8="","",IF(J8="W","L",J8))</f>
        <v>2</v>
      </c>
      <c r="J10" s="1129"/>
      <c r="K10" s="1114"/>
      <c r="L10" s="1115"/>
      <c r="M10" s="1032"/>
      <c r="N10" s="1033" t="str">
        <f>IF(M9="","",":")</f>
        <v/>
      </c>
      <c r="O10" s="1034"/>
      <c r="P10" s="1032"/>
      <c r="Q10" s="1033" t="str">
        <f>IF(P9="","",":")</f>
        <v/>
      </c>
      <c r="R10" s="1034"/>
      <c r="S10" s="1043"/>
      <c r="T10" s="1043"/>
      <c r="U10" s="1043"/>
      <c r="V10" s="1121"/>
      <c r="W10" s="1122"/>
      <c r="X10" s="1131"/>
      <c r="Y10" s="1125"/>
      <c r="AA10" s="1109"/>
      <c r="AB10" s="1111"/>
      <c r="AC10" s="1031" t="str">
        <f>IF(AB9="","",VLOOKUP(AB9,'Списки участников'!$A:$L,6,FALSE))</f>
        <v>НИИИС</v>
      </c>
      <c r="AD10" s="1032">
        <f>IF(AJ6="","",IF(AL6="l","W",AL6))</f>
        <v>0</v>
      </c>
      <c r="AE10" s="1033" t="str">
        <f>IF(AK6="","",":")</f>
        <v>:</v>
      </c>
      <c r="AF10" s="1038">
        <f>IF(AL6="","",IF(AJ6="W","L",AJ6))</f>
        <v>2</v>
      </c>
      <c r="AG10" s="1032">
        <f>IF(AJ8="","",IF(AL8="l","W",AL8))</f>
        <v>0</v>
      </c>
      <c r="AH10" s="1033" t="str">
        <f>IF(AK8="","",":")</f>
        <v>:</v>
      </c>
      <c r="AI10" s="1038">
        <f>IF(AL8="","",IF(AJ8="W","L",AJ8))</f>
        <v>2</v>
      </c>
      <c r="AJ10" s="1129"/>
      <c r="AK10" s="1114"/>
      <c r="AL10" s="1115"/>
      <c r="AM10" s="1032"/>
      <c r="AN10" s="1033" t="str">
        <f>IF(AM9="","",":")</f>
        <v/>
      </c>
      <c r="AO10" s="1034"/>
      <c r="AP10" s="1032"/>
      <c r="AQ10" s="1033" t="str">
        <f>IF(AP9="","",":")</f>
        <v/>
      </c>
      <c r="AR10" s="1034"/>
      <c r="AS10" s="1043"/>
      <c r="AT10" s="1043"/>
      <c r="AU10" s="1043"/>
      <c r="AV10" s="1121"/>
      <c r="AW10" s="1122"/>
      <c r="AX10" s="1131"/>
      <c r="AY10" s="1125"/>
    </row>
    <row r="11" spans="1:51" ht="12" customHeight="1" x14ac:dyDescent="0.2">
      <c r="A11" s="1108">
        <v>4</v>
      </c>
      <c r="B11" s="1110"/>
      <c r="C11" s="1030" t="str">
        <f>IF(B11="","",VLOOKUP(B11,'Списки участников'!$A:$L,3,FALSE))</f>
        <v/>
      </c>
      <c r="D11" s="1116" t="str">
        <f>IF(M5="","",IF(M6="W",0,IF(M5=2,1,IF(M5=1,2,IF(M5=0,2)))))</f>
        <v/>
      </c>
      <c r="E11" s="1117"/>
      <c r="F11" s="1118"/>
      <c r="G11" s="1116" t="str">
        <f>IF(M7="","",IF(M8="W",0,IF(M7=2,1,IF(M7=1,2,IF(M7=0,2)))))</f>
        <v/>
      </c>
      <c r="H11" s="1117"/>
      <c r="I11" s="1118"/>
      <c r="J11" s="1116" t="str">
        <f>IF(M9="","",IF(M10="W",0,IF(M9=2,1,IF(M9=1,2,IF(M9=0,2)))))</f>
        <v/>
      </c>
      <c r="K11" s="1117"/>
      <c r="L11" s="1118"/>
      <c r="M11" s="1127"/>
      <c r="N11" s="1127"/>
      <c r="O11" s="1127"/>
      <c r="P11" s="1116"/>
      <c r="Q11" s="1117"/>
      <c r="R11" s="1118"/>
      <c r="S11" s="1116"/>
      <c r="T11" s="1117"/>
      <c r="U11" s="1118"/>
      <c r="V11" s="1119" t="str">
        <f t="shared" ref="V11" si="8">IF(B11="","",SUM(G11,J11,M11,P11,D11,S11))</f>
        <v/>
      </c>
      <c r="W11" s="1120"/>
      <c r="X11" s="1130"/>
      <c r="Y11" s="1125" t="str">
        <f t="shared" ref="Y11" si="9">IF(B11="","",RANK(V11,$V$5:$W$16))</f>
        <v/>
      </c>
      <c r="AA11" s="1108">
        <v>4</v>
      </c>
      <c r="AB11" s="1110"/>
      <c r="AC11" s="1030" t="str">
        <f>IF(AB11="","",VLOOKUP(AB11,'Списки участников'!$A:$L,3,FALSE))</f>
        <v/>
      </c>
      <c r="AD11" s="1116" t="str">
        <f>IF(AM5="","",IF(AM6="W",0,IF(AM5=2,1,IF(AM5=1,2,IF(AM5=0,2)))))</f>
        <v/>
      </c>
      <c r="AE11" s="1117"/>
      <c r="AF11" s="1118"/>
      <c r="AG11" s="1116" t="str">
        <f>IF(AM7="","",IF(AM8="W",0,IF(AM7=2,1,IF(AM7=1,2,IF(AM7=0,2)))))</f>
        <v/>
      </c>
      <c r="AH11" s="1117"/>
      <c r="AI11" s="1118"/>
      <c r="AJ11" s="1116" t="str">
        <f>IF(AM9="","",IF(AM10="W",0,IF(AM9=2,1,IF(AM9=1,2,IF(AM9=0,2)))))</f>
        <v/>
      </c>
      <c r="AK11" s="1117"/>
      <c r="AL11" s="1118"/>
      <c r="AM11" s="1127"/>
      <c r="AN11" s="1127"/>
      <c r="AO11" s="1127"/>
      <c r="AP11" s="1116"/>
      <c r="AQ11" s="1117"/>
      <c r="AR11" s="1118"/>
      <c r="AS11" s="1116"/>
      <c r="AT11" s="1117"/>
      <c r="AU11" s="1118"/>
      <c r="AV11" s="1119" t="str">
        <f t="shared" ref="AV11" si="10">IF(AB11="","",SUM(AG11,AJ11,AM11,AP11,AD11,AS11))</f>
        <v/>
      </c>
      <c r="AW11" s="1120"/>
      <c r="AX11" s="1130"/>
      <c r="AY11" s="1125" t="str">
        <f t="shared" ref="AY11" si="11">IF(AB11="","",RANK(AV11,$AV$5:$AW$16))</f>
        <v/>
      </c>
    </row>
    <row r="12" spans="1:51" ht="12" customHeight="1" x14ac:dyDescent="0.2">
      <c r="A12" s="1109"/>
      <c r="B12" s="1111"/>
      <c r="C12" s="1031" t="str">
        <f>IF(B11="","",VLOOKUP(B11,'Списки участников'!$A:$L,6,FALSE))</f>
        <v/>
      </c>
      <c r="D12" s="1032" t="str">
        <f>IF(M6="","",IF(O6="l","W",O6))</f>
        <v/>
      </c>
      <c r="E12" s="1033" t="str">
        <f>IF(N6="","",":")</f>
        <v/>
      </c>
      <c r="F12" s="1038" t="str">
        <f>IF(O6="","",IF(M6="W","L",M6))</f>
        <v/>
      </c>
      <c r="G12" s="1032" t="str">
        <f>IF(M8="","",IF(O8="l","W",O8))</f>
        <v/>
      </c>
      <c r="H12" s="1033" t="str">
        <f>IF(N8="","",":")</f>
        <v/>
      </c>
      <c r="I12" s="1038" t="str">
        <f>IF(O8="","",IF(M8="W","L",M8))</f>
        <v/>
      </c>
      <c r="J12" s="1032" t="str">
        <f>IF(M10="","",IF(O10="l","W",O10))</f>
        <v/>
      </c>
      <c r="K12" s="1033" t="str">
        <f>IF(N10="","",":")</f>
        <v/>
      </c>
      <c r="L12" s="1038" t="str">
        <f>IF(O10="","",IF(M10="W","L",M10))</f>
        <v/>
      </c>
      <c r="M12" s="1132"/>
      <c r="N12" s="1132"/>
      <c r="O12" s="1132"/>
      <c r="P12" s="1032"/>
      <c r="Q12" s="1033" t="str">
        <f>IF(P11="","",":")</f>
        <v/>
      </c>
      <c r="R12" s="1034"/>
      <c r="S12" s="1043"/>
      <c r="T12" s="1043"/>
      <c r="U12" s="1043"/>
      <c r="V12" s="1121"/>
      <c r="W12" s="1122"/>
      <c r="X12" s="1131"/>
      <c r="Y12" s="1125"/>
      <c r="AA12" s="1109"/>
      <c r="AB12" s="1111"/>
      <c r="AC12" s="1031" t="str">
        <f>IF(AB11="","",VLOOKUP(AB11,'Списки участников'!$A:$L,6,FALSE))</f>
        <v/>
      </c>
      <c r="AD12" s="1032" t="str">
        <f>IF(AM6="","",IF(AO6="l","W",AO6))</f>
        <v/>
      </c>
      <c r="AE12" s="1033" t="str">
        <f>IF(AN6="","",":")</f>
        <v/>
      </c>
      <c r="AF12" s="1038" t="str">
        <f>IF(AO6="","",IF(AM6="W","L",AM6))</f>
        <v/>
      </c>
      <c r="AG12" s="1032" t="str">
        <f>IF(AM8="","",IF(AO8="l","W",AO8))</f>
        <v/>
      </c>
      <c r="AH12" s="1033" t="str">
        <f>IF(AN8="","",":")</f>
        <v/>
      </c>
      <c r="AI12" s="1038" t="str">
        <f>IF(AO8="","",IF(AM8="W","L",AM8))</f>
        <v/>
      </c>
      <c r="AJ12" s="1032" t="str">
        <f>IF(AM10="","",IF(AO10="l","W",AO10))</f>
        <v/>
      </c>
      <c r="AK12" s="1033" t="str">
        <f>IF(AN10="","",":")</f>
        <v/>
      </c>
      <c r="AL12" s="1038" t="str">
        <f>IF(AO10="","",IF(AM10="W","L",AM10))</f>
        <v/>
      </c>
      <c r="AM12" s="1132"/>
      <c r="AN12" s="1132"/>
      <c r="AO12" s="1132"/>
      <c r="AP12" s="1032"/>
      <c r="AQ12" s="1033" t="str">
        <f>IF(AP11="","",":")</f>
        <v/>
      </c>
      <c r="AR12" s="1034"/>
      <c r="AS12" s="1043"/>
      <c r="AT12" s="1043"/>
      <c r="AU12" s="1043"/>
      <c r="AV12" s="1121"/>
      <c r="AW12" s="1122"/>
      <c r="AX12" s="1131"/>
      <c r="AY12" s="1125"/>
    </row>
    <row r="13" spans="1:51" ht="12" customHeight="1" x14ac:dyDescent="0.2">
      <c r="A13" s="1108">
        <v>5</v>
      </c>
      <c r="B13" s="1110"/>
      <c r="C13" s="1030" t="str">
        <f>IF(B13="","",VLOOKUP(B13,'Списки участников'!$A:$L,3,FALSE))</f>
        <v/>
      </c>
      <c r="D13" s="1116" t="str">
        <f>IF(P5="","",IF(P6="W",0,IF(P5=2,1,IF(P5=1,2,IF(P5=0,2)))))</f>
        <v/>
      </c>
      <c r="E13" s="1117"/>
      <c r="F13" s="1118"/>
      <c r="G13" s="1116" t="str">
        <f>IF(P7="","",IF(P8="W",0,IF(P7=2,1,IF(P7=1,2,IF(P7=0,2)))))</f>
        <v/>
      </c>
      <c r="H13" s="1117"/>
      <c r="I13" s="1118"/>
      <c r="J13" s="1116" t="str">
        <f>IF(P9="","",IF(P10="W",0,IF(P9=2,1,IF(P9=1,2,IF(P9=0,2)))))</f>
        <v/>
      </c>
      <c r="K13" s="1117"/>
      <c r="L13" s="1118"/>
      <c r="M13" s="1116" t="str">
        <f>IF(P11="","",IF(P12="W",0,IF(P11=2,1,IF(P11=1,2,IF(P11=0,2)))))</f>
        <v/>
      </c>
      <c r="N13" s="1117"/>
      <c r="O13" s="1118"/>
      <c r="P13" s="1126"/>
      <c r="Q13" s="1127"/>
      <c r="R13" s="1128"/>
      <c r="S13" s="1116"/>
      <c r="T13" s="1117"/>
      <c r="U13" s="1118"/>
      <c r="V13" s="1119" t="str">
        <f t="shared" ref="V13" si="12">IF(B13="","",SUM(G13,J13,M13,P13,D13,S13))</f>
        <v/>
      </c>
      <c r="W13" s="1120"/>
      <c r="X13" s="1130"/>
      <c r="Y13" s="1125" t="str">
        <f t="shared" ref="Y13" si="13">IF(B13="","",RANK(V13,$V$5:$W$16))</f>
        <v/>
      </c>
      <c r="AA13" s="1108">
        <v>5</v>
      </c>
      <c r="AB13" s="1110"/>
      <c r="AC13" s="1030" t="str">
        <f>IF(AB13="","",VLOOKUP(AB13,'Списки участников'!$A:$L,3,FALSE))</f>
        <v/>
      </c>
      <c r="AD13" s="1116" t="str">
        <f>IF(AP5="","",IF(AP6="W",0,IF(AP5=2,1,IF(AP5=1,2,IF(AP5=0,2)))))</f>
        <v/>
      </c>
      <c r="AE13" s="1117"/>
      <c r="AF13" s="1118"/>
      <c r="AG13" s="1116" t="str">
        <f>IF(AP7="","",IF(AP8="W",0,IF(AP7=2,1,IF(AP7=1,2,IF(AP7=0,2)))))</f>
        <v/>
      </c>
      <c r="AH13" s="1117"/>
      <c r="AI13" s="1118"/>
      <c r="AJ13" s="1116" t="str">
        <f>IF(AP9="","",IF(AP10="W",0,IF(AP9=2,1,IF(AP9=1,2,IF(AP9=0,2)))))</f>
        <v/>
      </c>
      <c r="AK13" s="1117"/>
      <c r="AL13" s="1118"/>
      <c r="AM13" s="1116" t="str">
        <f>IF(AP11="","",IF(AP12="W",0,IF(AP11=2,1,IF(AP11=1,2,IF(AP11=0,2)))))</f>
        <v/>
      </c>
      <c r="AN13" s="1117"/>
      <c r="AO13" s="1118"/>
      <c r="AP13" s="1126"/>
      <c r="AQ13" s="1127"/>
      <c r="AR13" s="1128"/>
      <c r="AS13" s="1116"/>
      <c r="AT13" s="1117"/>
      <c r="AU13" s="1118"/>
      <c r="AV13" s="1119" t="str">
        <f t="shared" ref="AV13" si="14">IF(AB13="","",SUM(AG13,AJ13,AM13,AP13,AD13,AS13))</f>
        <v/>
      </c>
      <c r="AW13" s="1120"/>
      <c r="AX13" s="1130"/>
      <c r="AY13" s="1125" t="str">
        <f t="shared" ref="AY13" si="15">IF(AB13="","",RANK(AV13,$AV$5:$AW$16))</f>
        <v/>
      </c>
    </row>
    <row r="14" spans="1:51" ht="12" customHeight="1" x14ac:dyDescent="0.2">
      <c r="A14" s="1109"/>
      <c r="B14" s="1111"/>
      <c r="C14" s="1031" t="str">
        <f>IF(B13="","",VLOOKUP(B13,'Списки участников'!$A:$L,6,FALSE))</f>
        <v/>
      </c>
      <c r="D14" s="1032" t="str">
        <f>IF(P6="","",IF(R6="l","W",R6))</f>
        <v/>
      </c>
      <c r="E14" s="1033" t="str">
        <f>IF(Q6="","",":")</f>
        <v/>
      </c>
      <c r="F14" s="1038" t="str">
        <f>IF(R6="","",IF(P6="W","L",P6))</f>
        <v/>
      </c>
      <c r="G14" s="1032" t="str">
        <f>IF(P8="","",IF(R8="l","W",R8))</f>
        <v/>
      </c>
      <c r="H14" s="1033" t="str">
        <f>IF(Q8="","",":")</f>
        <v/>
      </c>
      <c r="I14" s="1038" t="str">
        <f>IF(R8="","",IF(P8="W","L",P8))</f>
        <v/>
      </c>
      <c r="J14" s="1032" t="str">
        <f>IF(P10="","",IF(R10="l","W",R10))</f>
        <v/>
      </c>
      <c r="K14" s="1033" t="str">
        <f>IF(Q10="","",":")</f>
        <v/>
      </c>
      <c r="L14" s="1038" t="str">
        <f>IF(R10="","",IF(P10="W","L",P10))</f>
        <v/>
      </c>
      <c r="M14" s="1032" t="str">
        <f>IF(P12="","",IF(R12="l","W",R12))</f>
        <v/>
      </c>
      <c r="N14" s="1033" t="str">
        <f>IF(Q12="","",":")</f>
        <v/>
      </c>
      <c r="O14" s="1038" t="str">
        <f>IF(R12="","",IF(P12="W","L",P12))</f>
        <v/>
      </c>
      <c r="P14" s="1129"/>
      <c r="Q14" s="1114"/>
      <c r="R14" s="1115"/>
      <c r="S14" s="1044"/>
      <c r="T14" s="1044"/>
      <c r="U14" s="1044"/>
      <c r="V14" s="1121"/>
      <c r="W14" s="1122"/>
      <c r="X14" s="1131"/>
      <c r="Y14" s="1125"/>
      <c r="AA14" s="1109"/>
      <c r="AB14" s="1111"/>
      <c r="AC14" s="1031" t="str">
        <f>IF(AB13="","",VLOOKUP(AB13,'Списки участников'!$A:$L,6,FALSE))</f>
        <v/>
      </c>
      <c r="AD14" s="1032" t="str">
        <f>IF(AP6="","",IF(AR6="l","W",AR6))</f>
        <v/>
      </c>
      <c r="AE14" s="1033" t="str">
        <f>IF(AQ6="","",":")</f>
        <v/>
      </c>
      <c r="AF14" s="1038" t="str">
        <f>IF(AR6="","",IF(AP6="W","L",AP6))</f>
        <v/>
      </c>
      <c r="AG14" s="1032" t="str">
        <f>IF(AP8="","",IF(AR8="l","W",AR8))</f>
        <v/>
      </c>
      <c r="AH14" s="1033" t="str">
        <f>IF(AQ8="","",":")</f>
        <v/>
      </c>
      <c r="AI14" s="1038" t="str">
        <f>IF(AR8="","",IF(AP8="W","L",AP8))</f>
        <v/>
      </c>
      <c r="AJ14" s="1032" t="str">
        <f>IF(AP10="","",IF(AR10="l","W",AR10))</f>
        <v/>
      </c>
      <c r="AK14" s="1033" t="str">
        <f>IF(AQ10="","",":")</f>
        <v/>
      </c>
      <c r="AL14" s="1038" t="str">
        <f>IF(AR10="","",IF(AP10="W","L",AP10))</f>
        <v/>
      </c>
      <c r="AM14" s="1032" t="str">
        <f>IF(AP12="","",IF(AR12="l","W",AR12))</f>
        <v/>
      </c>
      <c r="AN14" s="1033" t="str">
        <f>IF(AQ12="","",":")</f>
        <v/>
      </c>
      <c r="AO14" s="1038" t="str">
        <f>IF(AR12="","",IF(AP12="W","L",AP12))</f>
        <v/>
      </c>
      <c r="AP14" s="1129"/>
      <c r="AQ14" s="1114"/>
      <c r="AR14" s="1115"/>
      <c r="AS14" s="1044"/>
      <c r="AT14" s="1044"/>
      <c r="AU14" s="1044"/>
      <c r="AV14" s="1121"/>
      <c r="AW14" s="1122"/>
      <c r="AX14" s="1131"/>
      <c r="AY14" s="1125"/>
    </row>
    <row r="15" spans="1:51" ht="12" customHeight="1" x14ac:dyDescent="0.2">
      <c r="A15" s="1108">
        <v>6</v>
      </c>
      <c r="B15" s="1110"/>
      <c r="C15" s="1030" t="str">
        <f>IF(B15="","",VLOOKUP(B15,'Списки участников'!$A:$L,3,FALSE))</f>
        <v/>
      </c>
      <c r="D15" s="1116" t="str">
        <f>IF(S5="","",IF(S6="W",0,IF(S5=2,1,IF(S5=1,2,IF(S5=0,2)))))</f>
        <v/>
      </c>
      <c r="E15" s="1117"/>
      <c r="F15" s="1118"/>
      <c r="G15" s="1116" t="str">
        <f>IF(S7="","",IF(S8="W",0,IF(S7=2,1,IF(S7=1,2,IF(S7=0,2)))))</f>
        <v/>
      </c>
      <c r="H15" s="1117"/>
      <c r="I15" s="1118"/>
      <c r="J15" s="1116" t="str">
        <f>IF(S9="","",IF(S10="W",0,IF(S9=2,1,IF(S9=1,2,IF(S9=0,2)))))</f>
        <v/>
      </c>
      <c r="K15" s="1117"/>
      <c r="L15" s="1118"/>
      <c r="M15" s="1116" t="str">
        <f>IF(S11="","",IF(S12="W",0,IF(S11=2,1,IF(S11=1,2,IF(S11=0,2)))))</f>
        <v/>
      </c>
      <c r="N15" s="1117"/>
      <c r="O15" s="1118"/>
      <c r="P15" s="1116" t="str">
        <f>IF(S13="","",IF(S14="W",0,IF(S13=2,1,IF(S13=1,2,IF(S13=0,2)))))</f>
        <v/>
      </c>
      <c r="Q15" s="1117"/>
      <c r="R15" s="1118"/>
      <c r="S15" s="1126"/>
      <c r="T15" s="1127"/>
      <c r="U15" s="1128"/>
      <c r="V15" s="1119" t="str">
        <f t="shared" ref="V15" si="16">IF(B15="","",SUM(G15,J15,M15,P15,D15,S15))</f>
        <v/>
      </c>
      <c r="W15" s="1120"/>
      <c r="X15" s="1130"/>
      <c r="Y15" s="1125" t="str">
        <f t="shared" ref="Y15" si="17">IF(B15="","",RANK(V15,$V$5:$W$16))</f>
        <v/>
      </c>
      <c r="AA15" s="1108">
        <v>6</v>
      </c>
      <c r="AB15" s="1110"/>
      <c r="AC15" s="1030" t="str">
        <f>IF(AB15="","",VLOOKUP(AB15,'Списки участников'!$A:$L,3,FALSE))</f>
        <v/>
      </c>
      <c r="AD15" s="1116" t="str">
        <f>IF(AS5="","",IF(AS6="W",0,IF(AS5=2,1,IF(AS5=1,2,IF(AS5=0,2)))))</f>
        <v/>
      </c>
      <c r="AE15" s="1117"/>
      <c r="AF15" s="1118"/>
      <c r="AG15" s="1116" t="str">
        <f>IF(AS7="","",IF(AS8="W",0,IF(AS7=2,1,IF(AS7=1,2,IF(AS7=0,2)))))</f>
        <v/>
      </c>
      <c r="AH15" s="1117"/>
      <c r="AI15" s="1118"/>
      <c r="AJ15" s="1116" t="str">
        <f>IF(AS9="","",IF(AS10="W",0,IF(AS9=2,1,IF(AS9=1,2,IF(AS9=0,2)))))</f>
        <v/>
      </c>
      <c r="AK15" s="1117"/>
      <c r="AL15" s="1118"/>
      <c r="AM15" s="1116" t="str">
        <f>IF(AS11="","",IF(AS12="W",0,IF(AS11=2,1,IF(AS11=1,2,IF(AS11=0,2)))))</f>
        <v/>
      </c>
      <c r="AN15" s="1117"/>
      <c r="AO15" s="1118"/>
      <c r="AP15" s="1116" t="str">
        <f>IF(AS13="","",IF(AS14="W",0,IF(AS13=2,1,IF(AS13=1,2,IF(AS13=0,2)))))</f>
        <v/>
      </c>
      <c r="AQ15" s="1117"/>
      <c r="AR15" s="1118"/>
      <c r="AS15" s="1126"/>
      <c r="AT15" s="1127"/>
      <c r="AU15" s="1128"/>
      <c r="AV15" s="1119" t="str">
        <f t="shared" ref="AV15" si="18">IF(AB15="","",SUM(AG15,AJ15,AM15,AP15,AD15,AS15))</f>
        <v/>
      </c>
      <c r="AW15" s="1120"/>
      <c r="AX15" s="1130"/>
      <c r="AY15" s="1125" t="str">
        <f t="shared" ref="AY15" si="19">IF(AB15="","",RANK(AV15,$AV$5:$AW$16))</f>
        <v/>
      </c>
    </row>
    <row r="16" spans="1:51" ht="12" customHeight="1" x14ac:dyDescent="0.2">
      <c r="A16" s="1109"/>
      <c r="B16" s="1111"/>
      <c r="C16" s="1031" t="str">
        <f>IF(B15="","",VLOOKUP(B15,'Списки участников'!$A:$L,6,FALSE))</f>
        <v/>
      </c>
      <c r="D16" s="1032" t="str">
        <f>IF(S6="","",IF(U6="l","W",U6))</f>
        <v/>
      </c>
      <c r="E16" s="1033" t="str">
        <f>IF(T6="","",":")</f>
        <v/>
      </c>
      <c r="F16" s="1038" t="str">
        <f>IF(U6="","",IF(S6="W","L",S6))</f>
        <v/>
      </c>
      <c r="G16" s="1032" t="str">
        <f>IF(S8="","",IF(U8="l","W",U8))</f>
        <v/>
      </c>
      <c r="H16" s="1033" t="str">
        <f>IF(T8="","",":")</f>
        <v/>
      </c>
      <c r="I16" s="1038" t="str">
        <f>IF(U8="","",IF(S8="W","L",S8))</f>
        <v/>
      </c>
      <c r="J16" s="1032" t="str">
        <f>IF(S10="","",IF(U10="l","W",U10))</f>
        <v/>
      </c>
      <c r="K16" s="1033" t="str">
        <f>IF(T10="","",":")</f>
        <v/>
      </c>
      <c r="L16" s="1038" t="str">
        <f>IF(U10="","",IF(S10="W","L",S10))</f>
        <v/>
      </c>
      <c r="M16" s="1032" t="str">
        <f>IF(S12="","",IF(U12="l","W",U12))</f>
        <v/>
      </c>
      <c r="N16" s="1033" t="str">
        <f>IF(T12="","",":")</f>
        <v/>
      </c>
      <c r="O16" s="1038" t="str">
        <f>IF(U12="","",IF(S12="W","L",S12))</f>
        <v/>
      </c>
      <c r="P16" s="1032" t="str">
        <f>IF(S14="","",IF(U14="l","W",U14))</f>
        <v/>
      </c>
      <c r="Q16" s="1033" t="str">
        <f>IF(T14="","",":")</f>
        <v/>
      </c>
      <c r="R16" s="1038" t="str">
        <f>IF(U14="","",IF(S14="W","L",S14))</f>
        <v/>
      </c>
      <c r="S16" s="1129"/>
      <c r="T16" s="1114"/>
      <c r="U16" s="1115"/>
      <c r="V16" s="1121"/>
      <c r="W16" s="1122"/>
      <c r="X16" s="1131"/>
      <c r="Y16" s="1125"/>
      <c r="AA16" s="1109"/>
      <c r="AB16" s="1111"/>
      <c r="AC16" s="1031" t="str">
        <f>IF(AB15="","",VLOOKUP(AB15,'Списки участников'!$A:$L,6,FALSE))</f>
        <v/>
      </c>
      <c r="AD16" s="1032" t="str">
        <f>IF(AS6="","",IF(AU6="l","W",AU6))</f>
        <v/>
      </c>
      <c r="AE16" s="1033" t="str">
        <f>IF(AT6="","",":")</f>
        <v/>
      </c>
      <c r="AF16" s="1038" t="str">
        <f>IF(AU6="","",IF(AS6="W","L",AS6))</f>
        <v/>
      </c>
      <c r="AG16" s="1032" t="str">
        <f>IF(AS8="","",IF(AU8="l","W",AU8))</f>
        <v/>
      </c>
      <c r="AH16" s="1033" t="str">
        <f>IF(AT8="","",":")</f>
        <v/>
      </c>
      <c r="AI16" s="1038" t="str">
        <f>IF(AU8="","",IF(AS8="W","L",AS8))</f>
        <v/>
      </c>
      <c r="AJ16" s="1032" t="str">
        <f>IF(AS10="","",IF(AU10="l","W",AU10))</f>
        <v/>
      </c>
      <c r="AK16" s="1033" t="str">
        <f>IF(AT10="","",":")</f>
        <v/>
      </c>
      <c r="AL16" s="1038" t="str">
        <f>IF(AU10="","",IF(AS10="W","L",AS10))</f>
        <v/>
      </c>
      <c r="AM16" s="1032" t="str">
        <f>IF(AS12="","",IF(AU12="l","W",AU12))</f>
        <v/>
      </c>
      <c r="AN16" s="1033" t="str">
        <f>IF(AT12="","",":")</f>
        <v/>
      </c>
      <c r="AO16" s="1038" t="str">
        <f>IF(AU12="","",IF(AS12="W","L",AS12))</f>
        <v/>
      </c>
      <c r="AP16" s="1032" t="str">
        <f>IF(AS14="","",IF(AU14="l","W",AU14))</f>
        <v/>
      </c>
      <c r="AQ16" s="1033" t="str">
        <f>IF(AT14="","",":")</f>
        <v/>
      </c>
      <c r="AR16" s="1038" t="str">
        <f>IF(AU14="","",IF(AS14="W","L",AS14))</f>
        <v/>
      </c>
      <c r="AS16" s="1129"/>
      <c r="AT16" s="1114"/>
      <c r="AU16" s="1115"/>
      <c r="AV16" s="1121"/>
      <c r="AW16" s="1122"/>
      <c r="AX16" s="1131"/>
      <c r="AY16" s="1125"/>
    </row>
    <row r="17" spans="1:51" ht="12" customHeight="1" x14ac:dyDescent="0.25">
      <c r="A17" s="1024"/>
      <c r="B17" s="1024"/>
      <c r="C17" s="1025"/>
      <c r="D17" s="1024"/>
      <c r="E17" s="1024"/>
      <c r="F17" s="1024"/>
      <c r="G17" s="1102" t="s">
        <v>955</v>
      </c>
      <c r="H17" s="1102"/>
      <c r="I17" s="1102"/>
      <c r="J17" s="1102"/>
      <c r="K17" s="1102"/>
      <c r="L17" s="1102"/>
      <c r="M17" s="1102"/>
      <c r="N17" s="1102"/>
      <c r="O17" s="1102"/>
      <c r="P17" s="1102"/>
      <c r="Q17" s="1102"/>
      <c r="R17" s="1102"/>
      <c r="S17" s="1041"/>
      <c r="T17" s="1041"/>
      <c r="U17" s="1041"/>
      <c r="V17" s="1024"/>
      <c r="W17" s="1024"/>
      <c r="X17" s="1024"/>
      <c r="Y17" s="1024"/>
      <c r="Z17" s="463"/>
      <c r="AA17" s="1024"/>
      <c r="AB17" s="1024"/>
      <c r="AC17" s="1025"/>
      <c r="AD17" s="1024"/>
      <c r="AE17" s="1024"/>
      <c r="AF17" s="1024"/>
      <c r="AG17" s="1102" t="s">
        <v>960</v>
      </c>
      <c r="AH17" s="1102"/>
      <c r="AI17" s="1102"/>
      <c r="AJ17" s="1102"/>
      <c r="AK17" s="1102"/>
      <c r="AL17" s="1102"/>
      <c r="AM17" s="1102"/>
      <c r="AN17" s="1102"/>
      <c r="AO17" s="1102"/>
      <c r="AP17" s="1102"/>
      <c r="AQ17" s="1102"/>
      <c r="AR17" s="1102"/>
      <c r="AS17" s="1041"/>
      <c r="AT17" s="1041"/>
      <c r="AU17" s="1041"/>
      <c r="AV17" s="1024"/>
      <c r="AW17" s="1024"/>
      <c r="AX17" s="1024"/>
      <c r="AY17" s="1024"/>
    </row>
    <row r="18" spans="1:51" ht="12" customHeight="1" x14ac:dyDescent="0.2">
      <c r="A18" s="1026" t="s">
        <v>3</v>
      </c>
      <c r="B18" s="1027"/>
      <c r="C18" s="1028" t="s">
        <v>757</v>
      </c>
      <c r="D18" s="1103">
        <v>1</v>
      </c>
      <c r="E18" s="1104"/>
      <c r="F18" s="1105"/>
      <c r="G18" s="1103">
        <v>2</v>
      </c>
      <c r="H18" s="1104"/>
      <c r="I18" s="1105"/>
      <c r="J18" s="1103">
        <v>3</v>
      </c>
      <c r="K18" s="1104"/>
      <c r="L18" s="1105"/>
      <c r="M18" s="1103">
        <v>4</v>
      </c>
      <c r="N18" s="1104"/>
      <c r="O18" s="1105"/>
      <c r="P18" s="1103">
        <v>5</v>
      </c>
      <c r="Q18" s="1104"/>
      <c r="R18" s="1105"/>
      <c r="S18" s="1103">
        <v>6</v>
      </c>
      <c r="T18" s="1104"/>
      <c r="U18" s="1105"/>
      <c r="V18" s="1106" t="s">
        <v>758</v>
      </c>
      <c r="W18" s="1107"/>
      <c r="X18" s="1029" t="s">
        <v>759</v>
      </c>
      <c r="Y18" s="1042" t="s">
        <v>2803</v>
      </c>
      <c r="Z18" s="463"/>
      <c r="AA18" s="1026" t="s">
        <v>3</v>
      </c>
      <c r="AB18" s="1027"/>
      <c r="AC18" s="1028" t="s">
        <v>757</v>
      </c>
      <c r="AD18" s="1103">
        <v>1</v>
      </c>
      <c r="AE18" s="1104"/>
      <c r="AF18" s="1105"/>
      <c r="AG18" s="1103">
        <v>2</v>
      </c>
      <c r="AH18" s="1104"/>
      <c r="AI18" s="1105"/>
      <c r="AJ18" s="1103">
        <v>3</v>
      </c>
      <c r="AK18" s="1104"/>
      <c r="AL18" s="1105"/>
      <c r="AM18" s="1103">
        <v>4</v>
      </c>
      <c r="AN18" s="1104"/>
      <c r="AO18" s="1105"/>
      <c r="AP18" s="1103">
        <v>5</v>
      </c>
      <c r="AQ18" s="1104"/>
      <c r="AR18" s="1105"/>
      <c r="AS18" s="1103">
        <v>6</v>
      </c>
      <c r="AT18" s="1104"/>
      <c r="AU18" s="1105"/>
      <c r="AV18" s="1106" t="s">
        <v>758</v>
      </c>
      <c r="AW18" s="1107"/>
      <c r="AX18" s="1029" t="s">
        <v>759</v>
      </c>
      <c r="AY18" s="1042" t="s">
        <v>2803</v>
      </c>
    </row>
    <row r="19" spans="1:51" ht="12" customHeight="1" x14ac:dyDescent="0.2">
      <c r="A19" s="1108">
        <v>1</v>
      </c>
      <c r="B19" s="1110">
        <v>17</v>
      </c>
      <c r="C19" s="1030" t="str">
        <f>IF(B19="","",VLOOKUP(B19,'Списки участников'!A:L,3,FALSE))</f>
        <v>ЕГОРОВ Игорь</v>
      </c>
      <c r="D19" s="1112"/>
      <c r="E19" s="1112"/>
      <c r="F19" s="1113"/>
      <c r="G19" s="1116">
        <v>2</v>
      </c>
      <c r="H19" s="1117"/>
      <c r="I19" s="1118"/>
      <c r="J19" s="1116">
        <v>2</v>
      </c>
      <c r="K19" s="1117"/>
      <c r="L19" s="1118"/>
      <c r="M19" s="1116"/>
      <c r="N19" s="1117"/>
      <c r="O19" s="1118"/>
      <c r="P19" s="1116"/>
      <c r="Q19" s="1117"/>
      <c r="R19" s="1118"/>
      <c r="S19" s="1116"/>
      <c r="T19" s="1117"/>
      <c r="U19" s="1118"/>
      <c r="V19" s="1119">
        <f>IF(B19="","",SUM(G19,J19,M19,P19,D19,S19))</f>
        <v>4</v>
      </c>
      <c r="W19" s="1120"/>
      <c r="X19" s="1123"/>
      <c r="Y19" s="1125">
        <f>IF(B19="","",RANK(V19,$V$19:$W$30))</f>
        <v>1</v>
      </c>
      <c r="Z19" s="463"/>
      <c r="AA19" s="1108">
        <v>1</v>
      </c>
      <c r="AB19" s="1110">
        <v>33</v>
      </c>
      <c r="AC19" s="1030" t="str">
        <f>IF(AB19="","",VLOOKUP(AB19,'Списки участников'!$A:$L,3,FALSE))</f>
        <v>ГАЛАНОВ Максим</v>
      </c>
      <c r="AD19" s="1112"/>
      <c r="AE19" s="1112"/>
      <c r="AF19" s="1113"/>
      <c r="AG19" s="1116">
        <v>2</v>
      </c>
      <c r="AH19" s="1117"/>
      <c r="AI19" s="1118"/>
      <c r="AJ19" s="1116">
        <v>2</v>
      </c>
      <c r="AK19" s="1117"/>
      <c r="AL19" s="1118"/>
      <c r="AM19" s="1116"/>
      <c r="AN19" s="1117"/>
      <c r="AO19" s="1118"/>
      <c r="AP19" s="1116"/>
      <c r="AQ19" s="1117"/>
      <c r="AR19" s="1118"/>
      <c r="AS19" s="1116"/>
      <c r="AT19" s="1117"/>
      <c r="AU19" s="1118"/>
      <c r="AV19" s="1119">
        <f>IF(AB19="","",SUM(AG19,AJ19,AM19,AP19,AD19,AS19))</f>
        <v>4</v>
      </c>
      <c r="AW19" s="1120"/>
      <c r="AX19" s="1123"/>
      <c r="AY19" s="1125">
        <f>IF(AB19="","",RANK(AV19,$AV$19:$AW$30))</f>
        <v>1</v>
      </c>
    </row>
    <row r="20" spans="1:51" ht="12" customHeight="1" x14ac:dyDescent="0.2">
      <c r="A20" s="1109"/>
      <c r="B20" s="1111"/>
      <c r="C20" s="1031" t="str">
        <f>IF(B19="","",VLOOKUP(B19,'Списки участников'!$A:$L,6,FALSE))</f>
        <v>НПАП №1</v>
      </c>
      <c r="D20" s="1114"/>
      <c r="E20" s="1114"/>
      <c r="F20" s="1115"/>
      <c r="G20" s="1032">
        <v>2</v>
      </c>
      <c r="H20" s="1033" t="str">
        <f>IF(G19="","",":")</f>
        <v>:</v>
      </c>
      <c r="I20" s="1034">
        <v>0</v>
      </c>
      <c r="J20" s="1032">
        <v>2</v>
      </c>
      <c r="K20" s="1033" t="str">
        <f>IF(J19="","",":")</f>
        <v>:</v>
      </c>
      <c r="L20" s="1034">
        <v>0</v>
      </c>
      <c r="M20" s="1032"/>
      <c r="N20" s="1033" t="str">
        <f>IF(M20="","",":")</f>
        <v/>
      </c>
      <c r="O20" s="1034"/>
      <c r="P20" s="1032"/>
      <c r="Q20" s="1033" t="str">
        <f>IF(P20="","",":")</f>
        <v/>
      </c>
      <c r="R20" s="1034"/>
      <c r="S20" s="1043"/>
      <c r="T20" s="1043"/>
      <c r="U20" s="1043"/>
      <c r="V20" s="1121"/>
      <c r="W20" s="1122"/>
      <c r="X20" s="1124"/>
      <c r="Y20" s="1125"/>
      <c r="Z20" s="463"/>
      <c r="AA20" s="1109"/>
      <c r="AB20" s="1111"/>
      <c r="AC20" s="1031" t="str">
        <f>IF(AB19="","",VLOOKUP(AB19,'Списки участников'!$A:$L,6,FALSE))</f>
        <v>АО "ОКБМ"</v>
      </c>
      <c r="AD20" s="1114"/>
      <c r="AE20" s="1114"/>
      <c r="AF20" s="1115"/>
      <c r="AG20" s="1032">
        <v>2</v>
      </c>
      <c r="AH20" s="1033" t="str">
        <f>IF(AG19="","",":")</f>
        <v>:</v>
      </c>
      <c r="AI20" s="1034">
        <v>0</v>
      </c>
      <c r="AJ20" s="1032">
        <v>2</v>
      </c>
      <c r="AK20" s="1033" t="str">
        <f>IF(AJ19="","",":")</f>
        <v>:</v>
      </c>
      <c r="AL20" s="1034">
        <v>0</v>
      </c>
      <c r="AM20" s="1032"/>
      <c r="AN20" s="1033" t="str">
        <f>IF(AM20="","",":")</f>
        <v/>
      </c>
      <c r="AO20" s="1034"/>
      <c r="AP20" s="1032"/>
      <c r="AQ20" s="1033" t="str">
        <f>IF(AP20="","",":")</f>
        <v/>
      </c>
      <c r="AR20" s="1034"/>
      <c r="AS20" s="1043"/>
      <c r="AT20" s="1043"/>
      <c r="AU20" s="1043"/>
      <c r="AV20" s="1121"/>
      <c r="AW20" s="1122"/>
      <c r="AX20" s="1124"/>
      <c r="AY20" s="1125"/>
    </row>
    <row r="21" spans="1:51" ht="12" customHeight="1" x14ac:dyDescent="0.2">
      <c r="A21" s="1108">
        <v>2</v>
      </c>
      <c r="B21" s="1110">
        <v>39</v>
      </c>
      <c r="C21" s="1030" t="str">
        <f>IF(B21="","",VLOOKUP(B21,'Списки участников'!A:L,3,FALSE))</f>
        <v>ИСУПОВ Максим</v>
      </c>
      <c r="D21" s="1116">
        <f>IF(G19="","",IF(G20="W",0,IF(G19=2,1,IF(G19=1,2,IF(G19=0,2)))))</f>
        <v>1</v>
      </c>
      <c r="E21" s="1117"/>
      <c r="F21" s="1118"/>
      <c r="G21" s="1126"/>
      <c r="H21" s="1127"/>
      <c r="I21" s="1128"/>
      <c r="J21" s="1116">
        <v>2</v>
      </c>
      <c r="K21" s="1117"/>
      <c r="L21" s="1118"/>
      <c r="M21" s="1116"/>
      <c r="N21" s="1117"/>
      <c r="O21" s="1118"/>
      <c r="P21" s="1116"/>
      <c r="Q21" s="1117"/>
      <c r="R21" s="1118"/>
      <c r="S21" s="1116"/>
      <c r="T21" s="1117"/>
      <c r="U21" s="1118"/>
      <c r="V21" s="1119">
        <f t="shared" ref="V21" si="20">IF(B21="","",SUM(G21,J21,M21,P21,D21,S21))</f>
        <v>3</v>
      </c>
      <c r="W21" s="1120"/>
      <c r="X21" s="1123"/>
      <c r="Y21" s="1125">
        <f t="shared" ref="Y21" si="21">IF(B21="","",RANK(V21,$V$19:$W$30))</f>
        <v>2</v>
      </c>
      <c r="Z21" s="463"/>
      <c r="AA21" s="1108">
        <v>2</v>
      </c>
      <c r="AB21" s="1110">
        <v>14</v>
      </c>
      <c r="AC21" s="1030" t="str">
        <f>IF(AB21="","",VLOOKUP(AB21,'Списки участников'!$A:$L,3,FALSE))</f>
        <v>КОНОВ Сергей</v>
      </c>
      <c r="AD21" s="1116">
        <f>IF(AG19="","",IF(AG20="W",0,IF(AG19=2,1,IF(AG19=1,2,IF(AG19=0,2)))))</f>
        <v>1</v>
      </c>
      <c r="AE21" s="1117"/>
      <c r="AF21" s="1118"/>
      <c r="AG21" s="1126"/>
      <c r="AH21" s="1127"/>
      <c r="AI21" s="1128"/>
      <c r="AJ21" s="1116">
        <v>2</v>
      </c>
      <c r="AK21" s="1117"/>
      <c r="AL21" s="1118"/>
      <c r="AM21" s="1116"/>
      <c r="AN21" s="1117"/>
      <c r="AO21" s="1118"/>
      <c r="AP21" s="1116"/>
      <c r="AQ21" s="1117"/>
      <c r="AR21" s="1118"/>
      <c r="AS21" s="1116"/>
      <c r="AT21" s="1117"/>
      <c r="AU21" s="1118"/>
      <c r="AV21" s="1119">
        <f t="shared" ref="AV21" si="22">IF(AB21="","",SUM(AG21,AJ21,AM21,AP21,AD21,AS21))</f>
        <v>3</v>
      </c>
      <c r="AW21" s="1120"/>
      <c r="AX21" s="1123"/>
      <c r="AY21" s="1125">
        <f t="shared" ref="AY21" si="23">IF(AB21="","",RANK(AV21,$AV$19:$AW$30))</f>
        <v>2</v>
      </c>
    </row>
    <row r="22" spans="1:51" ht="12" customHeight="1" x14ac:dyDescent="0.2">
      <c r="A22" s="1109"/>
      <c r="B22" s="1111"/>
      <c r="C22" s="1031" t="str">
        <f>IF(B21="","",VLOOKUP(B21,'Списки участников'!$A:$L,6,FALSE))</f>
        <v>"ГЖД"</v>
      </c>
      <c r="D22" s="1035">
        <f>IF(G20="","",IF(I20="l","W",I20))</f>
        <v>0</v>
      </c>
      <c r="E22" s="1036" t="str">
        <f>IF(G19="","",":")</f>
        <v>:</v>
      </c>
      <c r="F22" s="1037">
        <f>IF(I20="","",IF(G20="W","L",G20))</f>
        <v>2</v>
      </c>
      <c r="G22" s="1129"/>
      <c r="H22" s="1114"/>
      <c r="I22" s="1115"/>
      <c r="J22" s="1032">
        <v>2</v>
      </c>
      <c r="K22" s="1033" t="str">
        <f>IF(J21="","",":")</f>
        <v>:</v>
      </c>
      <c r="L22" s="1034">
        <v>0</v>
      </c>
      <c r="M22" s="1032"/>
      <c r="N22" s="1033" t="str">
        <f>IF(M21="","",":")</f>
        <v/>
      </c>
      <c r="O22" s="1034"/>
      <c r="P22" s="1032"/>
      <c r="Q22" s="1033" t="str">
        <f>IF(P21="","",":")</f>
        <v/>
      </c>
      <c r="R22" s="1034"/>
      <c r="S22" s="1043"/>
      <c r="T22" s="1043"/>
      <c r="U22" s="1043"/>
      <c r="V22" s="1121"/>
      <c r="W22" s="1122"/>
      <c r="X22" s="1124"/>
      <c r="Y22" s="1125"/>
      <c r="Z22" s="463"/>
      <c r="AA22" s="1109"/>
      <c r="AB22" s="1111"/>
      <c r="AC22" s="1031" t="str">
        <f>IF(AB21="","",VLOOKUP(AB21,'Списки участников'!$A:$L,6,FALSE))</f>
        <v>ТПП</v>
      </c>
      <c r="AD22" s="1035">
        <f>IF(AG20="","",IF(AI20="l","W",AI20))</f>
        <v>0</v>
      </c>
      <c r="AE22" s="1036" t="str">
        <f>IF(AG19="","",":")</f>
        <v>:</v>
      </c>
      <c r="AF22" s="1037">
        <f>IF(AI20="","",IF(AG20="W","L",AG20))</f>
        <v>2</v>
      </c>
      <c r="AG22" s="1129"/>
      <c r="AH22" s="1114"/>
      <c r="AI22" s="1115"/>
      <c r="AJ22" s="1032">
        <v>2</v>
      </c>
      <c r="AK22" s="1033" t="str">
        <f>IF(AJ21="","",":")</f>
        <v>:</v>
      </c>
      <c r="AL22" s="1034">
        <v>0</v>
      </c>
      <c r="AM22" s="1032"/>
      <c r="AN22" s="1033" t="str">
        <f>IF(AM21="","",":")</f>
        <v/>
      </c>
      <c r="AO22" s="1034"/>
      <c r="AP22" s="1032"/>
      <c r="AQ22" s="1033" t="str">
        <f>IF(AP21="","",":")</f>
        <v/>
      </c>
      <c r="AR22" s="1034"/>
      <c r="AS22" s="1043"/>
      <c r="AT22" s="1043"/>
      <c r="AU22" s="1043"/>
      <c r="AV22" s="1121"/>
      <c r="AW22" s="1122"/>
      <c r="AX22" s="1124"/>
      <c r="AY22" s="1125"/>
    </row>
    <row r="23" spans="1:51" ht="12" customHeight="1" x14ac:dyDescent="0.2">
      <c r="A23" s="1108">
        <v>3</v>
      </c>
      <c r="B23" s="1110">
        <v>3</v>
      </c>
      <c r="C23" s="1030" t="str">
        <f>IF(B23="","",VLOOKUP(B23,'Списки участников'!A:L,3,FALSE))</f>
        <v>СОКОЛОВ Дмитрий</v>
      </c>
      <c r="D23" s="1116">
        <f>IF(J19="","",IF(J20="W",0,IF(J19=2,1,IF(J19=1,2,IF(J19=0,2)))))</f>
        <v>1</v>
      </c>
      <c r="E23" s="1117"/>
      <c r="F23" s="1118"/>
      <c r="G23" s="1116">
        <f>IF(J21="","",IF(J22="W",0,IF(J21=2,1,IF(J21=1,2,IF(J21=0,2)))))</f>
        <v>1</v>
      </c>
      <c r="H23" s="1117"/>
      <c r="I23" s="1118"/>
      <c r="J23" s="1126"/>
      <c r="K23" s="1127"/>
      <c r="L23" s="1128"/>
      <c r="M23" s="1116"/>
      <c r="N23" s="1117"/>
      <c r="O23" s="1118"/>
      <c r="P23" s="1116"/>
      <c r="Q23" s="1117"/>
      <c r="R23" s="1118"/>
      <c r="S23" s="1116"/>
      <c r="T23" s="1117"/>
      <c r="U23" s="1118"/>
      <c r="V23" s="1119">
        <f t="shared" ref="V23" si="24">IF(B23="","",SUM(G23,J23,M23,P23,D23,S23))</f>
        <v>2</v>
      </c>
      <c r="W23" s="1120"/>
      <c r="X23" s="1130"/>
      <c r="Y23" s="1125">
        <f t="shared" ref="Y23" si="25">IF(B23="","",RANK(V23,$V$19:$W$30))</f>
        <v>3</v>
      </c>
      <c r="Z23" s="463"/>
      <c r="AA23" s="1108">
        <v>3</v>
      </c>
      <c r="AB23" s="1110">
        <v>29</v>
      </c>
      <c r="AC23" s="1030" t="str">
        <f>IF(AB23="","",VLOOKUP(AB23,'Списки участников'!$A:$L,3,FALSE))</f>
        <v>МУХАМЕТЖАНОВ Сайяр</v>
      </c>
      <c r="AD23" s="1116">
        <f>IF(AJ19="","",IF(AJ20="W",0,IF(AJ19=2,1,IF(AJ19=1,2,IF(AJ19=0,2)))))</f>
        <v>1</v>
      </c>
      <c r="AE23" s="1117"/>
      <c r="AF23" s="1118"/>
      <c r="AG23" s="1116">
        <f>IF(AJ21="","",IF(AJ22="W",0,IF(AJ21=2,1,IF(AJ21=1,2,IF(AJ21=0,2)))))</f>
        <v>1</v>
      </c>
      <c r="AH23" s="1117"/>
      <c r="AI23" s="1118"/>
      <c r="AJ23" s="1126"/>
      <c r="AK23" s="1127"/>
      <c r="AL23" s="1128"/>
      <c r="AM23" s="1116"/>
      <c r="AN23" s="1117"/>
      <c r="AO23" s="1118"/>
      <c r="AP23" s="1116"/>
      <c r="AQ23" s="1117"/>
      <c r="AR23" s="1118"/>
      <c r="AS23" s="1116"/>
      <c r="AT23" s="1117"/>
      <c r="AU23" s="1118"/>
      <c r="AV23" s="1119">
        <f t="shared" ref="AV23" si="26">IF(AB23="","",SUM(AG23,AJ23,AM23,AP23,AD23,AS23))</f>
        <v>2</v>
      </c>
      <c r="AW23" s="1120"/>
      <c r="AX23" s="1130"/>
      <c r="AY23" s="1125">
        <f t="shared" ref="AY23" si="27">IF(AB23="","",RANK(AV23,$AV$19:$AW$30))</f>
        <v>3</v>
      </c>
    </row>
    <row r="24" spans="1:51" ht="12" customHeight="1" x14ac:dyDescent="0.2">
      <c r="A24" s="1109"/>
      <c r="B24" s="1111"/>
      <c r="C24" s="1031" t="str">
        <f>IF(B23="","",VLOOKUP(B23,'Списки участников'!$A:$L,6,FALSE))</f>
        <v>АО ФНПЦ НИИРТ</v>
      </c>
      <c r="D24" s="1032">
        <f>IF(J20="","",IF(L20="l","W",L20))</f>
        <v>0</v>
      </c>
      <c r="E24" s="1033" t="str">
        <f>IF(K20="","",":")</f>
        <v>:</v>
      </c>
      <c r="F24" s="1038">
        <f>IF(L20="","",IF(J20="W","L",J20))</f>
        <v>2</v>
      </c>
      <c r="G24" s="1032">
        <f>IF(J22="","",IF(L22="l","W",L22))</f>
        <v>0</v>
      </c>
      <c r="H24" s="1033" t="str">
        <f>IF(K22="","",":")</f>
        <v>:</v>
      </c>
      <c r="I24" s="1038">
        <f>IF(L22="","",IF(J22="W","L",J22))</f>
        <v>2</v>
      </c>
      <c r="J24" s="1129"/>
      <c r="K24" s="1114"/>
      <c r="L24" s="1115"/>
      <c r="M24" s="1032"/>
      <c r="N24" s="1033" t="str">
        <f>IF(M23="","",":")</f>
        <v/>
      </c>
      <c r="O24" s="1034"/>
      <c r="P24" s="1032"/>
      <c r="Q24" s="1033" t="str">
        <f>IF(P23="","",":")</f>
        <v/>
      </c>
      <c r="R24" s="1034"/>
      <c r="S24" s="1043"/>
      <c r="T24" s="1043"/>
      <c r="U24" s="1043"/>
      <c r="V24" s="1121"/>
      <c r="W24" s="1122"/>
      <c r="X24" s="1131"/>
      <c r="Y24" s="1125"/>
      <c r="Z24" s="463"/>
      <c r="AA24" s="1109"/>
      <c r="AB24" s="1111"/>
      <c r="AC24" s="1031" t="str">
        <f>IF(AB23="","",VLOOKUP(AB23,'Списки участников'!$A:$L,6,FALSE))</f>
        <v>АО "НПП "Полет"</v>
      </c>
      <c r="AD24" s="1032">
        <f>IF(AJ20="","",IF(AL20="l","W",AL20))</f>
        <v>0</v>
      </c>
      <c r="AE24" s="1033" t="str">
        <f>IF(AK20="","",":")</f>
        <v>:</v>
      </c>
      <c r="AF24" s="1038">
        <f>IF(AL20="","",IF(AJ20="W","L",AJ20))</f>
        <v>2</v>
      </c>
      <c r="AG24" s="1032">
        <f>IF(AJ22="","",IF(AL22="l","W",AL22))</f>
        <v>0</v>
      </c>
      <c r="AH24" s="1033" t="str">
        <f>IF(AK22="","",":")</f>
        <v>:</v>
      </c>
      <c r="AI24" s="1038">
        <f>IF(AL22="","",IF(AJ22="W","L",AJ22))</f>
        <v>2</v>
      </c>
      <c r="AJ24" s="1129"/>
      <c r="AK24" s="1114"/>
      <c r="AL24" s="1115"/>
      <c r="AM24" s="1032"/>
      <c r="AN24" s="1033" t="str">
        <f>IF(AM23="","",":")</f>
        <v/>
      </c>
      <c r="AO24" s="1034"/>
      <c r="AP24" s="1032"/>
      <c r="AQ24" s="1033" t="str">
        <f>IF(AP23="","",":")</f>
        <v/>
      </c>
      <c r="AR24" s="1034"/>
      <c r="AS24" s="1043"/>
      <c r="AT24" s="1043"/>
      <c r="AU24" s="1043"/>
      <c r="AV24" s="1121"/>
      <c r="AW24" s="1122"/>
      <c r="AX24" s="1131"/>
      <c r="AY24" s="1125"/>
    </row>
    <row r="25" spans="1:51" ht="12" customHeight="1" x14ac:dyDescent="0.2">
      <c r="A25" s="1108">
        <v>4</v>
      </c>
      <c r="B25" s="1110"/>
      <c r="C25" s="1030" t="str">
        <f>IF(B25="","",VLOOKUP(B25,'Списки участников'!A:L,3,FALSE))</f>
        <v/>
      </c>
      <c r="D25" s="1116" t="str">
        <f>IF(M19="","",IF(M20="W",0,IF(M19=2,1,IF(M19=1,2,IF(M19=0,2)))))</f>
        <v/>
      </c>
      <c r="E25" s="1117"/>
      <c r="F25" s="1118"/>
      <c r="G25" s="1116" t="str">
        <f>IF(M21="","",IF(M22="W",0,IF(M21=2,1,IF(M21=1,2,IF(M21=0,2)))))</f>
        <v/>
      </c>
      <c r="H25" s="1117"/>
      <c r="I25" s="1118"/>
      <c r="J25" s="1116" t="str">
        <f>IF(M23="","",IF(M24="W",0,IF(M23=2,1,IF(M23=1,2,IF(M23=0,2)))))</f>
        <v/>
      </c>
      <c r="K25" s="1117"/>
      <c r="L25" s="1118"/>
      <c r="M25" s="1127"/>
      <c r="N25" s="1127"/>
      <c r="O25" s="1127"/>
      <c r="P25" s="1116"/>
      <c r="Q25" s="1117"/>
      <c r="R25" s="1118"/>
      <c r="S25" s="1116"/>
      <c r="T25" s="1117"/>
      <c r="U25" s="1118"/>
      <c r="V25" s="1119" t="str">
        <f t="shared" ref="V25" si="28">IF(B25="","",SUM(G25,J25,M25,P25,D25,S25))</f>
        <v/>
      </c>
      <c r="W25" s="1120"/>
      <c r="X25" s="1130"/>
      <c r="Y25" s="1125" t="str">
        <f t="shared" ref="Y25" si="29">IF(B25="","",RANK(V25,$V$19:$W$30))</f>
        <v/>
      </c>
      <c r="Z25" s="463"/>
      <c r="AA25" s="1108">
        <v>4</v>
      </c>
      <c r="AB25" s="1110"/>
      <c r="AC25" s="1030" t="str">
        <f>IF(AB25="","",VLOOKUP(AB25,'Списки участников'!$A:$L,3,FALSE))</f>
        <v/>
      </c>
      <c r="AD25" s="1116" t="str">
        <f>IF(AM19="","",IF(AM20="W",0,IF(AM19=2,1,IF(AM19=1,2,IF(AM19=0,2)))))</f>
        <v/>
      </c>
      <c r="AE25" s="1117"/>
      <c r="AF25" s="1118"/>
      <c r="AG25" s="1116" t="str">
        <f>IF(AM21="","",IF(AM22="W",0,IF(AM21=2,1,IF(AM21=1,2,IF(AM21=0,2)))))</f>
        <v/>
      </c>
      <c r="AH25" s="1117"/>
      <c r="AI25" s="1118"/>
      <c r="AJ25" s="1116" t="str">
        <f>IF(AM23="","",IF(AM24="W",0,IF(AM23=2,1,IF(AM23=1,2,IF(AM23=0,2)))))</f>
        <v/>
      </c>
      <c r="AK25" s="1117"/>
      <c r="AL25" s="1118"/>
      <c r="AM25" s="1127"/>
      <c r="AN25" s="1127"/>
      <c r="AO25" s="1127"/>
      <c r="AP25" s="1116"/>
      <c r="AQ25" s="1117"/>
      <c r="AR25" s="1118"/>
      <c r="AS25" s="1116"/>
      <c r="AT25" s="1117"/>
      <c r="AU25" s="1118"/>
      <c r="AV25" s="1119" t="str">
        <f t="shared" ref="AV25" si="30">IF(AB25="","",SUM(AG25,AJ25,AM25,AP25,AD25,AS25))</f>
        <v/>
      </c>
      <c r="AW25" s="1120"/>
      <c r="AX25" s="1130"/>
      <c r="AY25" s="1125" t="str">
        <f t="shared" ref="AY25" si="31">IF(AB25="","",RANK(AV25,$AV$19:$AW$30))</f>
        <v/>
      </c>
    </row>
    <row r="26" spans="1:51" ht="12" customHeight="1" x14ac:dyDescent="0.2">
      <c r="A26" s="1109"/>
      <c r="B26" s="1111"/>
      <c r="C26" s="1031" t="str">
        <f>IF(B25="","",VLOOKUP(B25,'Списки участников'!$A:$L,6,FALSE))</f>
        <v/>
      </c>
      <c r="D26" s="1032" t="str">
        <f>IF(M20="","",IF(O20="l","W",O20))</f>
        <v/>
      </c>
      <c r="E26" s="1033" t="str">
        <f>IF(N20="","",":")</f>
        <v/>
      </c>
      <c r="F26" s="1038" t="str">
        <f>IF(O20="","",IF(M20="W","L",M20))</f>
        <v/>
      </c>
      <c r="G26" s="1032" t="str">
        <f>IF(M22="","",IF(O22="l","W",O22))</f>
        <v/>
      </c>
      <c r="H26" s="1033" t="str">
        <f>IF(N22="","",":")</f>
        <v/>
      </c>
      <c r="I26" s="1038" t="str">
        <f>IF(O22="","",IF(M22="W","L",M22))</f>
        <v/>
      </c>
      <c r="J26" s="1032" t="str">
        <f>IF(M24="","",IF(O24="l","W",O24))</f>
        <v/>
      </c>
      <c r="K26" s="1033" t="str">
        <f>IF(N24="","",":")</f>
        <v/>
      </c>
      <c r="L26" s="1038" t="str">
        <f>IF(O24="","",IF(M24="W","L",M24))</f>
        <v/>
      </c>
      <c r="M26" s="1132"/>
      <c r="N26" s="1132"/>
      <c r="O26" s="1132"/>
      <c r="P26" s="1032"/>
      <c r="Q26" s="1033" t="str">
        <f>IF(P25="","",":")</f>
        <v/>
      </c>
      <c r="R26" s="1034"/>
      <c r="S26" s="1043"/>
      <c r="T26" s="1043"/>
      <c r="U26" s="1043"/>
      <c r="V26" s="1121"/>
      <c r="W26" s="1122"/>
      <c r="X26" s="1131"/>
      <c r="Y26" s="1125"/>
      <c r="Z26" s="463"/>
      <c r="AA26" s="1109"/>
      <c r="AB26" s="1111"/>
      <c r="AC26" s="1031" t="str">
        <f>IF(AB25="","",VLOOKUP(AB25,'Списки участников'!$A:$L,6,FALSE))</f>
        <v/>
      </c>
      <c r="AD26" s="1032" t="str">
        <f>IF(AM20="","",IF(AO20="l","W",AO20))</f>
        <v/>
      </c>
      <c r="AE26" s="1033" t="str">
        <f>IF(AN20="","",":")</f>
        <v/>
      </c>
      <c r="AF26" s="1038" t="str">
        <f>IF(AO20="","",IF(AM20="W","L",AM20))</f>
        <v/>
      </c>
      <c r="AG26" s="1032" t="str">
        <f>IF(AM22="","",IF(AO22="l","W",AO22))</f>
        <v/>
      </c>
      <c r="AH26" s="1033" t="str">
        <f>IF(AN22="","",":")</f>
        <v/>
      </c>
      <c r="AI26" s="1038" t="str">
        <f>IF(AO22="","",IF(AM22="W","L",AM22))</f>
        <v/>
      </c>
      <c r="AJ26" s="1032" t="str">
        <f>IF(AM24="","",IF(AO24="l","W",AO24))</f>
        <v/>
      </c>
      <c r="AK26" s="1033" t="str">
        <f>IF(AN24="","",":")</f>
        <v/>
      </c>
      <c r="AL26" s="1038" t="str">
        <f>IF(AO24="","",IF(AM24="W","L",AM24))</f>
        <v/>
      </c>
      <c r="AM26" s="1132"/>
      <c r="AN26" s="1132"/>
      <c r="AO26" s="1132"/>
      <c r="AP26" s="1032"/>
      <c r="AQ26" s="1033" t="str">
        <f>IF(AP25="","",":")</f>
        <v/>
      </c>
      <c r="AR26" s="1034"/>
      <c r="AS26" s="1043"/>
      <c r="AT26" s="1043"/>
      <c r="AU26" s="1043"/>
      <c r="AV26" s="1121"/>
      <c r="AW26" s="1122"/>
      <c r="AX26" s="1131"/>
      <c r="AY26" s="1125"/>
    </row>
    <row r="27" spans="1:51" ht="12" customHeight="1" x14ac:dyDescent="0.2">
      <c r="A27" s="1108">
        <v>5</v>
      </c>
      <c r="B27" s="1110"/>
      <c r="C27" s="1030" t="str">
        <f>IF(B27="","",VLOOKUP(B27,'Списки участников'!A:L,3,FALSE))</f>
        <v/>
      </c>
      <c r="D27" s="1116" t="str">
        <f>IF(P19="","",IF(P20="W",0,IF(P19=2,1,IF(P19=1,2,IF(P19=0,2)))))</f>
        <v/>
      </c>
      <c r="E27" s="1117"/>
      <c r="F27" s="1118"/>
      <c r="G27" s="1116" t="str">
        <f>IF(P21="","",IF(P22="W",0,IF(P21=2,1,IF(P21=1,2,IF(P21=0,2)))))</f>
        <v/>
      </c>
      <c r="H27" s="1117"/>
      <c r="I27" s="1118"/>
      <c r="J27" s="1116" t="str">
        <f>IF(P23="","",IF(P24="W",0,IF(P23=2,1,IF(P23=1,2,IF(P23=0,2)))))</f>
        <v/>
      </c>
      <c r="K27" s="1117"/>
      <c r="L27" s="1118"/>
      <c r="M27" s="1116" t="str">
        <f>IF(P25="","",IF(P26="W",0,IF(P25=2,1,IF(P25=1,2,IF(P25=0,2)))))</f>
        <v/>
      </c>
      <c r="N27" s="1117"/>
      <c r="O27" s="1118"/>
      <c r="P27" s="1126"/>
      <c r="Q27" s="1127"/>
      <c r="R27" s="1128"/>
      <c r="S27" s="1116"/>
      <c r="T27" s="1117"/>
      <c r="U27" s="1118"/>
      <c r="V27" s="1119" t="str">
        <f t="shared" ref="V27" si="32">IF(B27="","",SUM(G27,J27,M27,P27,D27,S27))</f>
        <v/>
      </c>
      <c r="W27" s="1120"/>
      <c r="X27" s="1130"/>
      <c r="Y27" s="1125" t="str">
        <f t="shared" ref="Y27" si="33">IF(B27="","",RANK(V27,$V$19:$W$30))</f>
        <v/>
      </c>
      <c r="Z27" s="463"/>
      <c r="AA27" s="1108">
        <v>5</v>
      </c>
      <c r="AB27" s="1110"/>
      <c r="AC27" s="1030" t="str">
        <f>IF(AB27="","",VLOOKUP(AB27,'Списки участников'!$A:$L,3,FALSE))</f>
        <v/>
      </c>
      <c r="AD27" s="1116" t="str">
        <f>IF(AP19="","",IF(AP20="W",0,IF(AP19=2,1,IF(AP19=1,2,IF(AP19=0,2)))))</f>
        <v/>
      </c>
      <c r="AE27" s="1117"/>
      <c r="AF27" s="1118"/>
      <c r="AG27" s="1116" t="str">
        <f>IF(AP21="","",IF(AP22="W",0,IF(AP21=2,1,IF(AP21=1,2,IF(AP21=0,2)))))</f>
        <v/>
      </c>
      <c r="AH27" s="1117"/>
      <c r="AI27" s="1118"/>
      <c r="AJ27" s="1116" t="str">
        <f>IF(AP23="","",IF(AP24="W",0,IF(AP23=2,1,IF(AP23=1,2,IF(AP23=0,2)))))</f>
        <v/>
      </c>
      <c r="AK27" s="1117"/>
      <c r="AL27" s="1118"/>
      <c r="AM27" s="1116" t="str">
        <f>IF(AP25="","",IF(AP26="W",0,IF(AP25=2,1,IF(AP25=1,2,IF(AP25=0,2)))))</f>
        <v/>
      </c>
      <c r="AN27" s="1117"/>
      <c r="AO27" s="1118"/>
      <c r="AP27" s="1126"/>
      <c r="AQ27" s="1127"/>
      <c r="AR27" s="1128"/>
      <c r="AS27" s="1116"/>
      <c r="AT27" s="1117"/>
      <c r="AU27" s="1118"/>
      <c r="AV27" s="1119" t="str">
        <f t="shared" ref="AV27" si="34">IF(AB27="","",SUM(AG27,AJ27,AM27,AP27,AD27,AS27))</f>
        <v/>
      </c>
      <c r="AW27" s="1120"/>
      <c r="AX27" s="1130"/>
      <c r="AY27" s="1125" t="str">
        <f t="shared" ref="AY27" si="35">IF(AB27="","",RANK(AV27,$AV$19:$AW$30))</f>
        <v/>
      </c>
    </row>
    <row r="28" spans="1:51" ht="12" customHeight="1" x14ac:dyDescent="0.2">
      <c r="A28" s="1109"/>
      <c r="B28" s="1111"/>
      <c r="C28" s="1031" t="str">
        <f>IF(B27="","",VLOOKUP(B27,'Списки участников'!$A:$L,6,FALSE))</f>
        <v/>
      </c>
      <c r="D28" s="1032" t="str">
        <f>IF(P20="","",IF(R20="l","W",R20))</f>
        <v/>
      </c>
      <c r="E28" s="1033" t="str">
        <f>IF(Q20="","",":")</f>
        <v/>
      </c>
      <c r="F28" s="1038" t="str">
        <f>IF(R20="","",IF(P20="W","L",P20))</f>
        <v/>
      </c>
      <c r="G28" s="1032" t="str">
        <f>IF(P22="","",IF(R22="l","W",R22))</f>
        <v/>
      </c>
      <c r="H28" s="1033" t="str">
        <f>IF(Q22="","",":")</f>
        <v/>
      </c>
      <c r="I28" s="1038" t="str">
        <f>IF(R22="","",IF(P22="W","L",P22))</f>
        <v/>
      </c>
      <c r="J28" s="1032" t="str">
        <f>IF(P24="","",IF(R24="l","W",R24))</f>
        <v/>
      </c>
      <c r="K28" s="1033" t="str">
        <f>IF(Q24="","",":")</f>
        <v/>
      </c>
      <c r="L28" s="1038" t="str">
        <f>IF(R24="","",IF(P24="W","L",P24))</f>
        <v/>
      </c>
      <c r="M28" s="1032" t="str">
        <f>IF(P26="","",IF(R26="l","W",R26))</f>
        <v/>
      </c>
      <c r="N28" s="1033" t="str">
        <f>IF(Q26="","",":")</f>
        <v/>
      </c>
      <c r="O28" s="1038" t="str">
        <f>IF(R26="","",IF(P26="W","L",P26))</f>
        <v/>
      </c>
      <c r="P28" s="1129"/>
      <c r="Q28" s="1114"/>
      <c r="R28" s="1115"/>
      <c r="S28" s="1044"/>
      <c r="T28" s="1044"/>
      <c r="U28" s="1044"/>
      <c r="V28" s="1121"/>
      <c r="W28" s="1122"/>
      <c r="X28" s="1131"/>
      <c r="Y28" s="1125"/>
      <c r="Z28" s="463"/>
      <c r="AA28" s="1109"/>
      <c r="AB28" s="1111"/>
      <c r="AC28" s="1031" t="str">
        <f>IF(AB27="","",VLOOKUP(AB27,'Списки участников'!$A:$L,6,FALSE))</f>
        <v/>
      </c>
      <c r="AD28" s="1032" t="str">
        <f>IF(AP20="","",IF(AR20="l","W",AR20))</f>
        <v/>
      </c>
      <c r="AE28" s="1033" t="str">
        <f>IF(AQ20="","",":")</f>
        <v/>
      </c>
      <c r="AF28" s="1038" t="str">
        <f>IF(AR20="","",IF(AP20="W","L",AP20))</f>
        <v/>
      </c>
      <c r="AG28" s="1032" t="str">
        <f>IF(AP22="","",IF(AR22="l","W",AR22))</f>
        <v/>
      </c>
      <c r="AH28" s="1033" t="str">
        <f>IF(AQ22="","",":")</f>
        <v/>
      </c>
      <c r="AI28" s="1038" t="str">
        <f>IF(AR22="","",IF(AP22="W","L",AP22))</f>
        <v/>
      </c>
      <c r="AJ28" s="1032" t="str">
        <f>IF(AP24="","",IF(AR24="l","W",AR24))</f>
        <v/>
      </c>
      <c r="AK28" s="1033" t="str">
        <f>IF(AQ24="","",":")</f>
        <v/>
      </c>
      <c r="AL28" s="1038" t="str">
        <f>IF(AR24="","",IF(AP24="W","L",AP24))</f>
        <v/>
      </c>
      <c r="AM28" s="1032" t="str">
        <f>IF(AP26="","",IF(AR26="l","W",AR26))</f>
        <v/>
      </c>
      <c r="AN28" s="1033" t="str">
        <f>IF(AQ26="","",":")</f>
        <v/>
      </c>
      <c r="AO28" s="1038" t="str">
        <f>IF(AR26="","",IF(AP26="W","L",AP26))</f>
        <v/>
      </c>
      <c r="AP28" s="1129"/>
      <c r="AQ28" s="1114"/>
      <c r="AR28" s="1115"/>
      <c r="AS28" s="1044"/>
      <c r="AT28" s="1044"/>
      <c r="AU28" s="1044"/>
      <c r="AV28" s="1121"/>
      <c r="AW28" s="1122"/>
      <c r="AX28" s="1131"/>
      <c r="AY28" s="1125"/>
    </row>
    <row r="29" spans="1:51" ht="12" customHeight="1" x14ac:dyDescent="0.2">
      <c r="A29" s="1108">
        <v>6</v>
      </c>
      <c r="B29" s="1110"/>
      <c r="C29" s="1030" t="str">
        <f>IF(B29="","",VLOOKUP(B29,'Списки участников'!A:L,3,FALSE))</f>
        <v/>
      </c>
      <c r="D29" s="1116" t="str">
        <f>IF(S19="","",IF(S20="W",0,IF(S19=2,1,IF(S19=1,2,IF(S19=0,2)))))</f>
        <v/>
      </c>
      <c r="E29" s="1117"/>
      <c r="F29" s="1118"/>
      <c r="G29" s="1116" t="str">
        <f>IF(S21="","",IF(S22="W",0,IF(S21=2,1,IF(S21=1,2,IF(S21=0,2)))))</f>
        <v/>
      </c>
      <c r="H29" s="1117"/>
      <c r="I29" s="1118"/>
      <c r="J29" s="1116" t="str">
        <f>IF(S23="","",IF(S24="W",0,IF(S23=2,1,IF(S23=1,2,IF(S23=0,2)))))</f>
        <v/>
      </c>
      <c r="K29" s="1117"/>
      <c r="L29" s="1118"/>
      <c r="M29" s="1116" t="str">
        <f>IF(S25="","",IF(S26="W",0,IF(S25=2,1,IF(S25=1,2,IF(S25=0,2)))))</f>
        <v/>
      </c>
      <c r="N29" s="1117"/>
      <c r="O29" s="1118"/>
      <c r="P29" s="1116" t="str">
        <f>IF(S27="","",IF(S28="W",0,IF(S27=2,1,IF(S27=1,2,IF(S27=0,2)))))</f>
        <v/>
      </c>
      <c r="Q29" s="1117"/>
      <c r="R29" s="1118"/>
      <c r="S29" s="1126"/>
      <c r="T29" s="1127"/>
      <c r="U29" s="1128"/>
      <c r="V29" s="1119" t="str">
        <f t="shared" ref="V29" si="36">IF(B29="","",SUM(G29,J29,M29,P29,D29,S29))</f>
        <v/>
      </c>
      <c r="W29" s="1120"/>
      <c r="X29" s="1130"/>
      <c r="Y29" s="1125" t="str">
        <f t="shared" ref="Y29" si="37">IF(B29="","",RANK(V29,$V$19:$W$30))</f>
        <v/>
      </c>
      <c r="Z29" s="463"/>
      <c r="AA29" s="1108">
        <v>6</v>
      </c>
      <c r="AB29" s="1110"/>
      <c r="AC29" s="1030" t="str">
        <f>IF(AB29="","",VLOOKUP(AB29,'Списки участников'!$A:$L,3,FALSE))</f>
        <v/>
      </c>
      <c r="AD29" s="1116" t="str">
        <f>IF(AS19="","",IF(AS20="W",0,IF(AS19=2,1,IF(AS19=1,2,IF(AS19=0,2)))))</f>
        <v/>
      </c>
      <c r="AE29" s="1117"/>
      <c r="AF29" s="1118"/>
      <c r="AG29" s="1116" t="str">
        <f>IF(AS21="","",IF(AS22="W",0,IF(AS21=2,1,IF(AS21=1,2,IF(AS21=0,2)))))</f>
        <v/>
      </c>
      <c r="AH29" s="1117"/>
      <c r="AI29" s="1118"/>
      <c r="AJ29" s="1116" t="str">
        <f>IF(AS23="","",IF(AS24="W",0,IF(AS23=2,1,IF(AS23=1,2,IF(AS23=0,2)))))</f>
        <v/>
      </c>
      <c r="AK29" s="1117"/>
      <c r="AL29" s="1118"/>
      <c r="AM29" s="1116" t="str">
        <f>IF(AS25="","",IF(AS26="W",0,IF(AS25=2,1,IF(AS25=1,2,IF(AS25=0,2)))))</f>
        <v/>
      </c>
      <c r="AN29" s="1117"/>
      <c r="AO29" s="1118"/>
      <c r="AP29" s="1116" t="str">
        <f>IF(AS27="","",IF(AS28="W",0,IF(AS27=2,1,IF(AS27=1,2,IF(AS27=0,2)))))</f>
        <v/>
      </c>
      <c r="AQ29" s="1117"/>
      <c r="AR29" s="1118"/>
      <c r="AS29" s="1126"/>
      <c r="AT29" s="1127"/>
      <c r="AU29" s="1128"/>
      <c r="AV29" s="1119" t="str">
        <f t="shared" ref="AV29" si="38">IF(AB29="","",SUM(AG29,AJ29,AM29,AP29,AD29,AS29))</f>
        <v/>
      </c>
      <c r="AW29" s="1120"/>
      <c r="AX29" s="1130"/>
      <c r="AY29" s="1125" t="str">
        <f t="shared" ref="AY29" si="39">IF(AB29="","",RANK(AV29,$AV$19:$AW$30))</f>
        <v/>
      </c>
    </row>
    <row r="30" spans="1:51" ht="12" customHeight="1" x14ac:dyDescent="0.2">
      <c r="A30" s="1109"/>
      <c r="B30" s="1111"/>
      <c r="C30" s="1031" t="str">
        <f>IF(B29="","",VLOOKUP(B29,'Списки участников'!$A:$L,6,FALSE))</f>
        <v/>
      </c>
      <c r="D30" s="1032" t="str">
        <f>IF(S20="","",IF(U20="l","W",U20))</f>
        <v/>
      </c>
      <c r="E30" s="1033" t="str">
        <f>IF(T20="","",":")</f>
        <v/>
      </c>
      <c r="F30" s="1038" t="str">
        <f>IF(U20="","",IF(S20="W","L",S20))</f>
        <v/>
      </c>
      <c r="G30" s="1032" t="str">
        <f>IF(S22="","",IF(U22="l","W",U22))</f>
        <v/>
      </c>
      <c r="H30" s="1033" t="str">
        <f>IF(T22="","",":")</f>
        <v/>
      </c>
      <c r="I30" s="1038" t="str">
        <f>IF(U22="","",IF(S22="W","L",S22))</f>
        <v/>
      </c>
      <c r="J30" s="1032" t="str">
        <f>IF(S24="","",IF(U24="l","W",U24))</f>
        <v/>
      </c>
      <c r="K30" s="1033" t="str">
        <f>IF(T24="","",":")</f>
        <v/>
      </c>
      <c r="L30" s="1038" t="str">
        <f>IF(U24="","",IF(S24="W","L",S24))</f>
        <v/>
      </c>
      <c r="M30" s="1032" t="str">
        <f>IF(S26="","",IF(U26="l","W",U26))</f>
        <v/>
      </c>
      <c r="N30" s="1033" t="str">
        <f>IF(T26="","",":")</f>
        <v/>
      </c>
      <c r="O30" s="1038" t="str">
        <f>IF(U26="","",IF(S26="W","L",S26))</f>
        <v/>
      </c>
      <c r="P30" s="1032" t="str">
        <f>IF(S28="","",IF(U28="l","W",U28))</f>
        <v/>
      </c>
      <c r="Q30" s="1033" t="str">
        <f>IF(T28="","",":")</f>
        <v/>
      </c>
      <c r="R30" s="1038" t="str">
        <f>IF(U28="","",IF(S28="W","L",S28))</f>
        <v/>
      </c>
      <c r="S30" s="1129"/>
      <c r="T30" s="1114"/>
      <c r="U30" s="1115"/>
      <c r="V30" s="1121"/>
      <c r="W30" s="1122"/>
      <c r="X30" s="1131"/>
      <c r="Y30" s="1125"/>
      <c r="Z30" s="463"/>
      <c r="AA30" s="1109"/>
      <c r="AB30" s="1111"/>
      <c r="AC30" s="1031" t="str">
        <f>IF(AB29="","",VLOOKUP(AB29,'Списки участников'!$A:$L,6,FALSE))</f>
        <v/>
      </c>
      <c r="AD30" s="1032" t="str">
        <f>IF(AS20="","",IF(AU20="l","W",AU20))</f>
        <v/>
      </c>
      <c r="AE30" s="1033" t="str">
        <f>IF(AT20="","",":")</f>
        <v/>
      </c>
      <c r="AF30" s="1038" t="str">
        <f>IF(AU20="","",IF(AS20="W","L",AS20))</f>
        <v/>
      </c>
      <c r="AG30" s="1032" t="str">
        <f>IF(AS22="","",IF(AU22="l","W",AU22))</f>
        <v/>
      </c>
      <c r="AH30" s="1033" t="str">
        <f>IF(AT22="","",":")</f>
        <v/>
      </c>
      <c r="AI30" s="1038" t="str">
        <f>IF(AU22="","",IF(AS22="W","L",AS22))</f>
        <v/>
      </c>
      <c r="AJ30" s="1032" t="str">
        <f>IF(AS24="","",IF(AU24="l","W",AU24))</f>
        <v/>
      </c>
      <c r="AK30" s="1033" t="str">
        <f>IF(AT24="","",":")</f>
        <v/>
      </c>
      <c r="AL30" s="1038" t="str">
        <f>IF(AU24="","",IF(AS24="W","L",AS24))</f>
        <v/>
      </c>
      <c r="AM30" s="1032" t="str">
        <f>IF(AS26="","",IF(AU26="l","W",AU26))</f>
        <v/>
      </c>
      <c r="AN30" s="1033" t="str">
        <f>IF(AT26="","",":")</f>
        <v/>
      </c>
      <c r="AO30" s="1038" t="str">
        <f>IF(AU26="","",IF(AS26="W","L",AS26))</f>
        <v/>
      </c>
      <c r="AP30" s="1032" t="str">
        <f>IF(AS28="","",IF(AU28="l","W",AU28))</f>
        <v/>
      </c>
      <c r="AQ30" s="1033" t="str">
        <f>IF(AT28="","",":")</f>
        <v/>
      </c>
      <c r="AR30" s="1038" t="str">
        <f>IF(AU28="","",IF(AS28="W","L",AS28))</f>
        <v/>
      </c>
      <c r="AS30" s="1129"/>
      <c r="AT30" s="1114"/>
      <c r="AU30" s="1115"/>
      <c r="AV30" s="1121"/>
      <c r="AW30" s="1122"/>
      <c r="AX30" s="1131"/>
      <c r="AY30" s="1125"/>
    </row>
    <row r="31" spans="1:51" ht="12" customHeight="1" x14ac:dyDescent="0.25">
      <c r="A31" s="1024"/>
      <c r="B31" s="1024"/>
      <c r="C31" s="1025"/>
      <c r="D31" s="1024"/>
      <c r="E31" s="1024"/>
      <c r="F31" s="1024"/>
      <c r="G31" s="1102" t="s">
        <v>956</v>
      </c>
      <c r="H31" s="1102"/>
      <c r="I31" s="1102"/>
      <c r="J31" s="1102"/>
      <c r="K31" s="1102"/>
      <c r="L31" s="1102"/>
      <c r="M31" s="1102"/>
      <c r="N31" s="1102"/>
      <c r="O31" s="1102"/>
      <c r="P31" s="1102"/>
      <c r="Q31" s="1102"/>
      <c r="R31" s="1102"/>
      <c r="S31" s="1041"/>
      <c r="T31" s="1041"/>
      <c r="U31" s="1041"/>
      <c r="V31" s="1024"/>
      <c r="W31" s="1024"/>
      <c r="X31" s="1024"/>
      <c r="Y31" s="1024"/>
      <c r="Z31" s="463"/>
      <c r="AA31" s="1024"/>
      <c r="AB31" s="1024"/>
      <c r="AC31" s="1025"/>
      <c r="AD31" s="1024"/>
      <c r="AE31" s="1024"/>
      <c r="AF31" s="1024"/>
      <c r="AG31" s="1102" t="s">
        <v>961</v>
      </c>
      <c r="AH31" s="1102"/>
      <c r="AI31" s="1102"/>
      <c r="AJ31" s="1102"/>
      <c r="AK31" s="1102"/>
      <c r="AL31" s="1102"/>
      <c r="AM31" s="1102"/>
      <c r="AN31" s="1102"/>
      <c r="AO31" s="1102"/>
      <c r="AP31" s="1102"/>
      <c r="AQ31" s="1102"/>
      <c r="AR31" s="1102"/>
      <c r="AS31" s="1041"/>
      <c r="AT31" s="1041"/>
      <c r="AU31" s="1041"/>
      <c r="AV31" s="1024"/>
      <c r="AW31" s="1024"/>
      <c r="AX31" s="1024"/>
      <c r="AY31" s="1024"/>
    </row>
    <row r="32" spans="1:51" ht="12" customHeight="1" x14ac:dyDescent="0.2">
      <c r="A32" s="1026" t="s">
        <v>3</v>
      </c>
      <c r="B32" s="1027"/>
      <c r="C32" s="1028" t="s">
        <v>757</v>
      </c>
      <c r="D32" s="1103">
        <v>1</v>
      </c>
      <c r="E32" s="1104"/>
      <c r="F32" s="1105"/>
      <c r="G32" s="1103">
        <v>2</v>
      </c>
      <c r="H32" s="1104"/>
      <c r="I32" s="1105"/>
      <c r="J32" s="1103">
        <v>3</v>
      </c>
      <c r="K32" s="1104"/>
      <c r="L32" s="1105"/>
      <c r="M32" s="1103">
        <v>4</v>
      </c>
      <c r="N32" s="1104"/>
      <c r="O32" s="1105"/>
      <c r="P32" s="1103">
        <v>5</v>
      </c>
      <c r="Q32" s="1104"/>
      <c r="R32" s="1105"/>
      <c r="S32" s="1103">
        <v>6</v>
      </c>
      <c r="T32" s="1104"/>
      <c r="U32" s="1105"/>
      <c r="V32" s="1106" t="s">
        <v>758</v>
      </c>
      <c r="W32" s="1107"/>
      <c r="X32" s="1029" t="s">
        <v>759</v>
      </c>
      <c r="Y32" s="1042" t="s">
        <v>2803</v>
      </c>
      <c r="Z32" s="463"/>
      <c r="AA32" s="1026" t="s">
        <v>3</v>
      </c>
      <c r="AB32" s="1027"/>
      <c r="AC32" s="1028" t="s">
        <v>757</v>
      </c>
      <c r="AD32" s="1103">
        <v>1</v>
      </c>
      <c r="AE32" s="1104"/>
      <c r="AF32" s="1105"/>
      <c r="AG32" s="1103">
        <v>2</v>
      </c>
      <c r="AH32" s="1104"/>
      <c r="AI32" s="1105"/>
      <c r="AJ32" s="1103">
        <v>3</v>
      </c>
      <c r="AK32" s="1104"/>
      <c r="AL32" s="1105"/>
      <c r="AM32" s="1103">
        <v>4</v>
      </c>
      <c r="AN32" s="1104"/>
      <c r="AO32" s="1105"/>
      <c r="AP32" s="1103">
        <v>5</v>
      </c>
      <c r="AQ32" s="1104"/>
      <c r="AR32" s="1105"/>
      <c r="AS32" s="1103">
        <v>6</v>
      </c>
      <c r="AT32" s="1104"/>
      <c r="AU32" s="1105"/>
      <c r="AV32" s="1106" t="s">
        <v>758</v>
      </c>
      <c r="AW32" s="1107"/>
      <c r="AX32" s="1029" t="s">
        <v>759</v>
      </c>
      <c r="AY32" s="1042" t="s">
        <v>2803</v>
      </c>
    </row>
    <row r="33" spans="1:51" ht="12" customHeight="1" x14ac:dyDescent="0.2">
      <c r="A33" s="1108">
        <v>1</v>
      </c>
      <c r="B33" s="1110">
        <v>45</v>
      </c>
      <c r="C33" s="1030" t="str">
        <f>IF(B33="","",VLOOKUP(B33,'Списки участников'!A:L,3,FALSE))</f>
        <v>ПЧЕЛИН Сергей</v>
      </c>
      <c r="D33" s="1112"/>
      <c r="E33" s="1112"/>
      <c r="F33" s="1113"/>
      <c r="G33" s="1116">
        <v>2</v>
      </c>
      <c r="H33" s="1117"/>
      <c r="I33" s="1118"/>
      <c r="J33" s="1116">
        <v>2</v>
      </c>
      <c r="K33" s="1117"/>
      <c r="L33" s="1118"/>
      <c r="M33" s="1116"/>
      <c r="N33" s="1117"/>
      <c r="O33" s="1118"/>
      <c r="P33" s="1116"/>
      <c r="Q33" s="1117"/>
      <c r="R33" s="1118"/>
      <c r="S33" s="1116"/>
      <c r="T33" s="1117"/>
      <c r="U33" s="1118"/>
      <c r="V33" s="1119">
        <f>IF(B33="","",SUM(G33,J33,M33,P33,D33,S33))</f>
        <v>4</v>
      </c>
      <c r="W33" s="1120"/>
      <c r="X33" s="1123"/>
      <c r="Y33" s="1125">
        <f>IF(B33="","",RANK(V33,$V$33:$W$44))</f>
        <v>1</v>
      </c>
      <c r="Z33" s="463"/>
      <c r="AA33" s="1108">
        <v>1</v>
      </c>
      <c r="AB33" s="1110">
        <v>25</v>
      </c>
      <c r="AC33" s="1030" t="str">
        <f>IF(AB33="","",VLOOKUP(AB33,'Списки участников'!$A:$L,3,FALSE))</f>
        <v>ФИЛЬЧУГОВ Сергей</v>
      </c>
      <c r="AD33" s="1112"/>
      <c r="AE33" s="1112"/>
      <c r="AF33" s="1113"/>
      <c r="AG33" s="1116">
        <v>1</v>
      </c>
      <c r="AH33" s="1117"/>
      <c r="AI33" s="1118"/>
      <c r="AJ33" s="1116">
        <v>2</v>
      </c>
      <c r="AK33" s="1117"/>
      <c r="AL33" s="1118"/>
      <c r="AM33" s="1116"/>
      <c r="AN33" s="1117"/>
      <c r="AO33" s="1118"/>
      <c r="AP33" s="1116"/>
      <c r="AQ33" s="1117"/>
      <c r="AR33" s="1118"/>
      <c r="AS33" s="1116"/>
      <c r="AT33" s="1117"/>
      <c r="AU33" s="1118"/>
      <c r="AV33" s="1119">
        <f>IF(AB33="","",SUM(AG33,AJ33,AM33,AP33,AD33,AS33))</f>
        <v>3</v>
      </c>
      <c r="AW33" s="1120"/>
      <c r="AX33" s="1123"/>
      <c r="AY33" s="1125">
        <f>IF(AB33="","",RANK(AV33,$AV$33:$AW$44))</f>
        <v>2</v>
      </c>
    </row>
    <row r="34" spans="1:51" ht="12" customHeight="1" x14ac:dyDescent="0.2">
      <c r="A34" s="1109"/>
      <c r="B34" s="1111"/>
      <c r="C34" s="1031" t="str">
        <f>IF(B33="","",VLOOKUP(B33,'Списки участников'!$A:$L,6,FALSE))</f>
        <v>ПАО НАЗ "СОКОЛ"</v>
      </c>
      <c r="D34" s="1114"/>
      <c r="E34" s="1114"/>
      <c r="F34" s="1115"/>
      <c r="G34" s="1032">
        <v>2</v>
      </c>
      <c r="H34" s="1033" t="str">
        <f>IF(G33="","",":")</f>
        <v>:</v>
      </c>
      <c r="I34" s="1034">
        <v>0</v>
      </c>
      <c r="J34" s="1032">
        <v>2</v>
      </c>
      <c r="K34" s="1033" t="str">
        <f>IF(J33="","",":")</f>
        <v>:</v>
      </c>
      <c r="L34" s="1034">
        <v>1</v>
      </c>
      <c r="M34" s="1032"/>
      <c r="N34" s="1033" t="str">
        <f>IF(M34="","",":")</f>
        <v/>
      </c>
      <c r="O34" s="1034"/>
      <c r="P34" s="1032"/>
      <c r="Q34" s="1033" t="str">
        <f>IF(P34="","",":")</f>
        <v/>
      </c>
      <c r="R34" s="1034"/>
      <c r="S34" s="1043"/>
      <c r="T34" s="1043"/>
      <c r="U34" s="1043"/>
      <c r="V34" s="1121"/>
      <c r="W34" s="1122"/>
      <c r="X34" s="1124"/>
      <c r="Y34" s="1125"/>
      <c r="Z34" s="463"/>
      <c r="AA34" s="1109"/>
      <c r="AB34" s="1111"/>
      <c r="AC34" s="1031" t="str">
        <f>IF(AB33="","",VLOOKUP(AB33,'Списки участников'!$A:$L,6,FALSE))</f>
        <v>"КРАСНОЕ СОРМОВО"</v>
      </c>
      <c r="AD34" s="1114"/>
      <c r="AE34" s="1114"/>
      <c r="AF34" s="1115"/>
      <c r="AG34" s="1032">
        <v>0</v>
      </c>
      <c r="AH34" s="1033" t="str">
        <f>IF(AG33="","",":")</f>
        <v>:</v>
      </c>
      <c r="AI34" s="1034">
        <v>2</v>
      </c>
      <c r="AJ34" s="1032">
        <v>2</v>
      </c>
      <c r="AK34" s="1033" t="str">
        <f>IF(AJ33="","",":")</f>
        <v>:</v>
      </c>
      <c r="AL34" s="1034">
        <v>1</v>
      </c>
      <c r="AM34" s="1032"/>
      <c r="AN34" s="1033" t="str">
        <f>IF(AM34="","",":")</f>
        <v/>
      </c>
      <c r="AO34" s="1034"/>
      <c r="AP34" s="1032"/>
      <c r="AQ34" s="1033" t="str">
        <f>IF(AP34="","",":")</f>
        <v/>
      </c>
      <c r="AR34" s="1034"/>
      <c r="AS34" s="1043"/>
      <c r="AT34" s="1043"/>
      <c r="AU34" s="1043"/>
      <c r="AV34" s="1121"/>
      <c r="AW34" s="1122"/>
      <c r="AX34" s="1124"/>
      <c r="AY34" s="1125"/>
    </row>
    <row r="35" spans="1:51" ht="12" customHeight="1" x14ac:dyDescent="0.2">
      <c r="A35" s="1108">
        <v>2</v>
      </c>
      <c r="B35" s="1110">
        <v>38</v>
      </c>
      <c r="C35" s="1030" t="str">
        <f>IF(B35="","",VLOOKUP(B35,'Списки участников'!A:L,3,FALSE))</f>
        <v>СИМУСЕВ Сергей</v>
      </c>
      <c r="D35" s="1116">
        <f>IF(G33="","",IF(G34="W",0,IF(G33=2,1,IF(G33=1,2,IF(G33=0,2)))))</f>
        <v>1</v>
      </c>
      <c r="E35" s="1117"/>
      <c r="F35" s="1118"/>
      <c r="G35" s="1126"/>
      <c r="H35" s="1127"/>
      <c r="I35" s="1128"/>
      <c r="J35" s="1116">
        <v>2</v>
      </c>
      <c r="K35" s="1117"/>
      <c r="L35" s="1118"/>
      <c r="M35" s="1116"/>
      <c r="N35" s="1117"/>
      <c r="O35" s="1118"/>
      <c r="P35" s="1116"/>
      <c r="Q35" s="1117"/>
      <c r="R35" s="1118"/>
      <c r="S35" s="1116"/>
      <c r="T35" s="1117"/>
      <c r="U35" s="1118"/>
      <c r="V35" s="1119">
        <f t="shared" ref="V35" si="40">IF(B35="","",SUM(G35,J35,M35,P35,D35,S35))</f>
        <v>3</v>
      </c>
      <c r="W35" s="1120"/>
      <c r="X35" s="1123"/>
      <c r="Y35" s="1125">
        <f t="shared" ref="Y35" si="41">IF(B35="","",RANK(V35,$V$33:$W$44))</f>
        <v>2</v>
      </c>
      <c r="Z35" s="463"/>
      <c r="AA35" s="1108">
        <v>2</v>
      </c>
      <c r="AB35" s="1110">
        <v>11</v>
      </c>
      <c r="AC35" s="1030" t="str">
        <f>IF(AB35="","",VLOOKUP(AB35,'Списки участников'!$A:$L,3,FALSE))</f>
        <v>ФИНАГИН Кирилл</v>
      </c>
      <c r="AD35" s="1116">
        <f>IF(AG33="","",IF(AG34="W",0,IF(AG33=2,1,IF(AG33=1,2,IF(AG33=0,2)))))</f>
        <v>2</v>
      </c>
      <c r="AE35" s="1117"/>
      <c r="AF35" s="1118"/>
      <c r="AG35" s="1126"/>
      <c r="AH35" s="1127"/>
      <c r="AI35" s="1128"/>
      <c r="AJ35" s="1116">
        <v>2</v>
      </c>
      <c r="AK35" s="1117"/>
      <c r="AL35" s="1118"/>
      <c r="AM35" s="1116"/>
      <c r="AN35" s="1117"/>
      <c r="AO35" s="1118"/>
      <c r="AP35" s="1116"/>
      <c r="AQ35" s="1117"/>
      <c r="AR35" s="1118"/>
      <c r="AS35" s="1116"/>
      <c r="AT35" s="1117"/>
      <c r="AU35" s="1118"/>
      <c r="AV35" s="1119">
        <f t="shared" ref="AV35" si="42">IF(AB35="","",SUM(AG35,AJ35,AM35,AP35,AD35,AS35))</f>
        <v>4</v>
      </c>
      <c r="AW35" s="1120"/>
      <c r="AX35" s="1123"/>
      <c r="AY35" s="1125">
        <f t="shared" ref="AY35" si="43">IF(AB35="","",RANK(AV35,$AV$33:$AW$44))</f>
        <v>1</v>
      </c>
    </row>
    <row r="36" spans="1:51" ht="12" customHeight="1" x14ac:dyDescent="0.2">
      <c r="A36" s="1109"/>
      <c r="B36" s="1111"/>
      <c r="C36" s="1031" t="str">
        <f>IF(B35="","",VLOOKUP(B35,'Списки участников'!$A:$L,6,FALSE))</f>
        <v>"ГЖД"</v>
      </c>
      <c r="D36" s="1035">
        <f>IF(G34="","",IF(I34="l","W",I34))</f>
        <v>0</v>
      </c>
      <c r="E36" s="1036" t="str">
        <f>IF(G33="","",":")</f>
        <v>:</v>
      </c>
      <c r="F36" s="1037">
        <f>IF(I34="","",IF(G34="W","L",G34))</f>
        <v>2</v>
      </c>
      <c r="G36" s="1129"/>
      <c r="H36" s="1114"/>
      <c r="I36" s="1115"/>
      <c r="J36" s="1032">
        <v>2</v>
      </c>
      <c r="K36" s="1033" t="str">
        <f>IF(J35="","",":")</f>
        <v>:</v>
      </c>
      <c r="L36" s="1034">
        <v>0</v>
      </c>
      <c r="M36" s="1032"/>
      <c r="N36" s="1033" t="str">
        <f>IF(M35="","",":")</f>
        <v/>
      </c>
      <c r="O36" s="1034"/>
      <c r="P36" s="1032"/>
      <c r="Q36" s="1033" t="str">
        <f>IF(P35="","",":")</f>
        <v/>
      </c>
      <c r="R36" s="1034"/>
      <c r="S36" s="1043"/>
      <c r="T36" s="1043"/>
      <c r="U36" s="1043"/>
      <c r="V36" s="1121"/>
      <c r="W36" s="1122"/>
      <c r="X36" s="1124"/>
      <c r="Y36" s="1125"/>
      <c r="Z36" s="463"/>
      <c r="AA36" s="1109"/>
      <c r="AB36" s="1111"/>
      <c r="AC36" s="1031" t="str">
        <f>IF(AB35="","",VLOOKUP(AB35,'Списки участников'!$A:$L,6,FALSE))</f>
        <v>ОАО "НИАЭП"</v>
      </c>
      <c r="AD36" s="1035">
        <f>IF(AG34="","",IF(AI34="l","W",AI34))</f>
        <v>2</v>
      </c>
      <c r="AE36" s="1036" t="str">
        <f>IF(AG33="","",":")</f>
        <v>:</v>
      </c>
      <c r="AF36" s="1037">
        <f>IF(AI34="","",IF(AG34="W","L",AG34))</f>
        <v>0</v>
      </c>
      <c r="AG36" s="1129"/>
      <c r="AH36" s="1114"/>
      <c r="AI36" s="1115"/>
      <c r="AJ36" s="1032">
        <v>2</v>
      </c>
      <c r="AK36" s="1033" t="str">
        <f>IF(AJ35="","",":")</f>
        <v>:</v>
      </c>
      <c r="AL36" s="1034">
        <v>0</v>
      </c>
      <c r="AM36" s="1032"/>
      <c r="AN36" s="1033" t="str">
        <f>IF(AM35="","",":")</f>
        <v/>
      </c>
      <c r="AO36" s="1034"/>
      <c r="AP36" s="1032"/>
      <c r="AQ36" s="1033" t="str">
        <f>IF(AP35="","",":")</f>
        <v/>
      </c>
      <c r="AR36" s="1034"/>
      <c r="AS36" s="1043"/>
      <c r="AT36" s="1043"/>
      <c r="AU36" s="1043"/>
      <c r="AV36" s="1121"/>
      <c r="AW36" s="1122"/>
      <c r="AX36" s="1124"/>
      <c r="AY36" s="1125"/>
    </row>
    <row r="37" spans="1:51" ht="12" customHeight="1" x14ac:dyDescent="0.2">
      <c r="A37" s="1108">
        <v>3</v>
      </c>
      <c r="B37" s="1110">
        <v>5</v>
      </c>
      <c r="C37" s="1030" t="str">
        <f>IF(B37="","",VLOOKUP(B37,'Списки участников'!A:L,3,FALSE))</f>
        <v>АСТАПОВ Андрей</v>
      </c>
      <c r="D37" s="1116">
        <f>IF(J33="","",IF(J34="W",0,IF(J33=2,1,IF(J33=1,2,IF(J33=0,2)))))</f>
        <v>1</v>
      </c>
      <c r="E37" s="1117"/>
      <c r="F37" s="1118"/>
      <c r="G37" s="1116">
        <f>IF(J35="","",IF(J36="W",0,IF(J35=2,1,IF(J35=1,2,IF(J35=0,2)))))</f>
        <v>1</v>
      </c>
      <c r="H37" s="1117"/>
      <c r="I37" s="1118"/>
      <c r="J37" s="1126"/>
      <c r="K37" s="1127"/>
      <c r="L37" s="1128"/>
      <c r="M37" s="1116"/>
      <c r="N37" s="1117"/>
      <c r="O37" s="1118"/>
      <c r="P37" s="1116"/>
      <c r="Q37" s="1117"/>
      <c r="R37" s="1118"/>
      <c r="S37" s="1116"/>
      <c r="T37" s="1117"/>
      <c r="U37" s="1118"/>
      <c r="V37" s="1119">
        <f t="shared" ref="V37" si="44">IF(B37="","",SUM(G37,J37,M37,P37,D37,S37))</f>
        <v>2</v>
      </c>
      <c r="W37" s="1120"/>
      <c r="X37" s="1130"/>
      <c r="Y37" s="1125">
        <f t="shared" ref="Y37" si="45">IF(B37="","",RANK(V37,$V$33:$W$44))</f>
        <v>3</v>
      </c>
      <c r="Z37" s="463"/>
      <c r="AA37" s="1108">
        <v>3</v>
      </c>
      <c r="AB37" s="1110">
        <v>30</v>
      </c>
      <c r="AC37" s="1030" t="str">
        <f>IF(AB37="","",VLOOKUP(AB37,'Списки участников'!$A:$L,3,FALSE))</f>
        <v>ВОЛКОВ Евгений</v>
      </c>
      <c r="AD37" s="1116">
        <f>IF(AJ33="","",IF(AJ34="W",0,IF(AJ33=2,1,IF(AJ33=1,2,IF(AJ33=0,2)))))</f>
        <v>1</v>
      </c>
      <c r="AE37" s="1117"/>
      <c r="AF37" s="1118"/>
      <c r="AG37" s="1116">
        <f>IF(AJ35="","",IF(AJ36="W",0,IF(AJ35=2,1,IF(AJ35=1,2,IF(AJ35=0,2)))))</f>
        <v>1</v>
      </c>
      <c r="AH37" s="1117"/>
      <c r="AI37" s="1118"/>
      <c r="AJ37" s="1126"/>
      <c r="AK37" s="1127"/>
      <c r="AL37" s="1128"/>
      <c r="AM37" s="1116"/>
      <c r="AN37" s="1117"/>
      <c r="AO37" s="1118"/>
      <c r="AP37" s="1116"/>
      <c r="AQ37" s="1117"/>
      <c r="AR37" s="1118"/>
      <c r="AS37" s="1116"/>
      <c r="AT37" s="1117"/>
      <c r="AU37" s="1118"/>
      <c r="AV37" s="1119">
        <f t="shared" ref="AV37" si="46">IF(AB37="","",SUM(AG37,AJ37,AM37,AP37,AD37,AS37))</f>
        <v>2</v>
      </c>
      <c r="AW37" s="1120"/>
      <c r="AX37" s="1130"/>
      <c r="AY37" s="1125">
        <f t="shared" ref="AY37" si="47">IF(AB37="","",RANK(AV37,$AV$33:$AW$44))</f>
        <v>3</v>
      </c>
    </row>
    <row r="38" spans="1:51" ht="12" customHeight="1" x14ac:dyDescent="0.2">
      <c r="A38" s="1109"/>
      <c r="B38" s="1111"/>
      <c r="C38" s="1031" t="str">
        <f>IF(B37="","",VLOOKUP(B37,'Списки участников'!$A:$L,6,FALSE))</f>
        <v>ОАО АНПП "ТЕМП-АВИА"</v>
      </c>
      <c r="D38" s="1032">
        <f>IF(J34="","",IF(L34="l","W",L34))</f>
        <v>1</v>
      </c>
      <c r="E38" s="1033" t="str">
        <f>IF(K34="","",":")</f>
        <v>:</v>
      </c>
      <c r="F38" s="1038">
        <f>IF(L34="","",IF(J34="W","L",J34))</f>
        <v>2</v>
      </c>
      <c r="G38" s="1032">
        <f>IF(J36="","",IF(L36="l","W",L36))</f>
        <v>0</v>
      </c>
      <c r="H38" s="1033" t="str">
        <f>IF(K36="","",":")</f>
        <v>:</v>
      </c>
      <c r="I38" s="1038">
        <f>IF(L36="","",IF(J36="W","L",J36))</f>
        <v>2</v>
      </c>
      <c r="J38" s="1129"/>
      <c r="K38" s="1114"/>
      <c r="L38" s="1115"/>
      <c r="M38" s="1032"/>
      <c r="N38" s="1033" t="str">
        <f>IF(M37="","",":")</f>
        <v/>
      </c>
      <c r="O38" s="1034"/>
      <c r="P38" s="1032"/>
      <c r="Q38" s="1033" t="str">
        <f>IF(P37="","",":")</f>
        <v/>
      </c>
      <c r="R38" s="1034"/>
      <c r="S38" s="1043"/>
      <c r="T38" s="1043"/>
      <c r="U38" s="1043"/>
      <c r="V38" s="1121"/>
      <c r="W38" s="1122"/>
      <c r="X38" s="1131"/>
      <c r="Y38" s="1125"/>
      <c r="Z38" s="463"/>
      <c r="AA38" s="1109"/>
      <c r="AB38" s="1111"/>
      <c r="AC38" s="1031" t="str">
        <f>IF(AB37="","",VLOOKUP(AB37,'Списки участников'!$A:$L,6,FALSE))</f>
        <v>АО "НПП "Полет"</v>
      </c>
      <c r="AD38" s="1032">
        <f>IF(AJ34="","",IF(AL34="l","W",AL34))</f>
        <v>1</v>
      </c>
      <c r="AE38" s="1033" t="str">
        <f>IF(AK34="","",":")</f>
        <v>:</v>
      </c>
      <c r="AF38" s="1038">
        <f>IF(AL34="","",IF(AJ34="W","L",AJ34))</f>
        <v>2</v>
      </c>
      <c r="AG38" s="1032">
        <f>IF(AJ36="","",IF(AL36="l","W",AL36))</f>
        <v>0</v>
      </c>
      <c r="AH38" s="1033" t="str">
        <f>IF(AK36="","",":")</f>
        <v>:</v>
      </c>
      <c r="AI38" s="1038">
        <f>IF(AL36="","",IF(AJ36="W","L",AJ36))</f>
        <v>2</v>
      </c>
      <c r="AJ38" s="1129"/>
      <c r="AK38" s="1114"/>
      <c r="AL38" s="1115"/>
      <c r="AM38" s="1032"/>
      <c r="AN38" s="1033" t="str">
        <f>IF(AM37="","",":")</f>
        <v/>
      </c>
      <c r="AO38" s="1034"/>
      <c r="AP38" s="1032"/>
      <c r="AQ38" s="1033" t="str">
        <f>IF(AP37="","",":")</f>
        <v/>
      </c>
      <c r="AR38" s="1034"/>
      <c r="AS38" s="1043"/>
      <c r="AT38" s="1043"/>
      <c r="AU38" s="1043"/>
      <c r="AV38" s="1121"/>
      <c r="AW38" s="1122"/>
      <c r="AX38" s="1131"/>
      <c r="AY38" s="1125"/>
    </row>
    <row r="39" spans="1:51" ht="12" customHeight="1" x14ac:dyDescent="0.2">
      <c r="A39" s="1108">
        <v>4</v>
      </c>
      <c r="B39" s="1110"/>
      <c r="C39" s="1030" t="str">
        <f>IF(B39="","",VLOOKUP(B39,'Списки участников'!A:L,3,FALSE))</f>
        <v/>
      </c>
      <c r="D39" s="1116" t="str">
        <f>IF(M33="","",IF(M34="W",0,IF(M33=2,1,IF(M33=1,2,IF(M33=0,2)))))</f>
        <v/>
      </c>
      <c r="E39" s="1117"/>
      <c r="F39" s="1118"/>
      <c r="G39" s="1116" t="str">
        <f>IF(M35="","",IF(M36="W",0,IF(M35=2,1,IF(M35=1,2,IF(M35=0,2)))))</f>
        <v/>
      </c>
      <c r="H39" s="1117"/>
      <c r="I39" s="1118"/>
      <c r="J39" s="1116" t="str">
        <f>IF(M37="","",IF(M38="W",0,IF(M37=2,1,IF(M37=1,2,IF(M37=0,2)))))</f>
        <v/>
      </c>
      <c r="K39" s="1117"/>
      <c r="L39" s="1118"/>
      <c r="M39" s="1127"/>
      <c r="N39" s="1127"/>
      <c r="O39" s="1127"/>
      <c r="P39" s="1116"/>
      <c r="Q39" s="1117"/>
      <c r="R39" s="1118"/>
      <c r="S39" s="1116"/>
      <c r="T39" s="1117"/>
      <c r="U39" s="1118"/>
      <c r="V39" s="1119" t="str">
        <f t="shared" ref="V39" si="48">IF(B39="","",SUM(G39,J39,M39,P39,D39,S39))</f>
        <v/>
      </c>
      <c r="W39" s="1120"/>
      <c r="X39" s="1130"/>
      <c r="Y39" s="1125" t="str">
        <f t="shared" ref="Y39" si="49">IF(B39="","",RANK(V39,$V$33:$W$44))</f>
        <v/>
      </c>
      <c r="Z39" s="463"/>
      <c r="AA39" s="1108">
        <v>4</v>
      </c>
      <c r="AB39" s="1110"/>
      <c r="AC39" s="1030" t="str">
        <f>IF(AB39="","",VLOOKUP(AB39,'Списки участников'!$A:$L,3,FALSE))</f>
        <v/>
      </c>
      <c r="AD39" s="1116" t="str">
        <f>IF(AM33="","",IF(AM34="W",0,IF(AM33=2,1,IF(AM33=1,2,IF(AM33=0,2)))))</f>
        <v/>
      </c>
      <c r="AE39" s="1117"/>
      <c r="AF39" s="1118"/>
      <c r="AG39" s="1116" t="str">
        <f>IF(AM35="","",IF(AM36="W",0,IF(AM35=2,1,IF(AM35=1,2,IF(AM35=0,2)))))</f>
        <v/>
      </c>
      <c r="AH39" s="1117"/>
      <c r="AI39" s="1118"/>
      <c r="AJ39" s="1116" t="str">
        <f>IF(AM37="","",IF(AM38="W",0,IF(AM37=2,1,IF(AM37=1,2,IF(AM37=0,2)))))</f>
        <v/>
      </c>
      <c r="AK39" s="1117"/>
      <c r="AL39" s="1118"/>
      <c r="AM39" s="1127"/>
      <c r="AN39" s="1127"/>
      <c r="AO39" s="1127"/>
      <c r="AP39" s="1116"/>
      <c r="AQ39" s="1117"/>
      <c r="AR39" s="1118"/>
      <c r="AS39" s="1116"/>
      <c r="AT39" s="1117"/>
      <c r="AU39" s="1118"/>
      <c r="AV39" s="1119" t="str">
        <f t="shared" ref="AV39" si="50">IF(AB39="","",SUM(AG39,AJ39,AM39,AP39,AD39,AS39))</f>
        <v/>
      </c>
      <c r="AW39" s="1120"/>
      <c r="AX39" s="1130"/>
      <c r="AY39" s="1125" t="str">
        <f t="shared" ref="AY39" si="51">IF(AB39="","",RANK(AV39,$AV$33:$AW$44))</f>
        <v/>
      </c>
    </row>
    <row r="40" spans="1:51" ht="12" customHeight="1" x14ac:dyDescent="0.2">
      <c r="A40" s="1109"/>
      <c r="B40" s="1111"/>
      <c r="C40" s="1031" t="str">
        <f>IF(B39="","",VLOOKUP(B39,'Списки участников'!$A:$L,6,FALSE))</f>
        <v/>
      </c>
      <c r="D40" s="1032" t="str">
        <f>IF(M34="","",IF(O34="l","W",O34))</f>
        <v/>
      </c>
      <c r="E40" s="1033" t="str">
        <f>IF(N34="","",":")</f>
        <v/>
      </c>
      <c r="F40" s="1038" t="str">
        <f>IF(O34="","",IF(M34="W","L",M34))</f>
        <v/>
      </c>
      <c r="G40" s="1032" t="str">
        <f>IF(M36="","",IF(O36="l","W",O36))</f>
        <v/>
      </c>
      <c r="H40" s="1033" t="str">
        <f>IF(N36="","",":")</f>
        <v/>
      </c>
      <c r="I40" s="1038" t="str">
        <f>IF(O36="","",IF(M36="W","L",M36))</f>
        <v/>
      </c>
      <c r="J40" s="1032" t="str">
        <f>IF(M38="","",IF(O38="l","W",O38))</f>
        <v/>
      </c>
      <c r="K40" s="1033" t="str">
        <f>IF(N38="","",":")</f>
        <v/>
      </c>
      <c r="L40" s="1038" t="str">
        <f>IF(O38="","",IF(M38="W","L",M38))</f>
        <v/>
      </c>
      <c r="M40" s="1132"/>
      <c r="N40" s="1132"/>
      <c r="O40" s="1132"/>
      <c r="P40" s="1032"/>
      <c r="Q40" s="1033" t="str">
        <f>IF(P39="","",":")</f>
        <v/>
      </c>
      <c r="R40" s="1034"/>
      <c r="S40" s="1043"/>
      <c r="T40" s="1043"/>
      <c r="U40" s="1043"/>
      <c r="V40" s="1121"/>
      <c r="W40" s="1122"/>
      <c r="X40" s="1131"/>
      <c r="Y40" s="1125"/>
      <c r="Z40" s="463"/>
      <c r="AA40" s="1109"/>
      <c r="AB40" s="1111"/>
      <c r="AC40" s="1031" t="str">
        <f>IF(AB39="","",VLOOKUP(AB39,'Списки участников'!$A:$L,6,FALSE))</f>
        <v/>
      </c>
      <c r="AD40" s="1032" t="str">
        <f>IF(AM34="","",IF(AO34="l","W",AO34))</f>
        <v/>
      </c>
      <c r="AE40" s="1033" t="str">
        <f>IF(AN34="","",":")</f>
        <v/>
      </c>
      <c r="AF40" s="1038" t="str">
        <f>IF(AO34="","",IF(AM34="W","L",AM34))</f>
        <v/>
      </c>
      <c r="AG40" s="1032" t="str">
        <f>IF(AM36="","",IF(AO36="l","W",AO36))</f>
        <v/>
      </c>
      <c r="AH40" s="1033" t="str">
        <f>IF(AN36="","",":")</f>
        <v/>
      </c>
      <c r="AI40" s="1038" t="str">
        <f>IF(AO36="","",IF(AM36="W","L",AM36))</f>
        <v/>
      </c>
      <c r="AJ40" s="1032" t="str">
        <f>IF(AM38="","",IF(AO38="l","W",AO38))</f>
        <v/>
      </c>
      <c r="AK40" s="1033" t="str">
        <f>IF(AN38="","",":")</f>
        <v/>
      </c>
      <c r="AL40" s="1038" t="str">
        <f>IF(AO38="","",IF(AM38="W","L",AM38))</f>
        <v/>
      </c>
      <c r="AM40" s="1132"/>
      <c r="AN40" s="1132"/>
      <c r="AO40" s="1132"/>
      <c r="AP40" s="1032"/>
      <c r="AQ40" s="1033" t="str">
        <f>IF(AP39="","",":")</f>
        <v/>
      </c>
      <c r="AR40" s="1034"/>
      <c r="AS40" s="1043"/>
      <c r="AT40" s="1043"/>
      <c r="AU40" s="1043"/>
      <c r="AV40" s="1121"/>
      <c r="AW40" s="1122"/>
      <c r="AX40" s="1131"/>
      <c r="AY40" s="1125"/>
    </row>
    <row r="41" spans="1:51" ht="12" customHeight="1" x14ac:dyDescent="0.2">
      <c r="A41" s="1108">
        <v>5</v>
      </c>
      <c r="B41" s="1110"/>
      <c r="C41" s="1030" t="str">
        <f>IF(B41="","",VLOOKUP(B41,'Списки участников'!A:L,3,FALSE))</f>
        <v/>
      </c>
      <c r="D41" s="1116" t="str">
        <f>IF(P33="","",IF(P34="W",0,IF(P33=2,1,IF(P33=1,2,IF(P33=0,2)))))</f>
        <v/>
      </c>
      <c r="E41" s="1117"/>
      <c r="F41" s="1118"/>
      <c r="G41" s="1116" t="str">
        <f>IF(P35="","",IF(P36="W",0,IF(P35=2,1,IF(P35=1,2,IF(P35=0,2)))))</f>
        <v/>
      </c>
      <c r="H41" s="1117"/>
      <c r="I41" s="1118"/>
      <c r="J41" s="1116" t="str">
        <f>IF(P37="","",IF(P38="W",0,IF(P37=2,1,IF(P37=1,2,IF(P37=0,2)))))</f>
        <v/>
      </c>
      <c r="K41" s="1117"/>
      <c r="L41" s="1118"/>
      <c r="M41" s="1116" t="str">
        <f>IF(P39="","",IF(P40="W",0,IF(P39=2,1,IF(P39=1,2,IF(P39=0,2)))))</f>
        <v/>
      </c>
      <c r="N41" s="1117"/>
      <c r="O41" s="1118"/>
      <c r="P41" s="1126"/>
      <c r="Q41" s="1127"/>
      <c r="R41" s="1128"/>
      <c r="S41" s="1116"/>
      <c r="T41" s="1117"/>
      <c r="U41" s="1118"/>
      <c r="V41" s="1119" t="str">
        <f t="shared" ref="V41" si="52">IF(B41="","",SUM(G41,J41,M41,P41,D41,S41))</f>
        <v/>
      </c>
      <c r="W41" s="1120"/>
      <c r="X41" s="1130"/>
      <c r="Y41" s="1125" t="str">
        <f t="shared" ref="Y41" si="53">IF(B41="","",RANK(V41,$V$33:$W$44))</f>
        <v/>
      </c>
      <c r="Z41" s="463"/>
      <c r="AA41" s="1108">
        <v>5</v>
      </c>
      <c r="AB41" s="1110"/>
      <c r="AC41" s="1030" t="str">
        <f>IF(AB41="","",VLOOKUP(AB41,'Списки участников'!$A:$L,3,FALSE))</f>
        <v/>
      </c>
      <c r="AD41" s="1116" t="str">
        <f>IF(AP33="","",IF(AP34="W",0,IF(AP33=2,1,IF(AP33=1,2,IF(AP33=0,2)))))</f>
        <v/>
      </c>
      <c r="AE41" s="1117"/>
      <c r="AF41" s="1118"/>
      <c r="AG41" s="1116" t="str">
        <f>IF(AP35="","",IF(AP36="W",0,IF(AP35=2,1,IF(AP35=1,2,IF(AP35=0,2)))))</f>
        <v/>
      </c>
      <c r="AH41" s="1117"/>
      <c r="AI41" s="1118"/>
      <c r="AJ41" s="1116" t="str">
        <f>IF(AP37="","",IF(AP38="W",0,IF(AP37=2,1,IF(AP37=1,2,IF(AP37=0,2)))))</f>
        <v/>
      </c>
      <c r="AK41" s="1117"/>
      <c r="AL41" s="1118"/>
      <c r="AM41" s="1116" t="str">
        <f>IF(AP39="","",IF(AP40="W",0,IF(AP39=2,1,IF(AP39=1,2,IF(AP39=0,2)))))</f>
        <v/>
      </c>
      <c r="AN41" s="1117"/>
      <c r="AO41" s="1118"/>
      <c r="AP41" s="1126"/>
      <c r="AQ41" s="1127"/>
      <c r="AR41" s="1128"/>
      <c r="AS41" s="1116"/>
      <c r="AT41" s="1117"/>
      <c r="AU41" s="1118"/>
      <c r="AV41" s="1119" t="str">
        <f t="shared" ref="AV41" si="54">IF(AB41="","",SUM(AG41,AJ41,AM41,AP41,AD41,AS41))</f>
        <v/>
      </c>
      <c r="AW41" s="1120"/>
      <c r="AX41" s="1130"/>
      <c r="AY41" s="1125" t="str">
        <f t="shared" ref="AY41" si="55">IF(AB41="","",RANK(AV41,$AV$33:$AW$44))</f>
        <v/>
      </c>
    </row>
    <row r="42" spans="1:51" ht="12" customHeight="1" x14ac:dyDescent="0.2">
      <c r="A42" s="1109"/>
      <c r="B42" s="1111"/>
      <c r="C42" s="1031" t="str">
        <f>IF(B41="","",VLOOKUP(B41,'Списки участников'!$A:$L,6,FALSE))</f>
        <v/>
      </c>
      <c r="D42" s="1032" t="str">
        <f>IF(P34="","",IF(R34="l","W",R34))</f>
        <v/>
      </c>
      <c r="E42" s="1033" t="str">
        <f>IF(Q34="","",":")</f>
        <v/>
      </c>
      <c r="F42" s="1038" t="str">
        <f>IF(R34="","",IF(P34="W","L",P34))</f>
        <v/>
      </c>
      <c r="G42" s="1032" t="str">
        <f>IF(P36="","",IF(R36="l","W",R36))</f>
        <v/>
      </c>
      <c r="H42" s="1033" t="str">
        <f>IF(Q36="","",":")</f>
        <v/>
      </c>
      <c r="I42" s="1038" t="str">
        <f>IF(R36="","",IF(P36="W","L",P36))</f>
        <v/>
      </c>
      <c r="J42" s="1032" t="str">
        <f>IF(P38="","",IF(R38="l","W",R38))</f>
        <v/>
      </c>
      <c r="K42" s="1033" t="str">
        <f>IF(Q38="","",":")</f>
        <v/>
      </c>
      <c r="L42" s="1038" t="str">
        <f>IF(R38="","",IF(P38="W","L",P38))</f>
        <v/>
      </c>
      <c r="M42" s="1032" t="str">
        <f>IF(P40="","",IF(R40="l","W",R40))</f>
        <v/>
      </c>
      <c r="N42" s="1033" t="str">
        <f>IF(Q40="","",":")</f>
        <v/>
      </c>
      <c r="O42" s="1038" t="str">
        <f>IF(R40="","",IF(P40="W","L",P40))</f>
        <v/>
      </c>
      <c r="P42" s="1129"/>
      <c r="Q42" s="1114"/>
      <c r="R42" s="1115"/>
      <c r="S42" s="1044"/>
      <c r="T42" s="1044"/>
      <c r="U42" s="1044"/>
      <c r="V42" s="1121"/>
      <c r="W42" s="1122"/>
      <c r="X42" s="1131"/>
      <c r="Y42" s="1125"/>
      <c r="Z42" s="463"/>
      <c r="AA42" s="1109"/>
      <c r="AB42" s="1111"/>
      <c r="AC42" s="1031" t="str">
        <f>IF(AB41="","",VLOOKUP(AB41,'Списки участников'!$A:$L,6,FALSE))</f>
        <v/>
      </c>
      <c r="AD42" s="1032" t="str">
        <f>IF(AP34="","",IF(AR34="l","W",AR34))</f>
        <v/>
      </c>
      <c r="AE42" s="1033" t="str">
        <f>IF(AQ34="","",":")</f>
        <v/>
      </c>
      <c r="AF42" s="1038" t="str">
        <f>IF(AR34="","",IF(AP34="W","L",AP34))</f>
        <v/>
      </c>
      <c r="AG42" s="1032" t="str">
        <f>IF(AP36="","",IF(AR36="l","W",AR36))</f>
        <v/>
      </c>
      <c r="AH42" s="1033" t="str">
        <f>IF(AQ36="","",":")</f>
        <v/>
      </c>
      <c r="AI42" s="1038" t="str">
        <f>IF(AR36="","",IF(AP36="W","L",AP36))</f>
        <v/>
      </c>
      <c r="AJ42" s="1032" t="str">
        <f>IF(AP38="","",IF(AR38="l","W",AR38))</f>
        <v/>
      </c>
      <c r="AK42" s="1033" t="str">
        <f>IF(AQ38="","",":")</f>
        <v/>
      </c>
      <c r="AL42" s="1038" t="str">
        <f>IF(AR38="","",IF(AP38="W","L",AP38))</f>
        <v/>
      </c>
      <c r="AM42" s="1032" t="str">
        <f>IF(AP40="","",IF(AR40="l","W",AR40))</f>
        <v/>
      </c>
      <c r="AN42" s="1033" t="str">
        <f>IF(AQ40="","",":")</f>
        <v/>
      </c>
      <c r="AO42" s="1038" t="str">
        <f>IF(AR40="","",IF(AP40="W","L",AP40))</f>
        <v/>
      </c>
      <c r="AP42" s="1129"/>
      <c r="AQ42" s="1114"/>
      <c r="AR42" s="1115"/>
      <c r="AS42" s="1044"/>
      <c r="AT42" s="1044"/>
      <c r="AU42" s="1044"/>
      <c r="AV42" s="1121"/>
      <c r="AW42" s="1122"/>
      <c r="AX42" s="1131"/>
      <c r="AY42" s="1125"/>
    </row>
    <row r="43" spans="1:51" ht="12" customHeight="1" x14ac:dyDescent="0.2">
      <c r="A43" s="1108">
        <v>6</v>
      </c>
      <c r="B43" s="1110"/>
      <c r="C43" s="1030" t="str">
        <f>IF(B43="","",VLOOKUP(B43,'Списки участников'!A:L,3,FALSE))</f>
        <v/>
      </c>
      <c r="D43" s="1116" t="str">
        <f>IF(S33="","",IF(S34="W",0,IF(S33=2,1,IF(S33=1,2,IF(S33=0,2)))))</f>
        <v/>
      </c>
      <c r="E43" s="1117"/>
      <c r="F43" s="1118"/>
      <c r="G43" s="1116" t="str">
        <f>IF(S35="","",IF(S36="W",0,IF(S35=2,1,IF(S35=1,2,IF(S35=0,2)))))</f>
        <v/>
      </c>
      <c r="H43" s="1117"/>
      <c r="I43" s="1118"/>
      <c r="J43" s="1116" t="str">
        <f>IF(S37="","",IF(S38="W",0,IF(S37=2,1,IF(S37=1,2,IF(S37=0,2)))))</f>
        <v/>
      </c>
      <c r="K43" s="1117"/>
      <c r="L43" s="1118"/>
      <c r="M43" s="1116" t="str">
        <f>IF(S39="","",IF(S40="W",0,IF(S39=2,1,IF(S39=1,2,IF(S39=0,2)))))</f>
        <v/>
      </c>
      <c r="N43" s="1117"/>
      <c r="O43" s="1118"/>
      <c r="P43" s="1116" t="str">
        <f>IF(S41="","",IF(S42="W",0,IF(S41=2,1,IF(S41=1,2,IF(S41=0,2)))))</f>
        <v/>
      </c>
      <c r="Q43" s="1117"/>
      <c r="R43" s="1118"/>
      <c r="S43" s="1126"/>
      <c r="T43" s="1127"/>
      <c r="U43" s="1128"/>
      <c r="V43" s="1119" t="str">
        <f t="shared" ref="V43" si="56">IF(B43="","",SUM(G43,J43,M43,P43,D43,S43))</f>
        <v/>
      </c>
      <c r="W43" s="1120"/>
      <c r="X43" s="1130"/>
      <c r="Y43" s="1125" t="str">
        <f t="shared" ref="Y43" si="57">IF(B43="","",RANK(V43,$V$33:$W$44))</f>
        <v/>
      </c>
      <c r="Z43" s="463"/>
      <c r="AA43" s="1108">
        <v>6</v>
      </c>
      <c r="AB43" s="1110"/>
      <c r="AC43" s="1030" t="str">
        <f>IF(AB43="","",VLOOKUP(AB43,'Списки участников'!$A:$L,3,FALSE))</f>
        <v/>
      </c>
      <c r="AD43" s="1116" t="str">
        <f>IF(AS33="","",IF(AS34="W",0,IF(AS33=2,1,IF(AS33=1,2,IF(AS33=0,2)))))</f>
        <v/>
      </c>
      <c r="AE43" s="1117"/>
      <c r="AF43" s="1118"/>
      <c r="AG43" s="1116" t="str">
        <f>IF(AS35="","",IF(AS36="W",0,IF(AS35=2,1,IF(AS35=1,2,IF(AS35=0,2)))))</f>
        <v/>
      </c>
      <c r="AH43" s="1117"/>
      <c r="AI43" s="1118"/>
      <c r="AJ43" s="1116" t="str">
        <f>IF(AS37="","",IF(AS38="W",0,IF(AS37=2,1,IF(AS37=1,2,IF(AS37=0,2)))))</f>
        <v/>
      </c>
      <c r="AK43" s="1117"/>
      <c r="AL43" s="1118"/>
      <c r="AM43" s="1116" t="str">
        <f>IF(AS39="","",IF(AS40="W",0,IF(AS39=2,1,IF(AS39=1,2,IF(AS39=0,2)))))</f>
        <v/>
      </c>
      <c r="AN43" s="1117"/>
      <c r="AO43" s="1118"/>
      <c r="AP43" s="1116" t="str">
        <f>IF(AS41="","",IF(AS42="W",0,IF(AS41=2,1,IF(AS41=1,2,IF(AS41=0,2)))))</f>
        <v/>
      </c>
      <c r="AQ43" s="1117"/>
      <c r="AR43" s="1118"/>
      <c r="AS43" s="1126"/>
      <c r="AT43" s="1127"/>
      <c r="AU43" s="1128"/>
      <c r="AV43" s="1119" t="str">
        <f t="shared" ref="AV43" si="58">IF(AB43="","",SUM(AG43,AJ43,AM43,AP43,AD43,AS43))</f>
        <v/>
      </c>
      <c r="AW43" s="1120"/>
      <c r="AX43" s="1130"/>
      <c r="AY43" s="1125" t="str">
        <f t="shared" ref="AY43" si="59">IF(AB43="","",RANK(AV43,$AV$33:$AW$44))</f>
        <v/>
      </c>
    </row>
    <row r="44" spans="1:51" ht="12" customHeight="1" x14ac:dyDescent="0.2">
      <c r="A44" s="1109"/>
      <c r="B44" s="1111"/>
      <c r="C44" s="1031" t="str">
        <f>IF(B43="","",VLOOKUP(B43,'Списки участников'!$A:$L,6,FALSE))</f>
        <v/>
      </c>
      <c r="D44" s="1032" t="str">
        <f>IF(S34="","",IF(U34="l","W",U34))</f>
        <v/>
      </c>
      <c r="E44" s="1033" t="str">
        <f>IF(T34="","",":")</f>
        <v/>
      </c>
      <c r="F44" s="1038" t="str">
        <f>IF(U34="","",IF(S34="W","L",S34))</f>
        <v/>
      </c>
      <c r="G44" s="1032" t="str">
        <f>IF(S36="","",IF(U36="l","W",U36))</f>
        <v/>
      </c>
      <c r="H44" s="1033" t="str">
        <f>IF(T36="","",":")</f>
        <v/>
      </c>
      <c r="I44" s="1038" t="str">
        <f>IF(U36="","",IF(S36="W","L",S36))</f>
        <v/>
      </c>
      <c r="J44" s="1032" t="str">
        <f>IF(S38="","",IF(U38="l","W",U38))</f>
        <v/>
      </c>
      <c r="K44" s="1033" t="str">
        <f>IF(T38="","",":")</f>
        <v/>
      </c>
      <c r="L44" s="1038" t="str">
        <f>IF(U38="","",IF(S38="W","L",S38))</f>
        <v/>
      </c>
      <c r="M44" s="1032" t="str">
        <f>IF(S40="","",IF(U40="l","W",U40))</f>
        <v/>
      </c>
      <c r="N44" s="1033" t="str">
        <f>IF(T40="","",":")</f>
        <v/>
      </c>
      <c r="O44" s="1038" t="str">
        <f>IF(U40="","",IF(S40="W","L",S40))</f>
        <v/>
      </c>
      <c r="P44" s="1032" t="str">
        <f>IF(S42="","",IF(U42="l","W",U42))</f>
        <v/>
      </c>
      <c r="Q44" s="1033" t="str">
        <f>IF(T42="","",":")</f>
        <v/>
      </c>
      <c r="R44" s="1038" t="str">
        <f>IF(U42="","",IF(S42="W","L",S42))</f>
        <v/>
      </c>
      <c r="S44" s="1129"/>
      <c r="T44" s="1114"/>
      <c r="U44" s="1115"/>
      <c r="V44" s="1121"/>
      <c r="W44" s="1122"/>
      <c r="X44" s="1131"/>
      <c r="Y44" s="1125"/>
      <c r="Z44" s="463"/>
      <c r="AA44" s="1109"/>
      <c r="AB44" s="1111"/>
      <c r="AC44" s="1031" t="str">
        <f>IF(AB43="","",VLOOKUP(AB43,'Списки участников'!$A:$L,6,FALSE))</f>
        <v/>
      </c>
      <c r="AD44" s="1032" t="str">
        <f>IF(AS34="","",IF(AU34="l","W",AU34))</f>
        <v/>
      </c>
      <c r="AE44" s="1033" t="str">
        <f>IF(AT34="","",":")</f>
        <v/>
      </c>
      <c r="AF44" s="1038" t="str">
        <f>IF(AU34="","",IF(AS34="W","L",AS34))</f>
        <v/>
      </c>
      <c r="AG44" s="1032" t="str">
        <f>IF(AS36="","",IF(AU36="l","W",AU36))</f>
        <v/>
      </c>
      <c r="AH44" s="1033" t="str">
        <f>IF(AT36="","",":")</f>
        <v/>
      </c>
      <c r="AI44" s="1038" t="str">
        <f>IF(AU36="","",IF(AS36="W","L",AS36))</f>
        <v/>
      </c>
      <c r="AJ44" s="1032" t="str">
        <f>IF(AS38="","",IF(AU38="l","W",AU38))</f>
        <v/>
      </c>
      <c r="AK44" s="1033" t="str">
        <f>IF(AT38="","",":")</f>
        <v/>
      </c>
      <c r="AL44" s="1038" t="str">
        <f>IF(AU38="","",IF(AS38="W","L",AS38))</f>
        <v/>
      </c>
      <c r="AM44" s="1032" t="str">
        <f>IF(AS40="","",IF(AU40="l","W",AU40))</f>
        <v/>
      </c>
      <c r="AN44" s="1033" t="str">
        <f>IF(AT40="","",":")</f>
        <v/>
      </c>
      <c r="AO44" s="1038" t="str">
        <f>IF(AU40="","",IF(AS40="W","L",AS40))</f>
        <v/>
      </c>
      <c r="AP44" s="1032" t="str">
        <f>IF(AS42="","",IF(AU42="l","W",AU42))</f>
        <v/>
      </c>
      <c r="AQ44" s="1033" t="str">
        <f>IF(AT42="","",":")</f>
        <v/>
      </c>
      <c r="AR44" s="1038" t="str">
        <f>IF(AU42="","",IF(AS42="W","L",AS42))</f>
        <v/>
      </c>
      <c r="AS44" s="1129"/>
      <c r="AT44" s="1114"/>
      <c r="AU44" s="1115"/>
      <c r="AV44" s="1121"/>
      <c r="AW44" s="1122"/>
      <c r="AX44" s="1131"/>
      <c r="AY44" s="1125"/>
    </row>
    <row r="45" spans="1:51" ht="12" customHeight="1" x14ac:dyDescent="0.25">
      <c r="A45" s="1024"/>
      <c r="B45" s="1024"/>
      <c r="C45" s="1025"/>
      <c r="D45" s="1024"/>
      <c r="E45" s="1024"/>
      <c r="F45" s="1024"/>
      <c r="G45" s="1102" t="s">
        <v>957</v>
      </c>
      <c r="H45" s="1102"/>
      <c r="I45" s="1102"/>
      <c r="J45" s="1102"/>
      <c r="K45" s="1102"/>
      <c r="L45" s="1102"/>
      <c r="M45" s="1102"/>
      <c r="N45" s="1102"/>
      <c r="O45" s="1102"/>
      <c r="P45" s="1102"/>
      <c r="Q45" s="1102"/>
      <c r="R45" s="1102"/>
      <c r="S45" s="1041"/>
      <c r="T45" s="1041"/>
      <c r="U45" s="1041"/>
      <c r="V45" s="1024"/>
      <c r="W45" s="1024"/>
      <c r="X45" s="1024"/>
      <c r="Y45" s="1024"/>
      <c r="Z45" s="463"/>
      <c r="AA45" s="1024"/>
      <c r="AB45" s="1024"/>
      <c r="AC45" s="1025"/>
      <c r="AD45" s="1024"/>
      <c r="AE45" s="1024"/>
      <c r="AF45" s="1024"/>
      <c r="AG45" s="1102" t="s">
        <v>962</v>
      </c>
      <c r="AH45" s="1102"/>
      <c r="AI45" s="1102"/>
      <c r="AJ45" s="1102"/>
      <c r="AK45" s="1102"/>
      <c r="AL45" s="1102"/>
      <c r="AM45" s="1102"/>
      <c r="AN45" s="1102"/>
      <c r="AO45" s="1102"/>
      <c r="AP45" s="1102"/>
      <c r="AQ45" s="1102"/>
      <c r="AR45" s="1102"/>
      <c r="AS45" s="1041"/>
      <c r="AT45" s="1041"/>
      <c r="AU45" s="1041"/>
      <c r="AV45" s="1024"/>
      <c r="AW45" s="1024"/>
      <c r="AX45" s="1024"/>
      <c r="AY45" s="1024"/>
    </row>
    <row r="46" spans="1:51" ht="12" customHeight="1" x14ac:dyDescent="0.2">
      <c r="A46" s="1026" t="s">
        <v>3</v>
      </c>
      <c r="B46" s="1027"/>
      <c r="C46" s="1028" t="s">
        <v>757</v>
      </c>
      <c r="D46" s="1103">
        <v>1</v>
      </c>
      <c r="E46" s="1104"/>
      <c r="F46" s="1105"/>
      <c r="G46" s="1103">
        <v>2</v>
      </c>
      <c r="H46" s="1104"/>
      <c r="I46" s="1105"/>
      <c r="J46" s="1103">
        <v>3</v>
      </c>
      <c r="K46" s="1104"/>
      <c r="L46" s="1105"/>
      <c r="M46" s="1103">
        <v>4</v>
      </c>
      <c r="N46" s="1104"/>
      <c r="O46" s="1105"/>
      <c r="P46" s="1103">
        <v>5</v>
      </c>
      <c r="Q46" s="1104"/>
      <c r="R46" s="1105"/>
      <c r="S46" s="1103">
        <v>6</v>
      </c>
      <c r="T46" s="1104"/>
      <c r="U46" s="1105"/>
      <c r="V46" s="1106" t="s">
        <v>758</v>
      </c>
      <c r="W46" s="1107"/>
      <c r="X46" s="1029" t="s">
        <v>759</v>
      </c>
      <c r="Y46" s="1042" t="s">
        <v>2803</v>
      </c>
      <c r="Z46" s="463"/>
      <c r="AA46" s="1026" t="s">
        <v>3</v>
      </c>
      <c r="AB46" s="1027"/>
      <c r="AC46" s="1028" t="s">
        <v>757</v>
      </c>
      <c r="AD46" s="1103">
        <v>1</v>
      </c>
      <c r="AE46" s="1104"/>
      <c r="AF46" s="1105"/>
      <c r="AG46" s="1103">
        <v>2</v>
      </c>
      <c r="AH46" s="1104"/>
      <c r="AI46" s="1105"/>
      <c r="AJ46" s="1103">
        <v>3</v>
      </c>
      <c r="AK46" s="1104"/>
      <c r="AL46" s="1105"/>
      <c r="AM46" s="1103">
        <v>4</v>
      </c>
      <c r="AN46" s="1104"/>
      <c r="AO46" s="1105"/>
      <c r="AP46" s="1103">
        <v>5</v>
      </c>
      <c r="AQ46" s="1104"/>
      <c r="AR46" s="1105"/>
      <c r="AS46" s="1103">
        <v>6</v>
      </c>
      <c r="AT46" s="1104"/>
      <c r="AU46" s="1105"/>
      <c r="AV46" s="1106" t="s">
        <v>758</v>
      </c>
      <c r="AW46" s="1107"/>
      <c r="AX46" s="1029" t="s">
        <v>759</v>
      </c>
      <c r="AY46" s="1042" t="s">
        <v>2803</v>
      </c>
    </row>
    <row r="47" spans="1:51" ht="12" customHeight="1" x14ac:dyDescent="0.2">
      <c r="A47" s="1108">
        <v>1</v>
      </c>
      <c r="B47" s="1110">
        <v>9</v>
      </c>
      <c r="C47" s="1030" t="str">
        <f>IF(B47="","",VLOOKUP(B47,'Списки участников'!A:L,3,FALSE))</f>
        <v>ШИРЯЕВ Петр</v>
      </c>
      <c r="D47" s="1112"/>
      <c r="E47" s="1112"/>
      <c r="F47" s="1113"/>
      <c r="G47" s="1116">
        <v>1</v>
      </c>
      <c r="H47" s="1117"/>
      <c r="I47" s="1118"/>
      <c r="J47" s="1116">
        <v>1</v>
      </c>
      <c r="K47" s="1117"/>
      <c r="L47" s="1118"/>
      <c r="M47" s="1116"/>
      <c r="N47" s="1117"/>
      <c r="O47" s="1118"/>
      <c r="P47" s="1116"/>
      <c r="Q47" s="1117"/>
      <c r="R47" s="1118"/>
      <c r="S47" s="1116"/>
      <c r="T47" s="1117"/>
      <c r="U47" s="1118"/>
      <c r="V47" s="1119">
        <f>IF(B47="","",SUM(G47,J47,M47,P47,D47,S47))</f>
        <v>2</v>
      </c>
      <c r="W47" s="1120"/>
      <c r="X47" s="1123"/>
      <c r="Y47" s="1125">
        <f>IF(B47="","",RANK(V47,$V$47:$W$58))</f>
        <v>3</v>
      </c>
      <c r="Z47" s="463"/>
      <c r="AA47" s="1108">
        <v>1</v>
      </c>
      <c r="AB47" s="1110">
        <v>26</v>
      </c>
      <c r="AC47" s="1030" t="str">
        <f>IF(AB47="","",VLOOKUP(AB47,'Списки участников'!$A:$L,3,FALSE))</f>
        <v>ТЫЛЕЧКИН Валерий</v>
      </c>
      <c r="AD47" s="1112"/>
      <c r="AE47" s="1112"/>
      <c r="AF47" s="1113"/>
      <c r="AG47" s="1116">
        <v>1</v>
      </c>
      <c r="AH47" s="1117"/>
      <c r="AI47" s="1118"/>
      <c r="AJ47" s="1116">
        <v>2</v>
      </c>
      <c r="AK47" s="1117"/>
      <c r="AL47" s="1118"/>
      <c r="AM47" s="1116"/>
      <c r="AN47" s="1117"/>
      <c r="AO47" s="1118"/>
      <c r="AP47" s="1116"/>
      <c r="AQ47" s="1117"/>
      <c r="AR47" s="1118"/>
      <c r="AS47" s="1116"/>
      <c r="AT47" s="1117"/>
      <c r="AU47" s="1118"/>
      <c r="AV47" s="1119">
        <f>IF(AB47="","",SUM(AG47,AJ47,AM47,AP47,AD47,AS47))</f>
        <v>3</v>
      </c>
      <c r="AW47" s="1120"/>
      <c r="AX47" s="1123"/>
      <c r="AY47" s="1125">
        <f>IF(AB47="","",RANK(AV47,$AV$47:$AW$58))</f>
        <v>2</v>
      </c>
    </row>
    <row r="48" spans="1:51" ht="12" customHeight="1" x14ac:dyDescent="0.2">
      <c r="A48" s="1109"/>
      <c r="B48" s="1111"/>
      <c r="C48" s="1031" t="str">
        <f>IF(B47="","",VLOOKUP(B47,'Списки участников'!$A:$L,6,FALSE))</f>
        <v>ОАО "НИАЭП"</v>
      </c>
      <c r="D48" s="1114"/>
      <c r="E48" s="1114"/>
      <c r="F48" s="1115"/>
      <c r="G48" s="1032">
        <v>0</v>
      </c>
      <c r="H48" s="1033" t="str">
        <f>IF(G47="","",":")</f>
        <v>:</v>
      </c>
      <c r="I48" s="1034">
        <v>2</v>
      </c>
      <c r="J48" s="1032">
        <v>0</v>
      </c>
      <c r="K48" s="1033" t="str">
        <f>IF(J47="","",":")</f>
        <v>:</v>
      </c>
      <c r="L48" s="1034">
        <v>2</v>
      </c>
      <c r="M48" s="1032"/>
      <c r="N48" s="1033" t="str">
        <f>IF(M48="","",":")</f>
        <v/>
      </c>
      <c r="O48" s="1034"/>
      <c r="P48" s="1032"/>
      <c r="Q48" s="1033" t="str">
        <f>IF(P48="","",":")</f>
        <v/>
      </c>
      <c r="R48" s="1034"/>
      <c r="S48" s="1043"/>
      <c r="T48" s="1043"/>
      <c r="U48" s="1043"/>
      <c r="V48" s="1121"/>
      <c r="W48" s="1122"/>
      <c r="X48" s="1124"/>
      <c r="Y48" s="1125"/>
      <c r="Z48" s="463"/>
      <c r="AA48" s="1109"/>
      <c r="AB48" s="1111"/>
      <c r="AC48" s="1031" t="str">
        <f>IF(AB47="","",VLOOKUP(AB47,'Списки участников'!$A:$L,6,FALSE))</f>
        <v>"КРАСНОЕ СОРМОВО"</v>
      </c>
      <c r="AD48" s="1114"/>
      <c r="AE48" s="1114"/>
      <c r="AF48" s="1115"/>
      <c r="AG48" s="1032">
        <v>0</v>
      </c>
      <c r="AH48" s="1033" t="str">
        <f>IF(AG47="","",":")</f>
        <v>:</v>
      </c>
      <c r="AI48" s="1034">
        <v>2</v>
      </c>
      <c r="AJ48" s="1032">
        <v>2</v>
      </c>
      <c r="AK48" s="1033" t="str">
        <f>IF(AJ47="","",":")</f>
        <v>:</v>
      </c>
      <c r="AL48" s="1034">
        <v>0</v>
      </c>
      <c r="AM48" s="1032"/>
      <c r="AN48" s="1033" t="str">
        <f>IF(AM48="","",":")</f>
        <v/>
      </c>
      <c r="AO48" s="1034"/>
      <c r="AP48" s="1032"/>
      <c r="AQ48" s="1033" t="str">
        <f>IF(AP48="","",":")</f>
        <v/>
      </c>
      <c r="AR48" s="1034"/>
      <c r="AS48" s="1043"/>
      <c r="AT48" s="1043"/>
      <c r="AU48" s="1043"/>
      <c r="AV48" s="1121"/>
      <c r="AW48" s="1122"/>
      <c r="AX48" s="1124"/>
      <c r="AY48" s="1125"/>
    </row>
    <row r="49" spans="1:51" ht="12" customHeight="1" x14ac:dyDescent="0.2">
      <c r="A49" s="1108">
        <v>2</v>
      </c>
      <c r="B49" s="1110">
        <v>37</v>
      </c>
      <c r="C49" s="1030" t="str">
        <f>IF(B49="","",VLOOKUP(B49,'Списки участников'!A:L,3,FALSE))</f>
        <v>РОДИНОВ Андрей</v>
      </c>
      <c r="D49" s="1116">
        <f>IF(G47="","",IF(G48="W",0,IF(G47=2,1,IF(G47=1,2,IF(G47=0,2)))))</f>
        <v>2</v>
      </c>
      <c r="E49" s="1117"/>
      <c r="F49" s="1118"/>
      <c r="G49" s="1126"/>
      <c r="H49" s="1127"/>
      <c r="I49" s="1128"/>
      <c r="J49" s="1116">
        <v>1</v>
      </c>
      <c r="K49" s="1117"/>
      <c r="L49" s="1118"/>
      <c r="M49" s="1116"/>
      <c r="N49" s="1117"/>
      <c r="O49" s="1118"/>
      <c r="P49" s="1116"/>
      <c r="Q49" s="1117"/>
      <c r="R49" s="1118"/>
      <c r="S49" s="1116"/>
      <c r="T49" s="1117"/>
      <c r="U49" s="1118"/>
      <c r="V49" s="1119">
        <f t="shared" ref="V49" si="60">IF(B49="","",SUM(G49,J49,M49,P49,D49,S49))</f>
        <v>3</v>
      </c>
      <c r="W49" s="1120"/>
      <c r="X49" s="1123"/>
      <c r="Y49" s="1125">
        <f t="shared" ref="Y49" si="61">IF(B49="","",RANK(V49,$V$47:$W$58))</f>
        <v>2</v>
      </c>
      <c r="Z49" s="463"/>
      <c r="AA49" s="1108">
        <v>2</v>
      </c>
      <c r="AB49" s="1110">
        <v>2</v>
      </c>
      <c r="AC49" s="1030" t="str">
        <f>IF(AB49="","",VLOOKUP(AB49,'Списки участников'!$A:$L,3,FALSE))</f>
        <v>РОЙТМАН Дмитрий</v>
      </c>
      <c r="AD49" s="1116">
        <f>IF(AG47="","",IF(AG48="W",0,IF(AG47=2,1,IF(AG47=1,2,IF(AG47=0,2)))))</f>
        <v>2</v>
      </c>
      <c r="AE49" s="1117"/>
      <c r="AF49" s="1118"/>
      <c r="AG49" s="1126"/>
      <c r="AH49" s="1127"/>
      <c r="AI49" s="1128"/>
      <c r="AJ49" s="1116">
        <v>2</v>
      </c>
      <c r="AK49" s="1117"/>
      <c r="AL49" s="1118"/>
      <c r="AM49" s="1116"/>
      <c r="AN49" s="1117"/>
      <c r="AO49" s="1118"/>
      <c r="AP49" s="1116"/>
      <c r="AQ49" s="1117"/>
      <c r="AR49" s="1118"/>
      <c r="AS49" s="1116"/>
      <c r="AT49" s="1117"/>
      <c r="AU49" s="1118"/>
      <c r="AV49" s="1119">
        <f t="shared" ref="AV49" si="62">IF(AB49="","",SUM(AG49,AJ49,AM49,AP49,AD49,AS49))</f>
        <v>4</v>
      </c>
      <c r="AW49" s="1120"/>
      <c r="AX49" s="1123"/>
      <c r="AY49" s="1125">
        <f t="shared" ref="AY49" si="63">IF(AB49="","",RANK(AV49,$AV$47:$AW$58))</f>
        <v>1</v>
      </c>
    </row>
    <row r="50" spans="1:51" ht="12" customHeight="1" x14ac:dyDescent="0.2">
      <c r="A50" s="1109"/>
      <c r="B50" s="1111"/>
      <c r="C50" s="1031" t="str">
        <f>IF(B49="","",VLOOKUP(B49,'Списки участников'!$A:$L,6,FALSE))</f>
        <v>"ГЖД"</v>
      </c>
      <c r="D50" s="1035">
        <f>IF(G48="","",IF(I48="l","W",I48))</f>
        <v>2</v>
      </c>
      <c r="E50" s="1036" t="str">
        <f>IF(G47="","",":")</f>
        <v>:</v>
      </c>
      <c r="F50" s="1037">
        <f>IF(I48="","",IF(G48="W","L",G48))</f>
        <v>0</v>
      </c>
      <c r="G50" s="1129"/>
      <c r="H50" s="1114"/>
      <c r="I50" s="1115"/>
      <c r="J50" s="1032">
        <v>1</v>
      </c>
      <c r="K50" s="1033" t="str">
        <f>IF(J49="","",":")</f>
        <v>:</v>
      </c>
      <c r="L50" s="1034">
        <v>2</v>
      </c>
      <c r="M50" s="1032"/>
      <c r="N50" s="1033" t="str">
        <f>IF(M49="","",":")</f>
        <v/>
      </c>
      <c r="O50" s="1034"/>
      <c r="P50" s="1032"/>
      <c r="Q50" s="1033" t="str">
        <f>IF(P49="","",":")</f>
        <v/>
      </c>
      <c r="R50" s="1034"/>
      <c r="S50" s="1043"/>
      <c r="T50" s="1043"/>
      <c r="U50" s="1043"/>
      <c r="V50" s="1121"/>
      <c r="W50" s="1122"/>
      <c r="X50" s="1124"/>
      <c r="Y50" s="1125"/>
      <c r="Z50" s="463"/>
      <c r="AA50" s="1109"/>
      <c r="AB50" s="1111"/>
      <c r="AC50" s="1031" t="str">
        <f>IF(AB49="","",VLOOKUP(AB49,'Списки участников'!$A:$L,6,FALSE))</f>
        <v>АО ФНПЦ НИИРТ</v>
      </c>
      <c r="AD50" s="1035">
        <f>IF(AG48="","",IF(AI48="l","W",AI48))</f>
        <v>2</v>
      </c>
      <c r="AE50" s="1036" t="str">
        <f>IF(AG47="","",":")</f>
        <v>:</v>
      </c>
      <c r="AF50" s="1037">
        <f>IF(AI48="","",IF(AG48="W","L",AG48))</f>
        <v>0</v>
      </c>
      <c r="AG50" s="1129"/>
      <c r="AH50" s="1114"/>
      <c r="AI50" s="1115"/>
      <c r="AJ50" s="1032">
        <v>2</v>
      </c>
      <c r="AK50" s="1033" t="str">
        <f>IF(AJ49="","",":")</f>
        <v>:</v>
      </c>
      <c r="AL50" s="1034">
        <v>0</v>
      </c>
      <c r="AM50" s="1032"/>
      <c r="AN50" s="1033" t="str">
        <f>IF(AM49="","",":")</f>
        <v/>
      </c>
      <c r="AO50" s="1034"/>
      <c r="AP50" s="1032"/>
      <c r="AQ50" s="1033" t="str">
        <f>IF(AP49="","",":")</f>
        <v/>
      </c>
      <c r="AR50" s="1034"/>
      <c r="AS50" s="1043"/>
      <c r="AT50" s="1043"/>
      <c r="AU50" s="1043"/>
      <c r="AV50" s="1121"/>
      <c r="AW50" s="1122"/>
      <c r="AX50" s="1124"/>
      <c r="AY50" s="1125"/>
    </row>
    <row r="51" spans="1:51" ht="12" customHeight="1" x14ac:dyDescent="0.2">
      <c r="A51" s="1108">
        <v>3</v>
      </c>
      <c r="B51" s="1110">
        <v>19</v>
      </c>
      <c r="C51" s="1030" t="str">
        <f>IF(B51="","",VLOOKUP(B51,'Списки участников'!A:L,3,FALSE))</f>
        <v>МАРКЕЛОВ Игорь</v>
      </c>
      <c r="D51" s="1116">
        <f>IF(J47="","",IF(J48="W",0,IF(J47=2,1,IF(J47=1,2,IF(J47=0,2)))))</f>
        <v>2</v>
      </c>
      <c r="E51" s="1117"/>
      <c r="F51" s="1118"/>
      <c r="G51" s="1116">
        <f>IF(J49="","",IF(J50="W",0,IF(J49=2,1,IF(J49=1,2,IF(J49=0,2)))))</f>
        <v>2</v>
      </c>
      <c r="H51" s="1117"/>
      <c r="I51" s="1118"/>
      <c r="J51" s="1126"/>
      <c r="K51" s="1127"/>
      <c r="L51" s="1128"/>
      <c r="M51" s="1116"/>
      <c r="N51" s="1117"/>
      <c r="O51" s="1118"/>
      <c r="P51" s="1116"/>
      <c r="Q51" s="1117"/>
      <c r="R51" s="1118"/>
      <c r="S51" s="1116"/>
      <c r="T51" s="1117"/>
      <c r="U51" s="1118"/>
      <c r="V51" s="1119">
        <f t="shared" ref="V51" si="64">IF(B51="","",SUM(G51,J51,M51,P51,D51,S51))</f>
        <v>4</v>
      </c>
      <c r="W51" s="1120"/>
      <c r="X51" s="1130"/>
      <c r="Y51" s="1125">
        <f t="shared" ref="Y51" si="65">IF(B51="","",RANK(V51,$V$47:$W$58))</f>
        <v>1</v>
      </c>
      <c r="Z51" s="463"/>
      <c r="AA51" s="1108">
        <v>3</v>
      </c>
      <c r="AB51" s="1110">
        <v>31</v>
      </c>
      <c r="AC51" s="1030" t="str">
        <f>IF(AB51="","",VLOOKUP(AB51,'Списки участников'!$A:$L,3,FALSE))</f>
        <v>ПЕТУХОВ Николай</v>
      </c>
      <c r="AD51" s="1116">
        <f>IF(AJ47="","",IF(AJ48="W",0,IF(AJ47=2,1,IF(AJ47=1,2,IF(AJ47=0,2)))))</f>
        <v>1</v>
      </c>
      <c r="AE51" s="1117"/>
      <c r="AF51" s="1118"/>
      <c r="AG51" s="1116">
        <f>IF(AJ49="","",IF(AJ50="W",0,IF(AJ49=2,1,IF(AJ49=1,2,IF(AJ49=0,2)))))</f>
        <v>1</v>
      </c>
      <c r="AH51" s="1117"/>
      <c r="AI51" s="1118"/>
      <c r="AJ51" s="1126"/>
      <c r="AK51" s="1127"/>
      <c r="AL51" s="1128"/>
      <c r="AM51" s="1116"/>
      <c r="AN51" s="1117"/>
      <c r="AO51" s="1118"/>
      <c r="AP51" s="1116"/>
      <c r="AQ51" s="1117"/>
      <c r="AR51" s="1118"/>
      <c r="AS51" s="1116"/>
      <c r="AT51" s="1117"/>
      <c r="AU51" s="1118"/>
      <c r="AV51" s="1119">
        <f t="shared" ref="AV51" si="66">IF(AB51="","",SUM(AG51,AJ51,AM51,AP51,AD51,AS51))</f>
        <v>2</v>
      </c>
      <c r="AW51" s="1120"/>
      <c r="AX51" s="1130"/>
      <c r="AY51" s="1125">
        <f t="shared" ref="AY51" si="67">IF(AB51="","",RANK(AV51,$AV$47:$AW$58))</f>
        <v>3</v>
      </c>
    </row>
    <row r="52" spans="1:51" ht="12" customHeight="1" x14ac:dyDescent="0.2">
      <c r="A52" s="1109"/>
      <c r="B52" s="1111"/>
      <c r="C52" s="1031" t="str">
        <f>IF(B51="","",VLOOKUP(B51,'Списки участников'!$A:$L,6,FALSE))</f>
        <v>НПАП №1</v>
      </c>
      <c r="D52" s="1032">
        <f>IF(J48="","",IF(L48="l","W",L48))</f>
        <v>2</v>
      </c>
      <c r="E52" s="1033" t="str">
        <f>IF(K48="","",":")</f>
        <v>:</v>
      </c>
      <c r="F52" s="1038">
        <f>IF(L48="","",IF(J48="W","L",J48))</f>
        <v>0</v>
      </c>
      <c r="G52" s="1032">
        <f>IF(J50="","",IF(L50="l","W",L50))</f>
        <v>2</v>
      </c>
      <c r="H52" s="1033" t="str">
        <f>IF(K50="","",":")</f>
        <v>:</v>
      </c>
      <c r="I52" s="1038">
        <f>IF(L50="","",IF(J50="W","L",J50))</f>
        <v>1</v>
      </c>
      <c r="J52" s="1129"/>
      <c r="K52" s="1114"/>
      <c r="L52" s="1115"/>
      <c r="M52" s="1032"/>
      <c r="N52" s="1033" t="str">
        <f>IF(M51="","",":")</f>
        <v/>
      </c>
      <c r="O52" s="1034"/>
      <c r="P52" s="1032"/>
      <c r="Q52" s="1033" t="str">
        <f>IF(P51="","",":")</f>
        <v/>
      </c>
      <c r="R52" s="1034"/>
      <c r="S52" s="1043"/>
      <c r="T52" s="1043"/>
      <c r="U52" s="1043"/>
      <c r="V52" s="1121"/>
      <c r="W52" s="1122"/>
      <c r="X52" s="1131"/>
      <c r="Y52" s="1125"/>
      <c r="Z52" s="463"/>
      <c r="AA52" s="1109"/>
      <c r="AB52" s="1111"/>
      <c r="AC52" s="1031" t="str">
        <f>IF(AB51="","",VLOOKUP(AB51,'Списки участников'!$A:$L,6,FALSE))</f>
        <v>АО "НПП "Полет"</v>
      </c>
      <c r="AD52" s="1032">
        <f>IF(AJ48="","",IF(AL48="l","W",AL48))</f>
        <v>0</v>
      </c>
      <c r="AE52" s="1033" t="str">
        <f>IF(AK48="","",":")</f>
        <v>:</v>
      </c>
      <c r="AF52" s="1038">
        <f>IF(AL48="","",IF(AJ48="W","L",AJ48))</f>
        <v>2</v>
      </c>
      <c r="AG52" s="1032">
        <f>IF(AJ50="","",IF(AL50="l","W",AL50))</f>
        <v>0</v>
      </c>
      <c r="AH52" s="1033" t="str">
        <f>IF(AK50="","",":")</f>
        <v>:</v>
      </c>
      <c r="AI52" s="1038">
        <f>IF(AL50="","",IF(AJ50="W","L",AJ50))</f>
        <v>2</v>
      </c>
      <c r="AJ52" s="1129"/>
      <c r="AK52" s="1114"/>
      <c r="AL52" s="1115"/>
      <c r="AM52" s="1032"/>
      <c r="AN52" s="1033" t="str">
        <f>IF(AM51="","",":")</f>
        <v/>
      </c>
      <c r="AO52" s="1034"/>
      <c r="AP52" s="1032"/>
      <c r="AQ52" s="1033" t="str">
        <f>IF(AP51="","",":")</f>
        <v/>
      </c>
      <c r="AR52" s="1034"/>
      <c r="AS52" s="1043"/>
      <c r="AT52" s="1043"/>
      <c r="AU52" s="1043"/>
      <c r="AV52" s="1121"/>
      <c r="AW52" s="1122"/>
      <c r="AX52" s="1131"/>
      <c r="AY52" s="1125"/>
    </row>
    <row r="53" spans="1:51" ht="15" x14ac:dyDescent="0.2">
      <c r="A53" s="1108">
        <v>4</v>
      </c>
      <c r="B53" s="1110"/>
      <c r="C53" s="1030" t="str">
        <f>IF(B53="","",VLOOKUP(B53,'Списки участников'!A:L,3,FALSE))</f>
        <v/>
      </c>
      <c r="D53" s="1116" t="str">
        <f>IF(M47="","",IF(M48="W",0,IF(M47=2,1,IF(M47=1,2,IF(M47=0,2)))))</f>
        <v/>
      </c>
      <c r="E53" s="1117"/>
      <c r="F53" s="1118"/>
      <c r="G53" s="1116" t="str">
        <f>IF(M49="","",IF(M50="W",0,IF(M49=2,1,IF(M49=1,2,IF(M49=0,2)))))</f>
        <v/>
      </c>
      <c r="H53" s="1117"/>
      <c r="I53" s="1118"/>
      <c r="J53" s="1116" t="str">
        <f>IF(M51="","",IF(M52="W",0,IF(M51=2,1,IF(M51=1,2,IF(M51=0,2)))))</f>
        <v/>
      </c>
      <c r="K53" s="1117"/>
      <c r="L53" s="1118"/>
      <c r="M53" s="1127"/>
      <c r="N53" s="1127"/>
      <c r="O53" s="1127"/>
      <c r="P53" s="1116"/>
      <c r="Q53" s="1117"/>
      <c r="R53" s="1118"/>
      <c r="S53" s="1116"/>
      <c r="T53" s="1117"/>
      <c r="U53" s="1118"/>
      <c r="V53" s="1119" t="str">
        <f t="shared" ref="V53" si="68">IF(B53="","",SUM(G53,J53,M53,P53,D53,S53))</f>
        <v/>
      </c>
      <c r="W53" s="1120"/>
      <c r="X53" s="1130"/>
      <c r="Y53" s="1125" t="str">
        <f t="shared" ref="Y53" si="69">IF(B53="","",RANK(V53,$V$47:$W$58))</f>
        <v/>
      </c>
      <c r="AA53" s="1108">
        <v>4</v>
      </c>
      <c r="AB53" s="1110"/>
      <c r="AC53" s="1030" t="str">
        <f>IF(AB53="","",VLOOKUP(AB53,'Списки участников'!$A:$L,3,FALSE))</f>
        <v/>
      </c>
      <c r="AD53" s="1116" t="str">
        <f>IF(AM47="","",IF(AM48="W",0,IF(AM47=2,1,IF(AM47=1,2,IF(AM47=0,2)))))</f>
        <v/>
      </c>
      <c r="AE53" s="1117"/>
      <c r="AF53" s="1118"/>
      <c r="AG53" s="1116" t="str">
        <f>IF(AM49="","",IF(AM50="W",0,IF(AM49=2,1,IF(AM49=1,2,IF(AM49=0,2)))))</f>
        <v/>
      </c>
      <c r="AH53" s="1117"/>
      <c r="AI53" s="1118"/>
      <c r="AJ53" s="1116" t="str">
        <f>IF(AM51="","",IF(AM52="W",0,IF(AM51=2,1,IF(AM51=1,2,IF(AM51=0,2)))))</f>
        <v/>
      </c>
      <c r="AK53" s="1117"/>
      <c r="AL53" s="1118"/>
      <c r="AM53" s="1127"/>
      <c r="AN53" s="1127"/>
      <c r="AO53" s="1127"/>
      <c r="AP53" s="1116"/>
      <c r="AQ53" s="1117"/>
      <c r="AR53" s="1118"/>
      <c r="AS53" s="1116"/>
      <c r="AT53" s="1117"/>
      <c r="AU53" s="1118"/>
      <c r="AV53" s="1119" t="str">
        <f t="shared" ref="AV53" si="70">IF(AB53="","",SUM(AG53,AJ53,AM53,AP53,AD53,AS53))</f>
        <v/>
      </c>
      <c r="AW53" s="1120"/>
      <c r="AX53" s="1130"/>
      <c r="AY53" s="1125" t="str">
        <f t="shared" ref="AY53" si="71">IF(AB53="","",RANK(AV53,$AV$47:$AW$58))</f>
        <v/>
      </c>
    </row>
    <row r="54" spans="1:51" ht="15" x14ac:dyDescent="0.2">
      <c r="A54" s="1109"/>
      <c r="B54" s="1111"/>
      <c r="C54" s="1031" t="str">
        <f>IF(B53="","",VLOOKUP(B53,'Списки участников'!$A:$L,6,FALSE))</f>
        <v/>
      </c>
      <c r="D54" s="1032" t="str">
        <f>IF(M48="","",IF(O48="l","W",O48))</f>
        <v/>
      </c>
      <c r="E54" s="1033" t="str">
        <f>IF(N48="","",":")</f>
        <v/>
      </c>
      <c r="F54" s="1038" t="str">
        <f>IF(O48="","",IF(M48="W","L",M48))</f>
        <v/>
      </c>
      <c r="G54" s="1032" t="str">
        <f>IF(M50="","",IF(O50="l","W",O50))</f>
        <v/>
      </c>
      <c r="H54" s="1033" t="str">
        <f>IF(N50="","",":")</f>
        <v/>
      </c>
      <c r="I54" s="1038" t="str">
        <f>IF(O50="","",IF(M50="W","L",M50))</f>
        <v/>
      </c>
      <c r="J54" s="1032" t="str">
        <f>IF(M52="","",IF(O52="l","W",O52))</f>
        <v/>
      </c>
      <c r="K54" s="1033" t="str">
        <f>IF(N52="","",":")</f>
        <v/>
      </c>
      <c r="L54" s="1038" t="str">
        <f>IF(O52="","",IF(M52="W","L",M52))</f>
        <v/>
      </c>
      <c r="M54" s="1132"/>
      <c r="N54" s="1132"/>
      <c r="O54" s="1132"/>
      <c r="P54" s="1032"/>
      <c r="Q54" s="1033" t="str">
        <f>IF(P53="","",":")</f>
        <v/>
      </c>
      <c r="R54" s="1034"/>
      <c r="S54" s="1043"/>
      <c r="T54" s="1043"/>
      <c r="U54" s="1043"/>
      <c r="V54" s="1121"/>
      <c r="W54" s="1122"/>
      <c r="X54" s="1131"/>
      <c r="Y54" s="1125"/>
      <c r="AA54" s="1109"/>
      <c r="AB54" s="1111"/>
      <c r="AC54" s="1031" t="str">
        <f>IF(AB53="","",VLOOKUP(AB53,'Списки участников'!$A:$L,6,FALSE))</f>
        <v/>
      </c>
      <c r="AD54" s="1032" t="str">
        <f>IF(AM48="","",IF(AO48="l","W",AO48))</f>
        <v/>
      </c>
      <c r="AE54" s="1033" t="str">
        <f>IF(AN48="","",":")</f>
        <v/>
      </c>
      <c r="AF54" s="1038" t="str">
        <f>IF(AO48="","",IF(AM48="W","L",AM48))</f>
        <v/>
      </c>
      <c r="AG54" s="1032" t="str">
        <f>IF(AM50="","",IF(AO50="l","W",AO50))</f>
        <v/>
      </c>
      <c r="AH54" s="1033" t="str">
        <f>IF(AN50="","",":")</f>
        <v/>
      </c>
      <c r="AI54" s="1038" t="str">
        <f>IF(AO50="","",IF(AM50="W","L",AM50))</f>
        <v/>
      </c>
      <c r="AJ54" s="1032" t="str">
        <f>IF(AM52="","",IF(AO52="l","W",AO52))</f>
        <v/>
      </c>
      <c r="AK54" s="1033" t="str">
        <f>IF(AN52="","",":")</f>
        <v/>
      </c>
      <c r="AL54" s="1038" t="str">
        <f>IF(AO52="","",IF(AM52="W","L",AM52))</f>
        <v/>
      </c>
      <c r="AM54" s="1132"/>
      <c r="AN54" s="1132"/>
      <c r="AO54" s="1132"/>
      <c r="AP54" s="1032"/>
      <c r="AQ54" s="1033" t="str">
        <f>IF(AP53="","",":")</f>
        <v/>
      </c>
      <c r="AR54" s="1034"/>
      <c r="AS54" s="1043"/>
      <c r="AT54" s="1043"/>
      <c r="AU54" s="1043"/>
      <c r="AV54" s="1121"/>
      <c r="AW54" s="1122"/>
      <c r="AX54" s="1131"/>
      <c r="AY54" s="1125"/>
    </row>
    <row r="55" spans="1:51" ht="15" x14ac:dyDescent="0.2">
      <c r="A55" s="1108">
        <v>5</v>
      </c>
      <c r="B55" s="1110"/>
      <c r="C55" s="1030" t="str">
        <f>IF(B55="","",VLOOKUP(B55,'Списки участников'!A:L,3,FALSE))</f>
        <v/>
      </c>
      <c r="D55" s="1116" t="str">
        <f>IF(P47="","",IF(P48="W",0,IF(P47=2,1,IF(P47=1,2,IF(P47=0,2)))))</f>
        <v/>
      </c>
      <c r="E55" s="1117"/>
      <c r="F55" s="1118"/>
      <c r="G55" s="1116" t="str">
        <f>IF(P49="","",IF(P50="W",0,IF(P49=2,1,IF(P49=1,2,IF(P49=0,2)))))</f>
        <v/>
      </c>
      <c r="H55" s="1117"/>
      <c r="I55" s="1118"/>
      <c r="J55" s="1116" t="str">
        <f>IF(P51="","",IF(P52="W",0,IF(P51=2,1,IF(P51=1,2,IF(P51=0,2)))))</f>
        <v/>
      </c>
      <c r="K55" s="1117"/>
      <c r="L55" s="1118"/>
      <c r="M55" s="1116" t="str">
        <f>IF(P53="","",IF(P54="W",0,IF(P53=2,1,IF(P53=1,2,IF(P53=0,2)))))</f>
        <v/>
      </c>
      <c r="N55" s="1117"/>
      <c r="O55" s="1118"/>
      <c r="P55" s="1126"/>
      <c r="Q55" s="1127"/>
      <c r="R55" s="1128"/>
      <c r="S55" s="1116"/>
      <c r="T55" s="1117"/>
      <c r="U55" s="1118"/>
      <c r="V55" s="1119" t="str">
        <f t="shared" ref="V55" si="72">IF(B55="","",SUM(G55,J55,M55,P55,D55,S55))</f>
        <v/>
      </c>
      <c r="W55" s="1120"/>
      <c r="X55" s="1130"/>
      <c r="Y55" s="1125" t="str">
        <f t="shared" ref="Y55" si="73">IF(B55="","",RANK(V55,$V$47:$W$58))</f>
        <v/>
      </c>
      <c r="AA55" s="1108">
        <v>5</v>
      </c>
      <c r="AB55" s="1110"/>
      <c r="AC55" s="1030" t="str">
        <f>IF(AB55="","",VLOOKUP(AB55,'Списки участников'!$A:$L,3,FALSE))</f>
        <v/>
      </c>
      <c r="AD55" s="1116" t="str">
        <f>IF(AP47="","",IF(AP48="W",0,IF(AP47=2,1,IF(AP47=1,2,IF(AP47=0,2)))))</f>
        <v/>
      </c>
      <c r="AE55" s="1117"/>
      <c r="AF55" s="1118"/>
      <c r="AG55" s="1116" t="str">
        <f>IF(AP49="","",IF(AP50="W",0,IF(AP49=2,1,IF(AP49=1,2,IF(AP49=0,2)))))</f>
        <v/>
      </c>
      <c r="AH55" s="1117"/>
      <c r="AI55" s="1118"/>
      <c r="AJ55" s="1116" t="str">
        <f>IF(AP51="","",IF(AP52="W",0,IF(AP51=2,1,IF(AP51=1,2,IF(AP51=0,2)))))</f>
        <v/>
      </c>
      <c r="AK55" s="1117"/>
      <c r="AL55" s="1118"/>
      <c r="AM55" s="1116" t="str">
        <f>IF(AP53="","",IF(AP54="W",0,IF(AP53=2,1,IF(AP53=1,2,IF(AP53=0,2)))))</f>
        <v/>
      </c>
      <c r="AN55" s="1117"/>
      <c r="AO55" s="1118"/>
      <c r="AP55" s="1126"/>
      <c r="AQ55" s="1127"/>
      <c r="AR55" s="1128"/>
      <c r="AS55" s="1116"/>
      <c r="AT55" s="1117"/>
      <c r="AU55" s="1118"/>
      <c r="AV55" s="1119" t="str">
        <f t="shared" ref="AV55" si="74">IF(AB55="","",SUM(AG55,AJ55,AM55,AP55,AD55,AS55))</f>
        <v/>
      </c>
      <c r="AW55" s="1120"/>
      <c r="AX55" s="1130"/>
      <c r="AY55" s="1125" t="str">
        <f t="shared" ref="AY55" si="75">IF(AB55="","",RANK(AV55,$AV$47:$AW$58))</f>
        <v/>
      </c>
    </row>
    <row r="56" spans="1:51" ht="15" x14ac:dyDescent="0.2">
      <c r="A56" s="1109"/>
      <c r="B56" s="1111"/>
      <c r="C56" s="1031" t="str">
        <f>IF(B55="","",VLOOKUP(B55,'Списки участников'!$A:$L,6,FALSE))</f>
        <v/>
      </c>
      <c r="D56" s="1032" t="str">
        <f>IF(P48="","",IF(R48="l","W",R48))</f>
        <v/>
      </c>
      <c r="E56" s="1033" t="str">
        <f>IF(Q48="","",":")</f>
        <v/>
      </c>
      <c r="F56" s="1038" t="str">
        <f>IF(R48="","",IF(P48="W","L",P48))</f>
        <v/>
      </c>
      <c r="G56" s="1032" t="str">
        <f>IF(P50="","",IF(R50="l","W",R50))</f>
        <v/>
      </c>
      <c r="H56" s="1033" t="str">
        <f>IF(Q50="","",":")</f>
        <v/>
      </c>
      <c r="I56" s="1038" t="str">
        <f>IF(R50="","",IF(P50="W","L",P50))</f>
        <v/>
      </c>
      <c r="J56" s="1032" t="str">
        <f>IF(P52="","",IF(R52="l","W",R52))</f>
        <v/>
      </c>
      <c r="K56" s="1033" t="str">
        <f>IF(Q52="","",":")</f>
        <v/>
      </c>
      <c r="L56" s="1038" t="str">
        <f>IF(R52="","",IF(P52="W","L",P52))</f>
        <v/>
      </c>
      <c r="M56" s="1032" t="str">
        <f>IF(P54="","",IF(R54="l","W",R54))</f>
        <v/>
      </c>
      <c r="N56" s="1033" t="str">
        <f>IF(Q54="","",":")</f>
        <v/>
      </c>
      <c r="O56" s="1038" t="str">
        <f>IF(R54="","",IF(P54="W","L",P54))</f>
        <v/>
      </c>
      <c r="P56" s="1129"/>
      <c r="Q56" s="1114"/>
      <c r="R56" s="1115"/>
      <c r="S56" s="1044"/>
      <c r="T56" s="1044"/>
      <c r="U56" s="1044"/>
      <c r="V56" s="1121"/>
      <c r="W56" s="1122"/>
      <c r="X56" s="1131"/>
      <c r="Y56" s="1125"/>
      <c r="AA56" s="1109"/>
      <c r="AB56" s="1111"/>
      <c r="AC56" s="1031" t="str">
        <f>IF(AB55="","",VLOOKUP(AB55,'Списки участников'!$A:$L,6,FALSE))</f>
        <v/>
      </c>
      <c r="AD56" s="1032" t="str">
        <f>IF(AP48="","",IF(AR48="l","W",AR48))</f>
        <v/>
      </c>
      <c r="AE56" s="1033" t="str">
        <f>IF(AQ48="","",":")</f>
        <v/>
      </c>
      <c r="AF56" s="1038" t="str">
        <f>IF(AR48="","",IF(AP48="W","L",AP48))</f>
        <v/>
      </c>
      <c r="AG56" s="1032" t="str">
        <f>IF(AP50="","",IF(AR50="l","W",AR50))</f>
        <v/>
      </c>
      <c r="AH56" s="1033" t="str">
        <f>IF(AQ50="","",":")</f>
        <v/>
      </c>
      <c r="AI56" s="1038" t="str">
        <f>IF(AR50="","",IF(AP50="W","L",AP50))</f>
        <v/>
      </c>
      <c r="AJ56" s="1032" t="str">
        <f>IF(AP52="","",IF(AR52="l","W",AR52))</f>
        <v/>
      </c>
      <c r="AK56" s="1033" t="str">
        <f>IF(AQ52="","",":")</f>
        <v/>
      </c>
      <c r="AL56" s="1038" t="str">
        <f>IF(AR52="","",IF(AP52="W","L",AP52))</f>
        <v/>
      </c>
      <c r="AM56" s="1032" t="str">
        <f>IF(AP54="","",IF(AR54="l","W",AR54))</f>
        <v/>
      </c>
      <c r="AN56" s="1033" t="str">
        <f>IF(AQ54="","",":")</f>
        <v/>
      </c>
      <c r="AO56" s="1038" t="str">
        <f>IF(AR54="","",IF(AP54="W","L",AP54))</f>
        <v/>
      </c>
      <c r="AP56" s="1129"/>
      <c r="AQ56" s="1114"/>
      <c r="AR56" s="1115"/>
      <c r="AS56" s="1044"/>
      <c r="AT56" s="1044"/>
      <c r="AU56" s="1044"/>
      <c r="AV56" s="1121"/>
      <c r="AW56" s="1122"/>
      <c r="AX56" s="1131"/>
      <c r="AY56" s="1125"/>
    </row>
    <row r="57" spans="1:51" ht="15" x14ac:dyDescent="0.2">
      <c r="A57" s="1108">
        <v>6</v>
      </c>
      <c r="B57" s="1110"/>
      <c r="C57" s="1030" t="str">
        <f>IF(B57="","",VLOOKUP(B57,'Списки участников'!A:L,3,FALSE))</f>
        <v/>
      </c>
      <c r="D57" s="1116" t="str">
        <f>IF(S47="","",IF(S48="W",0,IF(S47=2,1,IF(S47=1,2,IF(S47=0,2)))))</f>
        <v/>
      </c>
      <c r="E57" s="1117"/>
      <c r="F57" s="1118"/>
      <c r="G57" s="1116" t="str">
        <f>IF(S49="","",IF(S50="W",0,IF(S49=2,1,IF(S49=1,2,IF(S49=0,2)))))</f>
        <v/>
      </c>
      <c r="H57" s="1117"/>
      <c r="I57" s="1118"/>
      <c r="J57" s="1116" t="str">
        <f>IF(S51="","",IF(S52="W",0,IF(S51=2,1,IF(S51=1,2,IF(S51=0,2)))))</f>
        <v/>
      </c>
      <c r="K57" s="1117"/>
      <c r="L57" s="1118"/>
      <c r="M57" s="1116" t="str">
        <f>IF(S53="","",IF(S54="W",0,IF(S53=2,1,IF(S53=1,2,IF(S53=0,2)))))</f>
        <v/>
      </c>
      <c r="N57" s="1117"/>
      <c r="O57" s="1118"/>
      <c r="P57" s="1116" t="str">
        <f>IF(S55="","",IF(S56="W",0,IF(S55=2,1,IF(S55=1,2,IF(S55=0,2)))))</f>
        <v/>
      </c>
      <c r="Q57" s="1117"/>
      <c r="R57" s="1118"/>
      <c r="S57" s="1126"/>
      <c r="T57" s="1127"/>
      <c r="U57" s="1128"/>
      <c r="V57" s="1119" t="str">
        <f t="shared" ref="V57" si="76">IF(B57="","",SUM(G57,J57,M57,P57,D57,S57))</f>
        <v/>
      </c>
      <c r="W57" s="1120"/>
      <c r="X57" s="1130"/>
      <c r="Y57" s="1125" t="str">
        <f t="shared" ref="Y57" si="77">IF(B57="","",RANK(V57,$V$47:$W$58))</f>
        <v/>
      </c>
      <c r="AA57" s="1108">
        <v>6</v>
      </c>
      <c r="AB57" s="1110"/>
      <c r="AC57" s="1030" t="str">
        <f>IF(AB57="","",VLOOKUP(AB57,'Списки участников'!$A:$L,3,FALSE))</f>
        <v/>
      </c>
      <c r="AD57" s="1116" t="str">
        <f>IF(AS47="","",IF(AS48="W",0,IF(AS47=2,1,IF(AS47=1,2,IF(AS47=0,2)))))</f>
        <v/>
      </c>
      <c r="AE57" s="1117"/>
      <c r="AF57" s="1118"/>
      <c r="AG57" s="1116" t="str">
        <f>IF(AS49="","",IF(AS50="W",0,IF(AS49=2,1,IF(AS49=1,2,IF(AS49=0,2)))))</f>
        <v/>
      </c>
      <c r="AH57" s="1117"/>
      <c r="AI57" s="1118"/>
      <c r="AJ57" s="1116" t="str">
        <f>IF(AS51="","",IF(AS52="W",0,IF(AS51=2,1,IF(AS51=1,2,IF(AS51=0,2)))))</f>
        <v/>
      </c>
      <c r="AK57" s="1117"/>
      <c r="AL57" s="1118"/>
      <c r="AM57" s="1116" t="str">
        <f>IF(AS53="","",IF(AS54="W",0,IF(AS53=2,1,IF(AS53=1,2,IF(AS53=0,2)))))</f>
        <v/>
      </c>
      <c r="AN57" s="1117"/>
      <c r="AO57" s="1118"/>
      <c r="AP57" s="1116" t="str">
        <f>IF(AS55="","",IF(AS56="W",0,IF(AS55=2,1,IF(AS55=1,2,IF(AS55=0,2)))))</f>
        <v/>
      </c>
      <c r="AQ57" s="1117"/>
      <c r="AR57" s="1118"/>
      <c r="AS57" s="1126"/>
      <c r="AT57" s="1127"/>
      <c r="AU57" s="1128"/>
      <c r="AV57" s="1119" t="str">
        <f t="shared" ref="AV57" si="78">IF(AB57="","",SUM(AG57,AJ57,AM57,AP57,AD57,AS57))</f>
        <v/>
      </c>
      <c r="AW57" s="1120"/>
      <c r="AX57" s="1130"/>
      <c r="AY57" s="1125" t="str">
        <f t="shared" ref="AY57" si="79">IF(AB57="","",RANK(AV57,$AV$47:$AW$58))</f>
        <v/>
      </c>
    </row>
    <row r="58" spans="1:51" ht="15" x14ac:dyDescent="0.2">
      <c r="A58" s="1109"/>
      <c r="B58" s="1111"/>
      <c r="C58" s="1031" t="str">
        <f>IF(B57="","",VLOOKUP(B57,'Списки участников'!$A:$L,6,FALSE))</f>
        <v/>
      </c>
      <c r="D58" s="1032" t="str">
        <f>IF(S48="","",IF(U48="l","W",U48))</f>
        <v/>
      </c>
      <c r="E58" s="1033" t="str">
        <f>IF(T48="","",":")</f>
        <v/>
      </c>
      <c r="F58" s="1038" t="str">
        <f>IF(U48="","",IF(S48="W","L",S48))</f>
        <v/>
      </c>
      <c r="G58" s="1032" t="str">
        <f>IF(S50="","",IF(U50="l","W",U50))</f>
        <v/>
      </c>
      <c r="H58" s="1033" t="str">
        <f>IF(T50="","",":")</f>
        <v/>
      </c>
      <c r="I58" s="1038" t="str">
        <f>IF(U50="","",IF(S50="W","L",S50))</f>
        <v/>
      </c>
      <c r="J58" s="1032" t="str">
        <f>IF(S52="","",IF(U52="l","W",U52))</f>
        <v/>
      </c>
      <c r="K58" s="1033" t="str">
        <f>IF(T52="","",":")</f>
        <v/>
      </c>
      <c r="L58" s="1038" t="str">
        <f>IF(U52="","",IF(S52="W","L",S52))</f>
        <v/>
      </c>
      <c r="M58" s="1032" t="str">
        <f>IF(S54="","",IF(U54="l","W",U54))</f>
        <v/>
      </c>
      <c r="N58" s="1033" t="str">
        <f>IF(T54="","",":")</f>
        <v/>
      </c>
      <c r="O58" s="1038" t="str">
        <f>IF(U54="","",IF(S54="W","L",S54))</f>
        <v/>
      </c>
      <c r="P58" s="1032" t="str">
        <f>IF(S56="","",IF(U56="l","W",U56))</f>
        <v/>
      </c>
      <c r="Q58" s="1033" t="str">
        <f>IF(T56="","",":")</f>
        <v/>
      </c>
      <c r="R58" s="1038" t="str">
        <f>IF(U56="","",IF(S56="W","L",S56))</f>
        <v/>
      </c>
      <c r="S58" s="1129"/>
      <c r="T58" s="1114"/>
      <c r="U58" s="1115"/>
      <c r="V58" s="1121"/>
      <c r="W58" s="1122"/>
      <c r="X58" s="1131"/>
      <c r="Y58" s="1125"/>
      <c r="AA58" s="1109"/>
      <c r="AB58" s="1111"/>
      <c r="AC58" s="1031" t="str">
        <f>IF(AB57="","",VLOOKUP(AB57,'Списки участников'!$A:$L,6,FALSE))</f>
        <v/>
      </c>
      <c r="AD58" s="1032" t="str">
        <f>IF(AS48="","",IF(AU48="l","W",AU48))</f>
        <v/>
      </c>
      <c r="AE58" s="1033" t="str">
        <f>IF(AT48="","",":")</f>
        <v/>
      </c>
      <c r="AF58" s="1038" t="str">
        <f>IF(AU48="","",IF(AS48="W","L",AS48))</f>
        <v/>
      </c>
      <c r="AG58" s="1032" t="str">
        <f>IF(AS50="","",IF(AU50="l","W",AU50))</f>
        <v/>
      </c>
      <c r="AH58" s="1033" t="str">
        <f>IF(AT50="","",":")</f>
        <v/>
      </c>
      <c r="AI58" s="1038" t="str">
        <f>IF(AU50="","",IF(AS50="W","L",AS50))</f>
        <v/>
      </c>
      <c r="AJ58" s="1032" t="str">
        <f>IF(AS52="","",IF(AU52="l","W",AU52))</f>
        <v/>
      </c>
      <c r="AK58" s="1033" t="str">
        <f>IF(AT52="","",":")</f>
        <v/>
      </c>
      <c r="AL58" s="1038" t="str">
        <f>IF(AU52="","",IF(AS52="W","L",AS52))</f>
        <v/>
      </c>
      <c r="AM58" s="1032" t="str">
        <f>IF(AS54="","",IF(AU54="l","W",AU54))</f>
        <v/>
      </c>
      <c r="AN58" s="1033" t="str">
        <f>IF(AT54="","",":")</f>
        <v/>
      </c>
      <c r="AO58" s="1038" t="str">
        <f>IF(AU54="","",IF(AS54="W","L",AS54))</f>
        <v/>
      </c>
      <c r="AP58" s="1032" t="str">
        <f>IF(AS56="","",IF(AU56="l","W",AU56))</f>
        <v/>
      </c>
      <c r="AQ58" s="1033" t="str">
        <f>IF(AT56="","",":")</f>
        <v/>
      </c>
      <c r="AR58" s="1038" t="str">
        <f>IF(AU56="","",IF(AS56="W","L",AS56))</f>
        <v/>
      </c>
      <c r="AS58" s="1129"/>
      <c r="AT58" s="1114"/>
      <c r="AU58" s="1115"/>
      <c r="AV58" s="1121"/>
      <c r="AW58" s="1122"/>
      <c r="AX58" s="1131"/>
      <c r="AY58" s="1125"/>
    </row>
    <row r="60" spans="1:51" ht="19.5" x14ac:dyDescent="0.35">
      <c r="A60" s="481"/>
      <c r="B60" s="481"/>
      <c r="C60" s="481" t="s">
        <v>2804</v>
      </c>
      <c r="D60" s="481"/>
      <c r="E60" s="481"/>
      <c r="F60" s="481"/>
      <c r="G60" s="481"/>
      <c r="H60" s="481"/>
      <c r="I60" s="481"/>
      <c r="J60" s="1101" t="str">
        <f>'Списки участников'!M63</f>
        <v>В.В. Гусев</v>
      </c>
      <c r="K60" s="1101"/>
      <c r="L60" s="1101"/>
      <c r="M60" s="1101"/>
      <c r="N60" s="1101"/>
      <c r="O60" s="1101"/>
      <c r="P60" s="1101"/>
      <c r="Q60" s="1101"/>
      <c r="R60" s="1101"/>
      <c r="S60" s="1101"/>
      <c r="T60" s="1101"/>
      <c r="U60" s="1101"/>
      <c r="V60" s="481"/>
      <c r="W60" s="481"/>
      <c r="X60" s="481"/>
      <c r="Y60" s="481"/>
      <c r="Z60" s="481"/>
      <c r="AA60" s="481"/>
      <c r="AB60" s="481"/>
      <c r="AC60" s="481" t="s">
        <v>2805</v>
      </c>
      <c r="AD60" s="481"/>
      <c r="AE60" s="481"/>
      <c r="AF60" s="481"/>
      <c r="AG60" s="481"/>
      <c r="AH60" s="481"/>
      <c r="AI60" s="481"/>
      <c r="AJ60" s="1101" t="str">
        <f>'Списки участников'!M64</f>
        <v>А.С. Кабанов</v>
      </c>
      <c r="AK60" s="1101"/>
      <c r="AL60" s="1101"/>
      <c r="AM60" s="1101"/>
      <c r="AN60" s="1101"/>
      <c r="AO60" s="1101"/>
      <c r="AP60" s="1101"/>
      <c r="AQ60" s="1101"/>
      <c r="AR60" s="1101"/>
      <c r="AS60" s="1101"/>
      <c r="AT60" s="1101"/>
      <c r="AU60" s="1101"/>
      <c r="AV60" s="481"/>
      <c r="AW60" s="481"/>
      <c r="AX60" s="481"/>
      <c r="AY60" s="481"/>
    </row>
  </sheetData>
  <mergeCells count="597">
    <mergeCell ref="AV57:AW58"/>
    <mergeCell ref="AX57:AX58"/>
    <mergeCell ref="AY57:AY58"/>
    <mergeCell ref="J60:U60"/>
    <mergeCell ref="AJ60:AU60"/>
    <mergeCell ref="AM2:AW2"/>
    <mergeCell ref="AD57:AF57"/>
    <mergeCell ref="AG57:AI57"/>
    <mergeCell ref="AJ57:AL57"/>
    <mergeCell ref="AM57:AO57"/>
    <mergeCell ref="AP57:AR57"/>
    <mergeCell ref="AS57:AU58"/>
    <mergeCell ref="S57:U58"/>
    <mergeCell ref="V57:W58"/>
    <mergeCell ref="X57:X58"/>
    <mergeCell ref="Y57:Y58"/>
    <mergeCell ref="AA57:AA58"/>
    <mergeCell ref="AB57:AB58"/>
    <mergeCell ref="AV55:AW56"/>
    <mergeCell ref="AX55:AX56"/>
    <mergeCell ref="AY55:AY56"/>
    <mergeCell ref="AJ55:AL55"/>
    <mergeCell ref="AM55:AO55"/>
    <mergeCell ref="AP55:AR56"/>
    <mergeCell ref="A57:A58"/>
    <mergeCell ref="B57:B58"/>
    <mergeCell ref="D57:F57"/>
    <mergeCell ref="G57:I57"/>
    <mergeCell ref="J57:L57"/>
    <mergeCell ref="M57:O57"/>
    <mergeCell ref="P57:R57"/>
    <mergeCell ref="AD55:AF55"/>
    <mergeCell ref="AG55:AI55"/>
    <mergeCell ref="A55:A56"/>
    <mergeCell ref="B55:B56"/>
    <mergeCell ref="D55:F55"/>
    <mergeCell ref="G55:I55"/>
    <mergeCell ref="J55:L55"/>
    <mergeCell ref="M55:O55"/>
    <mergeCell ref="P55:R56"/>
    <mergeCell ref="AS55:AU55"/>
    <mergeCell ref="S55:U55"/>
    <mergeCell ref="V55:W56"/>
    <mergeCell ref="X55:X56"/>
    <mergeCell ref="Y55:Y56"/>
    <mergeCell ref="AA55:AA56"/>
    <mergeCell ref="AB55:AB56"/>
    <mergeCell ref="AV53:AW54"/>
    <mergeCell ref="AX53:AX54"/>
    <mergeCell ref="AM53:AO54"/>
    <mergeCell ref="AP53:AR53"/>
    <mergeCell ref="AS53:AU53"/>
    <mergeCell ref="S53:U53"/>
    <mergeCell ref="V53:W54"/>
    <mergeCell ref="X53:X54"/>
    <mergeCell ref="Y53:Y54"/>
    <mergeCell ref="AA53:AA54"/>
    <mergeCell ref="AB53:AB54"/>
    <mergeCell ref="AD53:AF53"/>
    <mergeCell ref="AG53:AI53"/>
    <mergeCell ref="AV51:AW52"/>
    <mergeCell ref="AX51:AX52"/>
    <mergeCell ref="AY51:AY52"/>
    <mergeCell ref="A53:A54"/>
    <mergeCell ref="B53:B54"/>
    <mergeCell ref="D53:F53"/>
    <mergeCell ref="G53:I53"/>
    <mergeCell ref="J53:L53"/>
    <mergeCell ref="M53:O54"/>
    <mergeCell ref="P53:R53"/>
    <mergeCell ref="AD51:AF51"/>
    <mergeCell ref="AG51:AI51"/>
    <mergeCell ref="AJ51:AL52"/>
    <mergeCell ref="AM51:AO51"/>
    <mergeCell ref="AP51:AR51"/>
    <mergeCell ref="AS51:AU51"/>
    <mergeCell ref="S51:U51"/>
    <mergeCell ref="V51:W52"/>
    <mergeCell ref="X51:X52"/>
    <mergeCell ref="Y51:Y52"/>
    <mergeCell ref="AA51:AA52"/>
    <mergeCell ref="AB51:AB52"/>
    <mergeCell ref="AY53:AY54"/>
    <mergeCell ref="AJ53:AL53"/>
    <mergeCell ref="AJ49:AL49"/>
    <mergeCell ref="AM49:AO49"/>
    <mergeCell ref="AP49:AR49"/>
    <mergeCell ref="AS49:AU49"/>
    <mergeCell ref="S49:U49"/>
    <mergeCell ref="V49:W50"/>
    <mergeCell ref="X49:X50"/>
    <mergeCell ref="Y49:Y50"/>
    <mergeCell ref="AA49:AA50"/>
    <mergeCell ref="AB49:AB50"/>
    <mergeCell ref="A51:A52"/>
    <mergeCell ref="B51:B52"/>
    <mergeCell ref="D51:F51"/>
    <mergeCell ref="G51:I51"/>
    <mergeCell ref="J51:L52"/>
    <mergeCell ref="M51:O51"/>
    <mergeCell ref="P51:R51"/>
    <mergeCell ref="AD49:AF49"/>
    <mergeCell ref="AG49:AI50"/>
    <mergeCell ref="AX47:AX48"/>
    <mergeCell ref="AY47:AY48"/>
    <mergeCell ref="A49:A50"/>
    <mergeCell ref="B49:B50"/>
    <mergeCell ref="D49:F49"/>
    <mergeCell ref="G49:I50"/>
    <mergeCell ref="J49:L49"/>
    <mergeCell ref="M49:O49"/>
    <mergeCell ref="P49:R49"/>
    <mergeCell ref="AD47:AF48"/>
    <mergeCell ref="AG47:AI47"/>
    <mergeCell ref="AJ47:AL47"/>
    <mergeCell ref="AM47:AO47"/>
    <mergeCell ref="AP47:AR47"/>
    <mergeCell ref="AS47:AU47"/>
    <mergeCell ref="S47:U47"/>
    <mergeCell ref="V47:W48"/>
    <mergeCell ref="X47:X48"/>
    <mergeCell ref="Y47:Y48"/>
    <mergeCell ref="AA47:AA48"/>
    <mergeCell ref="AB47:AB48"/>
    <mergeCell ref="AV49:AW50"/>
    <mergeCell ref="AX49:AX50"/>
    <mergeCell ref="AY49:AY50"/>
    <mergeCell ref="AV46:AW46"/>
    <mergeCell ref="A47:A48"/>
    <mergeCell ref="B47:B48"/>
    <mergeCell ref="D47:F48"/>
    <mergeCell ref="G47:I47"/>
    <mergeCell ref="J47:L47"/>
    <mergeCell ref="M47:O47"/>
    <mergeCell ref="P47:R47"/>
    <mergeCell ref="S46:U46"/>
    <mergeCell ref="V46:W46"/>
    <mergeCell ref="AD46:AF46"/>
    <mergeCell ref="AG46:AI46"/>
    <mergeCell ref="AJ46:AL46"/>
    <mergeCell ref="AM46:AO46"/>
    <mergeCell ref="AV47:AW48"/>
    <mergeCell ref="AV43:AW44"/>
    <mergeCell ref="AX43:AX44"/>
    <mergeCell ref="AY43:AY44"/>
    <mergeCell ref="G45:R45"/>
    <mergeCell ref="AG45:AR45"/>
    <mergeCell ref="D46:F46"/>
    <mergeCell ref="G46:I46"/>
    <mergeCell ref="J46:L46"/>
    <mergeCell ref="M46:O46"/>
    <mergeCell ref="P46:R46"/>
    <mergeCell ref="AD43:AF43"/>
    <mergeCell ref="AG43:AI43"/>
    <mergeCell ref="AJ43:AL43"/>
    <mergeCell ref="AM43:AO43"/>
    <mergeCell ref="AP43:AR43"/>
    <mergeCell ref="AS43:AU44"/>
    <mergeCell ref="S43:U44"/>
    <mergeCell ref="V43:W44"/>
    <mergeCell ref="X43:X44"/>
    <mergeCell ref="Y43:Y44"/>
    <mergeCell ref="AA43:AA44"/>
    <mergeCell ref="AB43:AB44"/>
    <mergeCell ref="AP46:AR46"/>
    <mergeCell ref="AS46:AU46"/>
    <mergeCell ref="AM41:AO41"/>
    <mergeCell ref="AP41:AR42"/>
    <mergeCell ref="AS41:AU41"/>
    <mergeCell ref="S41:U41"/>
    <mergeCell ref="V41:W42"/>
    <mergeCell ref="X41:X42"/>
    <mergeCell ref="Y41:Y42"/>
    <mergeCell ref="AA41:AA42"/>
    <mergeCell ref="AB41:AB42"/>
    <mergeCell ref="A43:A44"/>
    <mergeCell ref="B43:B44"/>
    <mergeCell ref="D43:F43"/>
    <mergeCell ref="G43:I43"/>
    <mergeCell ref="J43:L43"/>
    <mergeCell ref="M43:O43"/>
    <mergeCell ref="P43:R43"/>
    <mergeCell ref="AD41:AF41"/>
    <mergeCell ref="AG41:AI41"/>
    <mergeCell ref="AY39:AY40"/>
    <mergeCell ref="A41:A42"/>
    <mergeCell ref="B41:B42"/>
    <mergeCell ref="D41:F41"/>
    <mergeCell ref="G41:I41"/>
    <mergeCell ref="J41:L41"/>
    <mergeCell ref="M41:O41"/>
    <mergeCell ref="P41:R42"/>
    <mergeCell ref="AD39:AF39"/>
    <mergeCell ref="AG39:AI39"/>
    <mergeCell ref="AJ39:AL39"/>
    <mergeCell ref="AM39:AO40"/>
    <mergeCell ref="AP39:AR39"/>
    <mergeCell ref="AS39:AU39"/>
    <mergeCell ref="S39:U39"/>
    <mergeCell ref="V39:W40"/>
    <mergeCell ref="X39:X40"/>
    <mergeCell ref="Y39:Y40"/>
    <mergeCell ref="AA39:AA40"/>
    <mergeCell ref="AB39:AB40"/>
    <mergeCell ref="AV41:AW42"/>
    <mergeCell ref="AX41:AX42"/>
    <mergeCell ref="AY41:AY42"/>
    <mergeCell ref="AJ41:AL41"/>
    <mergeCell ref="AV37:AW38"/>
    <mergeCell ref="AX37:AX38"/>
    <mergeCell ref="AY37:AY38"/>
    <mergeCell ref="A39:A40"/>
    <mergeCell ref="B39:B40"/>
    <mergeCell ref="D39:F39"/>
    <mergeCell ref="G39:I39"/>
    <mergeCell ref="J39:L39"/>
    <mergeCell ref="M39:O40"/>
    <mergeCell ref="P39:R39"/>
    <mergeCell ref="AD37:AF37"/>
    <mergeCell ref="AG37:AI37"/>
    <mergeCell ref="AJ37:AL38"/>
    <mergeCell ref="AM37:AO37"/>
    <mergeCell ref="AP37:AR37"/>
    <mergeCell ref="AS37:AU37"/>
    <mergeCell ref="S37:U37"/>
    <mergeCell ref="V37:W38"/>
    <mergeCell ref="X37:X38"/>
    <mergeCell ref="Y37:Y38"/>
    <mergeCell ref="AA37:AA38"/>
    <mergeCell ref="AB37:AB38"/>
    <mergeCell ref="AV39:AW40"/>
    <mergeCell ref="AX39:AX40"/>
    <mergeCell ref="AJ35:AL35"/>
    <mergeCell ref="AM35:AO35"/>
    <mergeCell ref="AP35:AR35"/>
    <mergeCell ref="AS35:AU35"/>
    <mergeCell ref="S35:U35"/>
    <mergeCell ref="V35:W36"/>
    <mergeCell ref="X35:X36"/>
    <mergeCell ref="Y35:Y36"/>
    <mergeCell ref="AA35:AA36"/>
    <mergeCell ref="AB35:AB36"/>
    <mergeCell ref="A37:A38"/>
    <mergeCell ref="B37:B38"/>
    <mergeCell ref="D37:F37"/>
    <mergeCell ref="G37:I37"/>
    <mergeCell ref="J37:L38"/>
    <mergeCell ref="M37:O37"/>
    <mergeCell ref="P37:R37"/>
    <mergeCell ref="AD35:AF35"/>
    <mergeCell ref="AG35:AI36"/>
    <mergeCell ref="AX33:AX34"/>
    <mergeCell ref="AY33:AY34"/>
    <mergeCell ref="A35:A36"/>
    <mergeCell ref="B35:B36"/>
    <mergeCell ref="D35:F35"/>
    <mergeCell ref="G35:I36"/>
    <mergeCell ref="J35:L35"/>
    <mergeCell ref="M35:O35"/>
    <mergeCell ref="P35:R35"/>
    <mergeCell ref="AD33:AF34"/>
    <mergeCell ref="AG33:AI33"/>
    <mergeCell ref="AJ33:AL33"/>
    <mergeCell ref="AM33:AO33"/>
    <mergeCell ref="AP33:AR33"/>
    <mergeCell ref="AS33:AU33"/>
    <mergeCell ref="S33:U33"/>
    <mergeCell ref="V33:W34"/>
    <mergeCell ref="X33:X34"/>
    <mergeCell ref="Y33:Y34"/>
    <mergeCell ref="AA33:AA34"/>
    <mergeCell ref="AB33:AB34"/>
    <mergeCell ref="AV35:AW36"/>
    <mergeCell ref="AX35:AX36"/>
    <mergeCell ref="AY35:AY36"/>
    <mergeCell ref="AV32:AW32"/>
    <mergeCell ref="A33:A34"/>
    <mergeCell ref="B33:B34"/>
    <mergeCell ref="D33:F34"/>
    <mergeCell ref="G33:I33"/>
    <mergeCell ref="J33:L33"/>
    <mergeCell ref="M33:O33"/>
    <mergeCell ref="P33:R33"/>
    <mergeCell ref="S32:U32"/>
    <mergeCell ref="V32:W32"/>
    <mergeCell ref="AD32:AF32"/>
    <mergeCell ref="AG32:AI32"/>
    <mergeCell ref="AJ32:AL32"/>
    <mergeCell ref="AM32:AO32"/>
    <mergeCell ref="AV33:AW34"/>
    <mergeCell ref="AV29:AW30"/>
    <mergeCell ref="AX29:AX30"/>
    <mergeCell ref="AY29:AY30"/>
    <mergeCell ref="G31:R31"/>
    <mergeCell ref="AG31:AR31"/>
    <mergeCell ref="D32:F32"/>
    <mergeCell ref="G32:I32"/>
    <mergeCell ref="J32:L32"/>
    <mergeCell ref="M32:O32"/>
    <mergeCell ref="P32:R32"/>
    <mergeCell ref="AD29:AF29"/>
    <mergeCell ref="AG29:AI29"/>
    <mergeCell ref="AJ29:AL29"/>
    <mergeCell ref="AM29:AO29"/>
    <mergeCell ref="AP29:AR29"/>
    <mergeCell ref="AS29:AU30"/>
    <mergeCell ref="S29:U30"/>
    <mergeCell ref="V29:W30"/>
    <mergeCell ref="X29:X30"/>
    <mergeCell ref="Y29:Y30"/>
    <mergeCell ref="AA29:AA30"/>
    <mergeCell ref="AB29:AB30"/>
    <mergeCell ref="AP32:AR32"/>
    <mergeCell ref="AS32:AU32"/>
    <mergeCell ref="AM27:AO27"/>
    <mergeCell ref="AP27:AR28"/>
    <mergeCell ref="AS27:AU27"/>
    <mergeCell ref="S27:U27"/>
    <mergeCell ref="V27:W28"/>
    <mergeCell ref="X27:X28"/>
    <mergeCell ref="Y27:Y28"/>
    <mergeCell ref="AA27:AA28"/>
    <mergeCell ref="AB27:AB28"/>
    <mergeCell ref="A29:A30"/>
    <mergeCell ref="B29:B30"/>
    <mergeCell ref="D29:F29"/>
    <mergeCell ref="G29:I29"/>
    <mergeCell ref="J29:L29"/>
    <mergeCell ref="M29:O29"/>
    <mergeCell ref="P29:R29"/>
    <mergeCell ref="AD27:AF27"/>
    <mergeCell ref="AG27:AI27"/>
    <mergeCell ref="AY25:AY26"/>
    <mergeCell ref="A27:A28"/>
    <mergeCell ref="B27:B28"/>
    <mergeCell ref="D27:F27"/>
    <mergeCell ref="G27:I27"/>
    <mergeCell ref="J27:L27"/>
    <mergeCell ref="M27:O27"/>
    <mergeCell ref="P27:R28"/>
    <mergeCell ref="AD25:AF25"/>
    <mergeCell ref="AG25:AI25"/>
    <mergeCell ref="AJ25:AL25"/>
    <mergeCell ref="AM25:AO26"/>
    <mergeCell ref="AP25:AR25"/>
    <mergeCell ref="AS25:AU25"/>
    <mergeCell ref="S25:U25"/>
    <mergeCell ref="V25:W26"/>
    <mergeCell ref="X25:X26"/>
    <mergeCell ref="Y25:Y26"/>
    <mergeCell ref="AA25:AA26"/>
    <mergeCell ref="AB25:AB26"/>
    <mergeCell ref="AV27:AW28"/>
    <mergeCell ref="AX27:AX28"/>
    <mergeCell ref="AY27:AY28"/>
    <mergeCell ref="AJ27:AL27"/>
    <mergeCell ref="AV23:AW24"/>
    <mergeCell ref="AX23:AX24"/>
    <mergeCell ref="AY23:AY24"/>
    <mergeCell ref="A25:A26"/>
    <mergeCell ref="B25:B26"/>
    <mergeCell ref="D25:F25"/>
    <mergeCell ref="G25:I25"/>
    <mergeCell ref="J25:L25"/>
    <mergeCell ref="M25:O26"/>
    <mergeCell ref="P25:R25"/>
    <mergeCell ref="AD23:AF23"/>
    <mergeCell ref="AG23:AI23"/>
    <mergeCell ref="AJ23:AL24"/>
    <mergeCell ref="AM23:AO23"/>
    <mergeCell ref="AP23:AR23"/>
    <mergeCell ref="AS23:AU23"/>
    <mergeCell ref="S23:U23"/>
    <mergeCell ref="V23:W24"/>
    <mergeCell ref="X23:X24"/>
    <mergeCell ref="Y23:Y24"/>
    <mergeCell ref="AA23:AA24"/>
    <mergeCell ref="AB23:AB24"/>
    <mergeCell ref="AV25:AW26"/>
    <mergeCell ref="AX25:AX26"/>
    <mergeCell ref="AJ21:AL21"/>
    <mergeCell ref="AM21:AO21"/>
    <mergeCell ref="AP21:AR21"/>
    <mergeCell ref="AS21:AU21"/>
    <mergeCell ref="S21:U21"/>
    <mergeCell ref="V21:W22"/>
    <mergeCell ref="X21:X22"/>
    <mergeCell ref="Y21:Y22"/>
    <mergeCell ref="AA21:AA22"/>
    <mergeCell ref="AB21:AB22"/>
    <mergeCell ref="A23:A24"/>
    <mergeCell ref="B23:B24"/>
    <mergeCell ref="D23:F23"/>
    <mergeCell ref="G23:I23"/>
    <mergeCell ref="J23:L24"/>
    <mergeCell ref="M23:O23"/>
    <mergeCell ref="P23:R23"/>
    <mergeCell ref="AD21:AF21"/>
    <mergeCell ref="AG21:AI22"/>
    <mergeCell ref="AX19:AX20"/>
    <mergeCell ref="AY19:AY20"/>
    <mergeCell ref="A21:A22"/>
    <mergeCell ref="B21:B22"/>
    <mergeCell ref="D21:F21"/>
    <mergeCell ref="G21:I22"/>
    <mergeCell ref="J21:L21"/>
    <mergeCell ref="M21:O21"/>
    <mergeCell ref="P21:R21"/>
    <mergeCell ref="AD19:AF20"/>
    <mergeCell ref="AG19:AI19"/>
    <mergeCell ref="AJ19:AL19"/>
    <mergeCell ref="AM19:AO19"/>
    <mergeCell ref="AP19:AR19"/>
    <mergeCell ref="AS19:AU19"/>
    <mergeCell ref="S19:U19"/>
    <mergeCell ref="V19:W20"/>
    <mergeCell ref="X19:X20"/>
    <mergeCell ref="Y19:Y20"/>
    <mergeCell ref="AA19:AA20"/>
    <mergeCell ref="AB19:AB20"/>
    <mergeCell ref="AV21:AW22"/>
    <mergeCell ref="AX21:AX22"/>
    <mergeCell ref="AY21:AY22"/>
    <mergeCell ref="AV18:AW18"/>
    <mergeCell ref="A19:A20"/>
    <mergeCell ref="B19:B20"/>
    <mergeCell ref="D19:F20"/>
    <mergeCell ref="G19:I19"/>
    <mergeCell ref="J19:L19"/>
    <mergeCell ref="M19:O19"/>
    <mergeCell ref="P19:R19"/>
    <mergeCell ref="S18:U18"/>
    <mergeCell ref="V18:W18"/>
    <mergeCell ref="AD18:AF18"/>
    <mergeCell ref="AG18:AI18"/>
    <mergeCell ref="AJ18:AL18"/>
    <mergeCell ref="AM18:AO18"/>
    <mergeCell ref="AV19:AW20"/>
    <mergeCell ref="AV15:AW16"/>
    <mergeCell ref="AX15:AX16"/>
    <mergeCell ref="AY15:AY16"/>
    <mergeCell ref="G17:R17"/>
    <mergeCell ref="AG17:AR17"/>
    <mergeCell ref="D18:F18"/>
    <mergeCell ref="G18:I18"/>
    <mergeCell ref="J18:L18"/>
    <mergeCell ref="M18:O18"/>
    <mergeCell ref="P18:R18"/>
    <mergeCell ref="AD15:AF15"/>
    <mergeCell ref="AG15:AI15"/>
    <mergeCell ref="AJ15:AL15"/>
    <mergeCell ref="AM15:AO15"/>
    <mergeCell ref="AP15:AR15"/>
    <mergeCell ref="AS15:AU16"/>
    <mergeCell ref="S15:U16"/>
    <mergeCell ref="V15:W16"/>
    <mergeCell ref="X15:X16"/>
    <mergeCell ref="Y15:Y16"/>
    <mergeCell ref="AA15:AA16"/>
    <mergeCell ref="AB15:AB16"/>
    <mergeCell ref="AP18:AR18"/>
    <mergeCell ref="AS18:AU18"/>
    <mergeCell ref="AM13:AO13"/>
    <mergeCell ref="AP13:AR14"/>
    <mergeCell ref="AS13:AU13"/>
    <mergeCell ref="S13:U13"/>
    <mergeCell ref="V13:W14"/>
    <mergeCell ref="X13:X14"/>
    <mergeCell ref="Y13:Y14"/>
    <mergeCell ref="AA13:AA14"/>
    <mergeCell ref="AB13:AB14"/>
    <mergeCell ref="A15:A16"/>
    <mergeCell ref="B15:B16"/>
    <mergeCell ref="D15:F15"/>
    <mergeCell ref="G15:I15"/>
    <mergeCell ref="J15:L15"/>
    <mergeCell ref="M15:O15"/>
    <mergeCell ref="P15:R15"/>
    <mergeCell ref="AD13:AF13"/>
    <mergeCell ref="AG13:AI13"/>
    <mergeCell ref="AY11:AY12"/>
    <mergeCell ref="A13:A14"/>
    <mergeCell ref="B13:B14"/>
    <mergeCell ref="D13:F13"/>
    <mergeCell ref="G13:I13"/>
    <mergeCell ref="J13:L13"/>
    <mergeCell ref="M13:O13"/>
    <mergeCell ref="P13:R14"/>
    <mergeCell ref="AD11:AF11"/>
    <mergeCell ref="AG11:AI11"/>
    <mergeCell ref="AJ11:AL11"/>
    <mergeCell ref="AM11:AO12"/>
    <mergeCell ref="AP11:AR11"/>
    <mergeCell ref="AS11:AU11"/>
    <mergeCell ref="S11:U11"/>
    <mergeCell ref="V11:W12"/>
    <mergeCell ref="X11:X12"/>
    <mergeCell ref="Y11:Y12"/>
    <mergeCell ref="AA11:AA12"/>
    <mergeCell ref="AB11:AB12"/>
    <mergeCell ref="AV13:AW14"/>
    <mergeCell ref="AX13:AX14"/>
    <mergeCell ref="AY13:AY14"/>
    <mergeCell ref="AJ13:AL13"/>
    <mergeCell ref="AV9:AW10"/>
    <mergeCell ref="AX9:AX10"/>
    <mergeCell ref="AY9:AY10"/>
    <mergeCell ref="A11:A12"/>
    <mergeCell ref="B11:B12"/>
    <mergeCell ref="D11:F11"/>
    <mergeCell ref="G11:I11"/>
    <mergeCell ref="J11:L11"/>
    <mergeCell ref="M11:O12"/>
    <mergeCell ref="P11:R11"/>
    <mergeCell ref="AD9:AF9"/>
    <mergeCell ref="AG9:AI9"/>
    <mergeCell ref="AJ9:AL10"/>
    <mergeCell ref="AM9:AO9"/>
    <mergeCell ref="AP9:AR9"/>
    <mergeCell ref="AS9:AU9"/>
    <mergeCell ref="S9:U9"/>
    <mergeCell ref="V9:W10"/>
    <mergeCell ref="X9:X10"/>
    <mergeCell ref="Y9:Y10"/>
    <mergeCell ref="AA9:AA10"/>
    <mergeCell ref="AB9:AB10"/>
    <mergeCell ref="AV11:AW12"/>
    <mergeCell ref="AX11:AX12"/>
    <mergeCell ref="AJ7:AL7"/>
    <mergeCell ref="AM7:AO7"/>
    <mergeCell ref="AP7:AR7"/>
    <mergeCell ref="AS7:AU7"/>
    <mergeCell ref="S7:U7"/>
    <mergeCell ref="V7:W8"/>
    <mergeCell ref="X7:X8"/>
    <mergeCell ref="Y7:Y8"/>
    <mergeCell ref="AA7:AA8"/>
    <mergeCell ref="AB7:AB8"/>
    <mergeCell ref="A9:A10"/>
    <mergeCell ref="B9:B10"/>
    <mergeCell ref="D9:F9"/>
    <mergeCell ref="G9:I9"/>
    <mergeCell ref="J9:L10"/>
    <mergeCell ref="M9:O9"/>
    <mergeCell ref="P9:R9"/>
    <mergeCell ref="AD7:AF7"/>
    <mergeCell ref="AG7:AI8"/>
    <mergeCell ref="AX5:AX6"/>
    <mergeCell ref="AY5:AY6"/>
    <mergeCell ref="A7:A8"/>
    <mergeCell ref="B7:B8"/>
    <mergeCell ref="D7:F7"/>
    <mergeCell ref="G7:I8"/>
    <mergeCell ref="J7:L7"/>
    <mergeCell ref="M7:O7"/>
    <mergeCell ref="P7:R7"/>
    <mergeCell ref="AD5:AF6"/>
    <mergeCell ref="AG5:AI5"/>
    <mergeCell ref="AJ5:AL5"/>
    <mergeCell ref="AM5:AO5"/>
    <mergeCell ref="AP5:AR5"/>
    <mergeCell ref="AS5:AU5"/>
    <mergeCell ref="S5:U5"/>
    <mergeCell ref="V5:W6"/>
    <mergeCell ref="X5:X6"/>
    <mergeCell ref="Y5:Y6"/>
    <mergeCell ref="AA5:AA6"/>
    <mergeCell ref="AB5:AB6"/>
    <mergeCell ref="AV7:AW8"/>
    <mergeCell ref="AX7:AX8"/>
    <mergeCell ref="AY7:AY8"/>
    <mergeCell ref="AV4:AW4"/>
    <mergeCell ref="A5:A6"/>
    <mergeCell ref="B5:B6"/>
    <mergeCell ref="D5:F6"/>
    <mergeCell ref="G5:I5"/>
    <mergeCell ref="J5:L5"/>
    <mergeCell ref="M5:O5"/>
    <mergeCell ref="P5:R5"/>
    <mergeCell ref="S4:U4"/>
    <mergeCell ref="V4:W4"/>
    <mergeCell ref="AD4:AF4"/>
    <mergeCell ref="AG4:AI4"/>
    <mergeCell ref="AJ4:AL4"/>
    <mergeCell ref="AM4:AO4"/>
    <mergeCell ref="AV5:AW6"/>
    <mergeCell ref="C1:AT1"/>
    <mergeCell ref="D2:AL2"/>
    <mergeCell ref="G3:R3"/>
    <mergeCell ref="AG3:AR3"/>
    <mergeCell ref="D4:F4"/>
    <mergeCell ref="G4:I4"/>
    <mergeCell ref="J4:L4"/>
    <mergeCell ref="M4:O4"/>
    <mergeCell ref="P4:R4"/>
    <mergeCell ref="AP4:AR4"/>
    <mergeCell ref="AS4:AU4"/>
  </mergeCells>
  <conditionalFormatting sqref="P5:R5">
    <cfRule type="expression" dxfId="499" priority="240">
      <formula>P5&lt;&gt;""</formula>
    </cfRule>
  </conditionalFormatting>
  <conditionalFormatting sqref="M5:O5">
    <cfRule type="expression" dxfId="498" priority="239">
      <formula>M5&lt;&gt;""</formula>
    </cfRule>
  </conditionalFormatting>
  <conditionalFormatting sqref="J5:L5">
    <cfRule type="expression" dxfId="497" priority="238">
      <formula>J5&lt;&gt;""</formula>
    </cfRule>
  </conditionalFormatting>
  <conditionalFormatting sqref="G5:I5">
    <cfRule type="expression" dxfId="496" priority="237">
      <formula>G5&lt;&gt;""</formula>
    </cfRule>
  </conditionalFormatting>
  <conditionalFormatting sqref="D7:F7">
    <cfRule type="expression" dxfId="495" priority="236">
      <formula>D7&lt;&gt;""</formula>
    </cfRule>
  </conditionalFormatting>
  <conditionalFormatting sqref="J7:L7">
    <cfRule type="expression" dxfId="494" priority="235">
      <formula>J7&lt;&gt;""</formula>
    </cfRule>
  </conditionalFormatting>
  <conditionalFormatting sqref="M7:O7">
    <cfRule type="expression" dxfId="493" priority="234">
      <formula>M7&lt;&gt;""</formula>
    </cfRule>
  </conditionalFormatting>
  <conditionalFormatting sqref="P7:R7">
    <cfRule type="expression" dxfId="492" priority="233">
      <formula>P7&lt;&gt;""</formula>
    </cfRule>
  </conditionalFormatting>
  <conditionalFormatting sqref="P9:R9">
    <cfRule type="expression" dxfId="491" priority="232">
      <formula>P9&lt;&gt;""</formula>
    </cfRule>
  </conditionalFormatting>
  <conditionalFormatting sqref="M9:O9">
    <cfRule type="expression" dxfId="490" priority="231">
      <formula>M9&lt;&gt;""</formula>
    </cfRule>
  </conditionalFormatting>
  <conditionalFormatting sqref="G9:I9">
    <cfRule type="expression" dxfId="489" priority="230">
      <formula>G9&lt;&gt;""</formula>
    </cfRule>
  </conditionalFormatting>
  <conditionalFormatting sqref="D9:F9">
    <cfRule type="expression" dxfId="488" priority="229">
      <formula>D9&lt;&gt;""</formula>
    </cfRule>
  </conditionalFormatting>
  <conditionalFormatting sqref="D11:F11">
    <cfRule type="expression" dxfId="487" priority="228">
      <formula>D11&lt;&gt;""</formula>
    </cfRule>
  </conditionalFormatting>
  <conditionalFormatting sqref="G11:I11">
    <cfRule type="expression" dxfId="486" priority="227">
      <formula>G11&lt;&gt;""</formula>
    </cfRule>
  </conditionalFormatting>
  <conditionalFormatting sqref="J11:L11">
    <cfRule type="expression" dxfId="485" priority="226">
      <formula>J11&lt;&gt;""</formula>
    </cfRule>
  </conditionalFormatting>
  <conditionalFormatting sqref="P11:R11">
    <cfRule type="expression" dxfId="484" priority="225">
      <formula>P11&lt;&gt;""</formula>
    </cfRule>
  </conditionalFormatting>
  <conditionalFormatting sqref="M13:O13">
    <cfRule type="expression" dxfId="483" priority="224">
      <formula>M13&lt;&gt;""</formula>
    </cfRule>
  </conditionalFormatting>
  <conditionalFormatting sqref="J13:L13">
    <cfRule type="expression" dxfId="482" priority="223">
      <formula>J13&lt;&gt;""</formula>
    </cfRule>
  </conditionalFormatting>
  <conditionalFormatting sqref="G13:I13">
    <cfRule type="expression" dxfId="481" priority="222">
      <formula>G13&lt;&gt;""</formula>
    </cfRule>
  </conditionalFormatting>
  <conditionalFormatting sqref="D13:F13">
    <cfRule type="expression" dxfId="480" priority="221">
      <formula>D13&lt;&gt;""</formula>
    </cfRule>
  </conditionalFormatting>
  <conditionalFormatting sqref="S5:U5">
    <cfRule type="expression" dxfId="479" priority="220">
      <formula>S5&lt;&gt;""</formula>
    </cfRule>
  </conditionalFormatting>
  <conditionalFormatting sqref="S7:U7">
    <cfRule type="expression" dxfId="478" priority="219">
      <formula>S7&lt;&gt;""</formula>
    </cfRule>
  </conditionalFormatting>
  <conditionalFormatting sqref="S9:U9">
    <cfRule type="expression" dxfId="477" priority="218">
      <formula>S9&lt;&gt;""</formula>
    </cfRule>
  </conditionalFormatting>
  <conditionalFormatting sqref="S11:U11">
    <cfRule type="expression" dxfId="476" priority="217">
      <formula>S11&lt;&gt;""</formula>
    </cfRule>
  </conditionalFormatting>
  <conditionalFormatting sqref="S13:U13">
    <cfRule type="expression" dxfId="475" priority="216">
      <formula>S13&lt;&gt;""</formula>
    </cfRule>
  </conditionalFormatting>
  <conditionalFormatting sqref="D15:F15">
    <cfRule type="expression" dxfId="474" priority="215">
      <formula>D15&lt;&gt;""</formula>
    </cfRule>
  </conditionalFormatting>
  <conditionalFormatting sqref="G15:I15">
    <cfRule type="expression" dxfId="473" priority="214">
      <formula>G15&lt;&gt;""</formula>
    </cfRule>
  </conditionalFormatting>
  <conditionalFormatting sqref="J15:L15">
    <cfRule type="expression" dxfId="472" priority="213">
      <formula>J15&lt;&gt;""</formula>
    </cfRule>
  </conditionalFormatting>
  <conditionalFormatting sqref="M15:O15">
    <cfRule type="expression" dxfId="471" priority="212">
      <formula>M15&lt;&gt;""</formula>
    </cfRule>
  </conditionalFormatting>
  <conditionalFormatting sqref="P15:R15">
    <cfRule type="expression" dxfId="470" priority="211">
      <formula>P15&lt;&gt;""</formula>
    </cfRule>
  </conditionalFormatting>
  <conditionalFormatting sqref="P19:R19">
    <cfRule type="expression" dxfId="469" priority="210">
      <formula>P19&lt;&gt;""</formula>
    </cfRule>
  </conditionalFormatting>
  <conditionalFormatting sqref="M19:O19">
    <cfRule type="expression" dxfId="468" priority="209">
      <formula>M19&lt;&gt;""</formula>
    </cfRule>
  </conditionalFormatting>
  <conditionalFormatting sqref="J19:L19">
    <cfRule type="expression" dxfId="467" priority="208">
      <formula>J19&lt;&gt;""</formula>
    </cfRule>
  </conditionalFormatting>
  <conditionalFormatting sqref="G19:I19">
    <cfRule type="expression" dxfId="466" priority="207">
      <formula>G19&lt;&gt;""</formula>
    </cfRule>
  </conditionalFormatting>
  <conditionalFormatting sqref="D21:F21">
    <cfRule type="expression" dxfId="465" priority="206">
      <formula>D21&lt;&gt;""</formula>
    </cfRule>
  </conditionalFormatting>
  <conditionalFormatting sqref="J21:L21">
    <cfRule type="expression" dxfId="464" priority="205">
      <formula>J21&lt;&gt;""</formula>
    </cfRule>
  </conditionalFormatting>
  <conditionalFormatting sqref="M21:O21">
    <cfRule type="expression" dxfId="463" priority="204">
      <formula>M21&lt;&gt;""</formula>
    </cfRule>
  </conditionalFormatting>
  <conditionalFormatting sqref="P21:R21">
    <cfRule type="expression" dxfId="462" priority="203">
      <formula>P21&lt;&gt;""</formula>
    </cfRule>
  </conditionalFormatting>
  <conditionalFormatting sqref="P23:R23">
    <cfRule type="expression" dxfId="461" priority="202">
      <formula>P23&lt;&gt;""</formula>
    </cfRule>
  </conditionalFormatting>
  <conditionalFormatting sqref="M23:O23">
    <cfRule type="expression" dxfId="460" priority="201">
      <formula>M23&lt;&gt;""</formula>
    </cfRule>
  </conditionalFormatting>
  <conditionalFormatting sqref="G23:I23">
    <cfRule type="expression" dxfId="459" priority="200">
      <formula>G23&lt;&gt;""</formula>
    </cfRule>
  </conditionalFormatting>
  <conditionalFormatting sqref="D23:F23">
    <cfRule type="expression" dxfId="458" priority="199">
      <formula>D23&lt;&gt;""</formula>
    </cfRule>
  </conditionalFormatting>
  <conditionalFormatting sqref="D25:F25">
    <cfRule type="expression" dxfId="457" priority="198">
      <formula>D25&lt;&gt;""</formula>
    </cfRule>
  </conditionalFormatting>
  <conditionalFormatting sqref="G25:I25">
    <cfRule type="expression" dxfId="456" priority="197">
      <formula>G25&lt;&gt;""</formula>
    </cfRule>
  </conditionalFormatting>
  <conditionalFormatting sqref="J25:L25">
    <cfRule type="expression" dxfId="455" priority="196">
      <formula>J25&lt;&gt;""</formula>
    </cfRule>
  </conditionalFormatting>
  <conditionalFormatting sqref="P25:R25">
    <cfRule type="expression" dxfId="454" priority="195">
      <formula>P25&lt;&gt;""</formula>
    </cfRule>
  </conditionalFormatting>
  <conditionalFormatting sqref="M27:O27">
    <cfRule type="expression" dxfId="453" priority="194">
      <formula>M27&lt;&gt;""</formula>
    </cfRule>
  </conditionalFormatting>
  <conditionalFormatting sqref="J27:L27">
    <cfRule type="expression" dxfId="452" priority="193">
      <formula>J27&lt;&gt;""</formula>
    </cfRule>
  </conditionalFormatting>
  <conditionalFormatting sqref="G27:I27">
    <cfRule type="expression" dxfId="451" priority="192">
      <formula>G27&lt;&gt;""</formula>
    </cfRule>
  </conditionalFormatting>
  <conditionalFormatting sqref="D27:F27">
    <cfRule type="expression" dxfId="450" priority="191">
      <formula>D27&lt;&gt;""</formula>
    </cfRule>
  </conditionalFormatting>
  <conditionalFormatting sqref="S19:U19">
    <cfRule type="expression" dxfId="449" priority="190">
      <formula>S19&lt;&gt;""</formula>
    </cfRule>
  </conditionalFormatting>
  <conditionalFormatting sqref="S21:U21">
    <cfRule type="expression" dxfId="448" priority="189">
      <formula>S21&lt;&gt;""</formula>
    </cfRule>
  </conditionalFormatting>
  <conditionalFormatting sqref="S23:U23">
    <cfRule type="expression" dxfId="447" priority="188">
      <formula>S23&lt;&gt;""</formula>
    </cfRule>
  </conditionalFormatting>
  <conditionalFormatting sqref="S25:U25">
    <cfRule type="expression" dxfId="446" priority="187">
      <formula>S25&lt;&gt;""</formula>
    </cfRule>
  </conditionalFormatting>
  <conditionalFormatting sqref="S27:U27">
    <cfRule type="expression" dxfId="445" priority="186">
      <formula>S27&lt;&gt;""</formula>
    </cfRule>
  </conditionalFormatting>
  <conditionalFormatting sqref="D29:F29">
    <cfRule type="expression" dxfId="444" priority="185">
      <formula>D29&lt;&gt;""</formula>
    </cfRule>
  </conditionalFormatting>
  <conditionalFormatting sqref="G29:I29">
    <cfRule type="expression" dxfId="443" priority="184">
      <formula>G29&lt;&gt;""</formula>
    </cfRule>
  </conditionalFormatting>
  <conditionalFormatting sqref="J29:L29">
    <cfRule type="expression" dxfId="442" priority="183">
      <formula>J29&lt;&gt;""</formula>
    </cfRule>
  </conditionalFormatting>
  <conditionalFormatting sqref="M29:O29">
    <cfRule type="expression" dxfId="441" priority="182">
      <formula>M29&lt;&gt;""</formula>
    </cfRule>
  </conditionalFormatting>
  <conditionalFormatting sqref="P29:R29">
    <cfRule type="expression" dxfId="440" priority="181">
      <formula>P29&lt;&gt;""</formula>
    </cfRule>
  </conditionalFormatting>
  <conditionalFormatting sqref="P33:R33">
    <cfRule type="expression" dxfId="439" priority="180">
      <formula>P33&lt;&gt;""</formula>
    </cfRule>
  </conditionalFormatting>
  <conditionalFormatting sqref="M33:O33">
    <cfRule type="expression" dxfId="438" priority="179">
      <formula>M33&lt;&gt;""</formula>
    </cfRule>
  </conditionalFormatting>
  <conditionalFormatting sqref="J33:L33">
    <cfRule type="expression" dxfId="437" priority="178">
      <formula>J33&lt;&gt;""</formula>
    </cfRule>
  </conditionalFormatting>
  <conditionalFormatting sqref="G33:I33">
    <cfRule type="expression" dxfId="436" priority="177">
      <formula>G33&lt;&gt;""</formula>
    </cfRule>
  </conditionalFormatting>
  <conditionalFormatting sqref="D35:F35">
    <cfRule type="expression" dxfId="435" priority="176">
      <formula>D35&lt;&gt;""</formula>
    </cfRule>
  </conditionalFormatting>
  <conditionalFormatting sqref="J35:L35">
    <cfRule type="expression" dxfId="434" priority="175">
      <formula>J35&lt;&gt;""</formula>
    </cfRule>
  </conditionalFormatting>
  <conditionalFormatting sqref="M35:O35">
    <cfRule type="expression" dxfId="433" priority="174">
      <formula>M35&lt;&gt;""</formula>
    </cfRule>
  </conditionalFormatting>
  <conditionalFormatting sqref="P35:R35">
    <cfRule type="expression" dxfId="432" priority="173">
      <formula>P35&lt;&gt;""</formula>
    </cfRule>
  </conditionalFormatting>
  <conditionalFormatting sqref="P37:R37">
    <cfRule type="expression" dxfId="431" priority="172">
      <formula>P37&lt;&gt;""</formula>
    </cfRule>
  </conditionalFormatting>
  <conditionalFormatting sqref="M37:O37">
    <cfRule type="expression" dxfId="430" priority="171">
      <formula>M37&lt;&gt;""</formula>
    </cfRule>
  </conditionalFormatting>
  <conditionalFormatting sqref="G37:I37">
    <cfRule type="expression" dxfId="429" priority="170">
      <formula>G37&lt;&gt;""</formula>
    </cfRule>
  </conditionalFormatting>
  <conditionalFormatting sqref="D37:F37">
    <cfRule type="expression" dxfId="428" priority="169">
      <formula>D37&lt;&gt;""</formula>
    </cfRule>
  </conditionalFormatting>
  <conditionalFormatting sqref="D39:F39">
    <cfRule type="expression" dxfId="427" priority="168">
      <formula>D39&lt;&gt;""</formula>
    </cfRule>
  </conditionalFormatting>
  <conditionalFormatting sqref="G39:I39">
    <cfRule type="expression" dxfId="426" priority="167">
      <formula>G39&lt;&gt;""</formula>
    </cfRule>
  </conditionalFormatting>
  <conditionalFormatting sqref="J39:L39">
    <cfRule type="expression" dxfId="425" priority="166">
      <formula>J39&lt;&gt;""</formula>
    </cfRule>
  </conditionalFormatting>
  <conditionalFormatting sqref="P39:R39">
    <cfRule type="expression" dxfId="424" priority="165">
      <formula>P39&lt;&gt;""</formula>
    </cfRule>
  </conditionalFormatting>
  <conditionalFormatting sqref="M41:O41">
    <cfRule type="expression" dxfId="423" priority="164">
      <formula>M41&lt;&gt;""</formula>
    </cfRule>
  </conditionalFormatting>
  <conditionalFormatting sqref="J41:L41">
    <cfRule type="expression" dxfId="422" priority="163">
      <formula>J41&lt;&gt;""</formula>
    </cfRule>
  </conditionalFormatting>
  <conditionalFormatting sqref="G41:I41">
    <cfRule type="expression" dxfId="421" priority="162">
      <formula>G41&lt;&gt;""</formula>
    </cfRule>
  </conditionalFormatting>
  <conditionalFormatting sqref="D41:F41">
    <cfRule type="expression" dxfId="420" priority="161">
      <formula>D41&lt;&gt;""</formula>
    </cfRule>
  </conditionalFormatting>
  <conditionalFormatting sqref="S33:U33">
    <cfRule type="expression" dxfId="419" priority="160">
      <formula>S33&lt;&gt;""</formula>
    </cfRule>
  </conditionalFormatting>
  <conditionalFormatting sqref="S35:U35">
    <cfRule type="expression" dxfId="418" priority="159">
      <formula>S35&lt;&gt;""</formula>
    </cfRule>
  </conditionalFormatting>
  <conditionalFormatting sqref="S37:U37">
    <cfRule type="expression" dxfId="417" priority="158">
      <formula>S37&lt;&gt;""</formula>
    </cfRule>
  </conditionalFormatting>
  <conditionalFormatting sqref="S39:U39">
    <cfRule type="expression" dxfId="416" priority="157">
      <formula>S39&lt;&gt;""</formula>
    </cfRule>
  </conditionalFormatting>
  <conditionalFormatting sqref="S41:U41">
    <cfRule type="expression" dxfId="415" priority="156">
      <formula>S41&lt;&gt;""</formula>
    </cfRule>
  </conditionalFormatting>
  <conditionalFormatting sqref="D43:F43">
    <cfRule type="expression" dxfId="414" priority="155">
      <formula>D43&lt;&gt;""</formula>
    </cfRule>
  </conditionalFormatting>
  <conditionalFormatting sqref="G43:I43">
    <cfRule type="expression" dxfId="413" priority="154">
      <formula>G43&lt;&gt;""</formula>
    </cfRule>
  </conditionalFormatting>
  <conditionalFormatting sqref="J43:L43">
    <cfRule type="expression" dxfId="412" priority="153">
      <formula>J43&lt;&gt;""</formula>
    </cfRule>
  </conditionalFormatting>
  <conditionalFormatting sqref="M43:O43">
    <cfRule type="expression" dxfId="411" priority="152">
      <formula>M43&lt;&gt;""</formula>
    </cfRule>
  </conditionalFormatting>
  <conditionalFormatting sqref="P43:R43">
    <cfRule type="expression" dxfId="410" priority="151">
      <formula>P43&lt;&gt;""</formula>
    </cfRule>
  </conditionalFormatting>
  <conditionalFormatting sqref="P47:R47">
    <cfRule type="expression" dxfId="409" priority="150">
      <formula>P47&lt;&gt;""</formula>
    </cfRule>
  </conditionalFormatting>
  <conditionalFormatting sqref="M47:O47">
    <cfRule type="expression" dxfId="408" priority="149">
      <formula>M47&lt;&gt;""</formula>
    </cfRule>
  </conditionalFormatting>
  <conditionalFormatting sqref="J47:L47">
    <cfRule type="expression" dxfId="407" priority="148">
      <formula>J47&lt;&gt;""</formula>
    </cfRule>
  </conditionalFormatting>
  <conditionalFormatting sqref="G47:I47">
    <cfRule type="expression" dxfId="406" priority="147">
      <formula>G47&lt;&gt;""</formula>
    </cfRule>
  </conditionalFormatting>
  <conditionalFormatting sqref="D49:F49">
    <cfRule type="expression" dxfId="405" priority="146">
      <formula>D49&lt;&gt;""</formula>
    </cfRule>
  </conditionalFormatting>
  <conditionalFormatting sqref="J49:L49">
    <cfRule type="expression" dxfId="404" priority="145">
      <formula>J49&lt;&gt;""</formula>
    </cfRule>
  </conditionalFormatting>
  <conditionalFormatting sqref="M49:O49">
    <cfRule type="expression" dxfId="403" priority="144">
      <formula>M49&lt;&gt;""</formula>
    </cfRule>
  </conditionalFormatting>
  <conditionalFormatting sqref="P49:R49">
    <cfRule type="expression" dxfId="402" priority="143">
      <formula>P49&lt;&gt;""</formula>
    </cfRule>
  </conditionalFormatting>
  <conditionalFormatting sqref="P51:R51">
    <cfRule type="expression" dxfId="401" priority="142">
      <formula>P51&lt;&gt;""</formula>
    </cfRule>
  </conditionalFormatting>
  <conditionalFormatting sqref="M51:O51">
    <cfRule type="expression" dxfId="400" priority="141">
      <formula>M51&lt;&gt;""</formula>
    </cfRule>
  </conditionalFormatting>
  <conditionalFormatting sqref="G51:I51">
    <cfRule type="expression" dxfId="399" priority="140">
      <formula>G51&lt;&gt;""</formula>
    </cfRule>
  </conditionalFormatting>
  <conditionalFormatting sqref="D51:F51">
    <cfRule type="expression" dxfId="398" priority="139">
      <formula>D51&lt;&gt;""</formula>
    </cfRule>
  </conditionalFormatting>
  <conditionalFormatting sqref="D53:F53">
    <cfRule type="expression" dxfId="397" priority="138">
      <formula>D53&lt;&gt;""</formula>
    </cfRule>
  </conditionalFormatting>
  <conditionalFormatting sqref="G53:I53">
    <cfRule type="expression" dxfId="396" priority="137">
      <formula>G53&lt;&gt;""</formula>
    </cfRule>
  </conditionalFormatting>
  <conditionalFormatting sqref="J53:L53">
    <cfRule type="expression" dxfId="395" priority="136">
      <formula>J53&lt;&gt;""</formula>
    </cfRule>
  </conditionalFormatting>
  <conditionalFormatting sqref="P53:R53">
    <cfRule type="expression" dxfId="394" priority="135">
      <formula>P53&lt;&gt;""</formula>
    </cfRule>
  </conditionalFormatting>
  <conditionalFormatting sqref="M55:O55">
    <cfRule type="expression" dxfId="393" priority="134">
      <formula>M55&lt;&gt;""</formula>
    </cfRule>
  </conditionalFormatting>
  <conditionalFormatting sqref="J55:L55">
    <cfRule type="expression" dxfId="392" priority="133">
      <formula>J55&lt;&gt;""</formula>
    </cfRule>
  </conditionalFormatting>
  <conditionalFormatting sqref="G55:I55">
    <cfRule type="expression" dxfId="391" priority="132">
      <formula>G55&lt;&gt;""</formula>
    </cfRule>
  </conditionalFormatting>
  <conditionalFormatting sqref="D55:F55">
    <cfRule type="expression" dxfId="390" priority="131">
      <formula>D55&lt;&gt;""</formula>
    </cfRule>
  </conditionalFormatting>
  <conditionalFormatting sqref="S47:U47">
    <cfRule type="expression" dxfId="389" priority="130">
      <formula>S47&lt;&gt;""</formula>
    </cfRule>
  </conditionalFormatting>
  <conditionalFormatting sqref="S49:U49">
    <cfRule type="expression" dxfId="388" priority="129">
      <formula>S49&lt;&gt;""</formula>
    </cfRule>
  </conditionalFormatting>
  <conditionalFormatting sqref="S51:U51">
    <cfRule type="expression" dxfId="387" priority="128">
      <formula>S51&lt;&gt;""</formula>
    </cfRule>
  </conditionalFormatting>
  <conditionalFormatting sqref="S53:U53">
    <cfRule type="expression" dxfId="386" priority="127">
      <formula>S53&lt;&gt;""</formula>
    </cfRule>
  </conditionalFormatting>
  <conditionalFormatting sqref="S55:U55">
    <cfRule type="expression" dxfId="385" priority="126">
      <formula>S55&lt;&gt;""</formula>
    </cfRule>
  </conditionalFormatting>
  <conditionalFormatting sqref="D57:F57">
    <cfRule type="expression" dxfId="384" priority="125">
      <formula>D57&lt;&gt;""</formula>
    </cfRule>
  </conditionalFormatting>
  <conditionalFormatting sqref="G57:I57">
    <cfRule type="expression" dxfId="383" priority="124">
      <formula>G57&lt;&gt;""</formula>
    </cfRule>
  </conditionalFormatting>
  <conditionalFormatting sqref="J57:L57">
    <cfRule type="expression" dxfId="382" priority="123">
      <formula>J57&lt;&gt;""</formula>
    </cfRule>
  </conditionalFormatting>
  <conditionalFormatting sqref="M57:O57">
    <cfRule type="expression" dxfId="381" priority="122">
      <formula>M57&lt;&gt;""</formula>
    </cfRule>
  </conditionalFormatting>
  <conditionalFormatting sqref="P57:R57">
    <cfRule type="expression" dxfId="380" priority="121">
      <formula>P57&lt;&gt;""</formula>
    </cfRule>
  </conditionalFormatting>
  <conditionalFormatting sqref="AP5:AR5">
    <cfRule type="expression" dxfId="379" priority="120">
      <formula>AP5&lt;&gt;""</formula>
    </cfRule>
  </conditionalFormatting>
  <conditionalFormatting sqref="AM5:AO5">
    <cfRule type="expression" dxfId="378" priority="119">
      <formula>AM5&lt;&gt;""</formula>
    </cfRule>
  </conditionalFormatting>
  <conditionalFormatting sqref="AJ5:AL5">
    <cfRule type="expression" dxfId="377" priority="118">
      <formula>AJ5&lt;&gt;""</formula>
    </cfRule>
  </conditionalFormatting>
  <conditionalFormatting sqref="AG5:AI5">
    <cfRule type="expression" dxfId="376" priority="117">
      <formula>AG5&lt;&gt;""</formula>
    </cfRule>
  </conditionalFormatting>
  <conditionalFormatting sqref="AD7:AF7">
    <cfRule type="expression" dxfId="375" priority="116">
      <formula>AD7&lt;&gt;""</formula>
    </cfRule>
  </conditionalFormatting>
  <conditionalFormatting sqref="AJ7:AL7">
    <cfRule type="expression" dxfId="374" priority="115">
      <formula>AJ7&lt;&gt;""</formula>
    </cfRule>
  </conditionalFormatting>
  <conditionalFormatting sqref="AM7:AO7">
    <cfRule type="expression" dxfId="373" priority="114">
      <formula>AM7&lt;&gt;""</formula>
    </cfRule>
  </conditionalFormatting>
  <conditionalFormatting sqref="AP7:AR7">
    <cfRule type="expression" dxfId="372" priority="113">
      <formula>AP7&lt;&gt;""</formula>
    </cfRule>
  </conditionalFormatting>
  <conditionalFormatting sqref="AP9:AR9">
    <cfRule type="expression" dxfId="371" priority="112">
      <formula>AP9&lt;&gt;""</formula>
    </cfRule>
  </conditionalFormatting>
  <conditionalFormatting sqref="AM9:AO9">
    <cfRule type="expression" dxfId="370" priority="111">
      <formula>AM9&lt;&gt;""</formula>
    </cfRule>
  </conditionalFormatting>
  <conditionalFormatting sqref="AG9:AI9">
    <cfRule type="expression" dxfId="369" priority="110">
      <formula>AG9&lt;&gt;""</formula>
    </cfRule>
  </conditionalFormatting>
  <conditionalFormatting sqref="AD9:AF9">
    <cfRule type="expression" dxfId="368" priority="109">
      <formula>AD9&lt;&gt;""</formula>
    </cfRule>
  </conditionalFormatting>
  <conditionalFormatting sqref="AD11:AF11">
    <cfRule type="expression" dxfId="367" priority="108">
      <formula>AD11&lt;&gt;""</formula>
    </cfRule>
  </conditionalFormatting>
  <conditionalFormatting sqref="AG11:AI11">
    <cfRule type="expression" dxfId="366" priority="107">
      <formula>AG11&lt;&gt;""</formula>
    </cfRule>
  </conditionalFormatting>
  <conditionalFormatting sqref="AJ11:AL11">
    <cfRule type="expression" dxfId="365" priority="106">
      <formula>AJ11&lt;&gt;""</formula>
    </cfRule>
  </conditionalFormatting>
  <conditionalFormatting sqref="AP11:AR11">
    <cfRule type="expression" dxfId="364" priority="105">
      <formula>AP11&lt;&gt;""</formula>
    </cfRule>
  </conditionalFormatting>
  <conditionalFormatting sqref="AM13:AO13">
    <cfRule type="expression" dxfId="363" priority="104">
      <formula>AM13&lt;&gt;""</formula>
    </cfRule>
  </conditionalFormatting>
  <conditionalFormatting sqref="AJ13:AL13">
    <cfRule type="expression" dxfId="362" priority="103">
      <formula>AJ13&lt;&gt;""</formula>
    </cfRule>
  </conditionalFormatting>
  <conditionalFormatting sqref="AG13:AI13">
    <cfRule type="expression" dxfId="361" priority="102">
      <formula>AG13&lt;&gt;""</formula>
    </cfRule>
  </conditionalFormatting>
  <conditionalFormatting sqref="AD13:AF13">
    <cfRule type="expression" dxfId="360" priority="101">
      <formula>AD13&lt;&gt;""</formula>
    </cfRule>
  </conditionalFormatting>
  <conditionalFormatting sqref="AS5:AU5">
    <cfRule type="expression" dxfId="359" priority="100">
      <formula>AS5&lt;&gt;""</formula>
    </cfRule>
  </conditionalFormatting>
  <conditionalFormatting sqref="AS7:AU7">
    <cfRule type="expression" dxfId="358" priority="99">
      <formula>AS7&lt;&gt;""</formula>
    </cfRule>
  </conditionalFormatting>
  <conditionalFormatting sqref="AS9:AU9">
    <cfRule type="expression" dxfId="357" priority="98">
      <formula>AS9&lt;&gt;""</formula>
    </cfRule>
  </conditionalFormatting>
  <conditionalFormatting sqref="AS11:AU11">
    <cfRule type="expression" dxfId="356" priority="97">
      <formula>AS11&lt;&gt;""</formula>
    </cfRule>
  </conditionalFormatting>
  <conditionalFormatting sqref="AS13:AU13">
    <cfRule type="expression" dxfId="355" priority="96">
      <formula>AS13&lt;&gt;""</formula>
    </cfRule>
  </conditionalFormatting>
  <conditionalFormatting sqref="AD15:AF15">
    <cfRule type="expression" dxfId="354" priority="95">
      <formula>AD15&lt;&gt;""</formula>
    </cfRule>
  </conditionalFormatting>
  <conditionalFormatting sqref="AG15:AI15">
    <cfRule type="expression" dxfId="353" priority="94">
      <formula>AG15&lt;&gt;""</formula>
    </cfRule>
  </conditionalFormatting>
  <conditionalFormatting sqref="AJ15:AL15">
    <cfRule type="expression" dxfId="352" priority="93">
      <formula>AJ15&lt;&gt;""</formula>
    </cfRule>
  </conditionalFormatting>
  <conditionalFormatting sqref="AM15:AO15">
    <cfRule type="expression" dxfId="351" priority="92">
      <formula>AM15&lt;&gt;""</formula>
    </cfRule>
  </conditionalFormatting>
  <conditionalFormatting sqref="AP15:AR15">
    <cfRule type="expression" dxfId="350" priority="91">
      <formula>AP15&lt;&gt;""</formula>
    </cfRule>
  </conditionalFormatting>
  <conditionalFormatting sqref="AP19:AR19">
    <cfRule type="expression" dxfId="349" priority="90">
      <formula>AP19&lt;&gt;""</formula>
    </cfRule>
  </conditionalFormatting>
  <conditionalFormatting sqref="AM19:AO19">
    <cfRule type="expression" dxfId="348" priority="89">
      <formula>AM19&lt;&gt;""</formula>
    </cfRule>
  </conditionalFormatting>
  <conditionalFormatting sqref="AJ19:AL19">
    <cfRule type="expression" dxfId="347" priority="88">
      <formula>AJ19&lt;&gt;""</formula>
    </cfRule>
  </conditionalFormatting>
  <conditionalFormatting sqref="AG19:AI19">
    <cfRule type="expression" dxfId="346" priority="87">
      <formula>AG19&lt;&gt;""</formula>
    </cfRule>
  </conditionalFormatting>
  <conditionalFormatting sqref="AD21:AF21">
    <cfRule type="expression" dxfId="345" priority="86">
      <formula>AD21&lt;&gt;""</formula>
    </cfRule>
  </conditionalFormatting>
  <conditionalFormatting sqref="AJ21:AL21">
    <cfRule type="expression" dxfId="344" priority="85">
      <formula>AJ21&lt;&gt;""</formula>
    </cfRule>
  </conditionalFormatting>
  <conditionalFormatting sqref="AM21:AO21">
    <cfRule type="expression" dxfId="343" priority="84">
      <formula>AM21&lt;&gt;""</formula>
    </cfRule>
  </conditionalFormatting>
  <conditionalFormatting sqref="AP21:AR21">
    <cfRule type="expression" dxfId="342" priority="83">
      <formula>AP21&lt;&gt;""</formula>
    </cfRule>
  </conditionalFormatting>
  <conditionalFormatting sqref="AP23:AR23">
    <cfRule type="expression" dxfId="341" priority="82">
      <formula>AP23&lt;&gt;""</formula>
    </cfRule>
  </conditionalFormatting>
  <conditionalFormatting sqref="AM23:AO23">
    <cfRule type="expression" dxfId="340" priority="81">
      <formula>AM23&lt;&gt;""</formula>
    </cfRule>
  </conditionalFormatting>
  <conditionalFormatting sqref="AG23:AI23">
    <cfRule type="expression" dxfId="339" priority="80">
      <formula>AG23&lt;&gt;""</formula>
    </cfRule>
  </conditionalFormatting>
  <conditionalFormatting sqref="AD23:AF23">
    <cfRule type="expression" dxfId="338" priority="79">
      <formula>AD23&lt;&gt;""</formula>
    </cfRule>
  </conditionalFormatting>
  <conditionalFormatting sqref="AD25:AF25">
    <cfRule type="expression" dxfId="337" priority="78">
      <formula>AD25&lt;&gt;""</formula>
    </cfRule>
  </conditionalFormatting>
  <conditionalFormatting sqref="AG25:AI25">
    <cfRule type="expression" dxfId="336" priority="77">
      <formula>AG25&lt;&gt;""</formula>
    </cfRule>
  </conditionalFormatting>
  <conditionalFormatting sqref="AJ25:AL25">
    <cfRule type="expression" dxfId="335" priority="76">
      <formula>AJ25&lt;&gt;""</formula>
    </cfRule>
  </conditionalFormatting>
  <conditionalFormatting sqref="AP25:AR25">
    <cfRule type="expression" dxfId="334" priority="75">
      <formula>AP25&lt;&gt;""</formula>
    </cfRule>
  </conditionalFormatting>
  <conditionalFormatting sqref="AM27:AO27">
    <cfRule type="expression" dxfId="333" priority="74">
      <formula>AM27&lt;&gt;""</formula>
    </cfRule>
  </conditionalFormatting>
  <conditionalFormatting sqref="AJ27:AL27">
    <cfRule type="expression" dxfId="332" priority="73">
      <formula>AJ27&lt;&gt;""</formula>
    </cfRule>
  </conditionalFormatting>
  <conditionalFormatting sqref="AG27:AI27">
    <cfRule type="expression" dxfId="331" priority="72">
      <formula>AG27&lt;&gt;""</formula>
    </cfRule>
  </conditionalFormatting>
  <conditionalFormatting sqref="AD27:AF27">
    <cfRule type="expression" dxfId="330" priority="71">
      <formula>AD27&lt;&gt;""</formula>
    </cfRule>
  </conditionalFormatting>
  <conditionalFormatting sqref="AS19:AU19">
    <cfRule type="expression" dxfId="329" priority="70">
      <formula>AS19&lt;&gt;""</formula>
    </cfRule>
  </conditionalFormatting>
  <conditionalFormatting sqref="AS21:AU21">
    <cfRule type="expression" dxfId="328" priority="69">
      <formula>AS21&lt;&gt;""</formula>
    </cfRule>
  </conditionalFormatting>
  <conditionalFormatting sqref="AS23:AU23">
    <cfRule type="expression" dxfId="327" priority="68">
      <formula>AS23&lt;&gt;""</formula>
    </cfRule>
  </conditionalFormatting>
  <conditionalFormatting sqref="AS25:AU25">
    <cfRule type="expression" dxfId="326" priority="67">
      <formula>AS25&lt;&gt;""</formula>
    </cfRule>
  </conditionalFormatting>
  <conditionalFormatting sqref="AS27:AU27">
    <cfRule type="expression" dxfId="325" priority="66">
      <formula>AS27&lt;&gt;""</formula>
    </cfRule>
  </conditionalFormatting>
  <conditionalFormatting sqref="AD29:AF29">
    <cfRule type="expression" dxfId="324" priority="65">
      <formula>AD29&lt;&gt;""</formula>
    </cfRule>
  </conditionalFormatting>
  <conditionalFormatting sqref="AG29:AI29">
    <cfRule type="expression" dxfId="323" priority="64">
      <formula>AG29&lt;&gt;""</formula>
    </cfRule>
  </conditionalFormatting>
  <conditionalFormatting sqref="AJ29:AL29">
    <cfRule type="expression" dxfId="322" priority="63">
      <formula>AJ29&lt;&gt;""</formula>
    </cfRule>
  </conditionalFormatting>
  <conditionalFormatting sqref="AM29:AO29">
    <cfRule type="expression" dxfId="321" priority="62">
      <formula>AM29&lt;&gt;""</formula>
    </cfRule>
  </conditionalFormatting>
  <conditionalFormatting sqref="AP29:AR29">
    <cfRule type="expression" dxfId="320" priority="61">
      <formula>AP29&lt;&gt;""</formula>
    </cfRule>
  </conditionalFormatting>
  <conditionalFormatting sqref="AP33:AR33">
    <cfRule type="expression" dxfId="319" priority="60">
      <formula>AP33&lt;&gt;""</formula>
    </cfRule>
  </conditionalFormatting>
  <conditionalFormatting sqref="AM33:AO33">
    <cfRule type="expression" dxfId="318" priority="59">
      <formula>AM33&lt;&gt;""</formula>
    </cfRule>
  </conditionalFormatting>
  <conditionalFormatting sqref="AJ33:AL33">
    <cfRule type="expression" dxfId="317" priority="58">
      <formula>AJ33&lt;&gt;""</formula>
    </cfRule>
  </conditionalFormatting>
  <conditionalFormatting sqref="AG33:AI33">
    <cfRule type="expression" dxfId="316" priority="57">
      <formula>AG33&lt;&gt;""</formula>
    </cfRule>
  </conditionalFormatting>
  <conditionalFormatting sqref="AD35:AF35">
    <cfRule type="expression" dxfId="315" priority="56">
      <formula>AD35&lt;&gt;""</formula>
    </cfRule>
  </conditionalFormatting>
  <conditionalFormatting sqref="AJ35:AL35">
    <cfRule type="expression" dxfId="314" priority="55">
      <formula>AJ35&lt;&gt;""</formula>
    </cfRule>
  </conditionalFormatting>
  <conditionalFormatting sqref="AM35:AO35">
    <cfRule type="expression" dxfId="313" priority="54">
      <formula>AM35&lt;&gt;""</formula>
    </cfRule>
  </conditionalFormatting>
  <conditionalFormatting sqref="AP35:AR35">
    <cfRule type="expression" dxfId="312" priority="53">
      <formula>AP35&lt;&gt;""</formula>
    </cfRule>
  </conditionalFormatting>
  <conditionalFormatting sqref="AP37:AR37">
    <cfRule type="expression" dxfId="311" priority="52">
      <formula>AP37&lt;&gt;""</formula>
    </cfRule>
  </conditionalFormatting>
  <conditionalFormatting sqref="AM37:AO37">
    <cfRule type="expression" dxfId="310" priority="51">
      <formula>AM37&lt;&gt;""</formula>
    </cfRule>
  </conditionalFormatting>
  <conditionalFormatting sqref="AG37:AI37">
    <cfRule type="expression" dxfId="309" priority="50">
      <formula>AG37&lt;&gt;""</formula>
    </cfRule>
  </conditionalFormatting>
  <conditionalFormatting sqref="AD37:AF37">
    <cfRule type="expression" dxfId="308" priority="49">
      <formula>AD37&lt;&gt;""</formula>
    </cfRule>
  </conditionalFormatting>
  <conditionalFormatting sqref="AD39:AF39">
    <cfRule type="expression" dxfId="307" priority="48">
      <formula>AD39&lt;&gt;""</formula>
    </cfRule>
  </conditionalFormatting>
  <conditionalFormatting sqref="AG39:AI39">
    <cfRule type="expression" dxfId="306" priority="47">
      <formula>AG39&lt;&gt;""</formula>
    </cfRule>
  </conditionalFormatting>
  <conditionalFormatting sqref="AJ39:AL39">
    <cfRule type="expression" dxfId="305" priority="46">
      <formula>AJ39&lt;&gt;""</formula>
    </cfRule>
  </conditionalFormatting>
  <conditionalFormatting sqref="AP39:AR39">
    <cfRule type="expression" dxfId="304" priority="45">
      <formula>AP39&lt;&gt;""</formula>
    </cfRule>
  </conditionalFormatting>
  <conditionalFormatting sqref="AM41:AO41">
    <cfRule type="expression" dxfId="303" priority="44">
      <formula>AM41&lt;&gt;""</formula>
    </cfRule>
  </conditionalFormatting>
  <conditionalFormatting sqref="AJ41:AL41">
    <cfRule type="expression" dxfId="302" priority="43">
      <formula>AJ41&lt;&gt;""</formula>
    </cfRule>
  </conditionalFormatting>
  <conditionalFormatting sqref="AG41:AI41">
    <cfRule type="expression" dxfId="301" priority="42">
      <formula>AG41&lt;&gt;""</formula>
    </cfRule>
  </conditionalFormatting>
  <conditionalFormatting sqref="AD41:AF41">
    <cfRule type="expression" dxfId="300" priority="41">
      <formula>AD41&lt;&gt;""</formula>
    </cfRule>
  </conditionalFormatting>
  <conditionalFormatting sqref="AS33:AU33">
    <cfRule type="expression" dxfId="299" priority="40">
      <formula>AS33&lt;&gt;""</formula>
    </cfRule>
  </conditionalFormatting>
  <conditionalFormatting sqref="AS35:AU35">
    <cfRule type="expression" dxfId="298" priority="39">
      <formula>AS35&lt;&gt;""</formula>
    </cfRule>
  </conditionalFormatting>
  <conditionalFormatting sqref="AS37:AU37">
    <cfRule type="expression" dxfId="297" priority="38">
      <formula>AS37&lt;&gt;""</formula>
    </cfRule>
  </conditionalFormatting>
  <conditionalFormatting sqref="AS39:AU39">
    <cfRule type="expression" dxfId="296" priority="37">
      <formula>AS39&lt;&gt;""</formula>
    </cfRule>
  </conditionalFormatting>
  <conditionalFormatting sqref="AS41:AU41">
    <cfRule type="expression" dxfId="295" priority="36">
      <formula>AS41&lt;&gt;""</formula>
    </cfRule>
  </conditionalFormatting>
  <conditionalFormatting sqref="AD43:AF43">
    <cfRule type="expression" dxfId="294" priority="35">
      <formula>AD43&lt;&gt;""</formula>
    </cfRule>
  </conditionalFormatting>
  <conditionalFormatting sqref="AG43:AI43">
    <cfRule type="expression" dxfId="293" priority="34">
      <formula>AG43&lt;&gt;""</formula>
    </cfRule>
  </conditionalFormatting>
  <conditionalFormatting sqref="AJ43:AL43">
    <cfRule type="expression" dxfId="292" priority="33">
      <formula>AJ43&lt;&gt;""</formula>
    </cfRule>
  </conditionalFormatting>
  <conditionalFormatting sqref="AM43:AO43">
    <cfRule type="expression" dxfId="291" priority="32">
      <formula>AM43&lt;&gt;""</formula>
    </cfRule>
  </conditionalFormatting>
  <conditionalFormatting sqref="AP43:AR43">
    <cfRule type="expression" dxfId="290" priority="31">
      <formula>AP43&lt;&gt;""</formula>
    </cfRule>
  </conditionalFormatting>
  <conditionalFormatting sqref="AP47:AR47">
    <cfRule type="expression" dxfId="289" priority="30">
      <formula>AP47&lt;&gt;""</formula>
    </cfRule>
  </conditionalFormatting>
  <conditionalFormatting sqref="AM47:AO47">
    <cfRule type="expression" dxfId="288" priority="29">
      <formula>AM47&lt;&gt;""</formula>
    </cfRule>
  </conditionalFormatting>
  <conditionalFormatting sqref="AJ47:AL47">
    <cfRule type="expression" dxfId="287" priority="28">
      <formula>AJ47&lt;&gt;""</formula>
    </cfRule>
  </conditionalFormatting>
  <conditionalFormatting sqref="AG47:AI47">
    <cfRule type="expression" dxfId="286" priority="27">
      <formula>AG47&lt;&gt;""</formula>
    </cfRule>
  </conditionalFormatting>
  <conditionalFormatting sqref="AD49:AF49">
    <cfRule type="expression" dxfId="285" priority="26">
      <formula>AD49&lt;&gt;""</formula>
    </cfRule>
  </conditionalFormatting>
  <conditionalFormatting sqref="AJ49:AL49">
    <cfRule type="expression" dxfId="284" priority="25">
      <formula>AJ49&lt;&gt;""</formula>
    </cfRule>
  </conditionalFormatting>
  <conditionalFormatting sqref="AM49:AO49">
    <cfRule type="expression" dxfId="283" priority="24">
      <formula>AM49&lt;&gt;""</formula>
    </cfRule>
  </conditionalFormatting>
  <conditionalFormatting sqref="AP49:AR49">
    <cfRule type="expression" dxfId="282" priority="23">
      <formula>AP49&lt;&gt;""</formula>
    </cfRule>
  </conditionalFormatting>
  <conditionalFormatting sqref="AP51:AR51">
    <cfRule type="expression" dxfId="281" priority="22">
      <formula>AP51&lt;&gt;""</formula>
    </cfRule>
  </conditionalFormatting>
  <conditionalFormatting sqref="AM51:AO51">
    <cfRule type="expression" dxfId="280" priority="21">
      <formula>AM51&lt;&gt;""</formula>
    </cfRule>
  </conditionalFormatting>
  <conditionalFormatting sqref="AG51:AI51">
    <cfRule type="expression" dxfId="279" priority="20">
      <formula>AG51&lt;&gt;""</formula>
    </cfRule>
  </conditionalFormatting>
  <conditionalFormatting sqref="AD51:AF51">
    <cfRule type="expression" dxfId="278" priority="19">
      <formula>AD51&lt;&gt;""</formula>
    </cfRule>
  </conditionalFormatting>
  <conditionalFormatting sqref="AD53:AF53">
    <cfRule type="expression" dxfId="277" priority="18">
      <formula>AD53&lt;&gt;""</formula>
    </cfRule>
  </conditionalFormatting>
  <conditionalFormatting sqref="AG53:AI53">
    <cfRule type="expression" dxfId="276" priority="17">
      <formula>AG53&lt;&gt;""</formula>
    </cfRule>
  </conditionalFormatting>
  <conditionalFormatting sqref="AJ53:AL53">
    <cfRule type="expression" dxfId="275" priority="16">
      <formula>AJ53&lt;&gt;""</formula>
    </cfRule>
  </conditionalFormatting>
  <conditionalFormatting sqref="AP53:AR53">
    <cfRule type="expression" dxfId="274" priority="15">
      <formula>AP53&lt;&gt;""</formula>
    </cfRule>
  </conditionalFormatting>
  <conditionalFormatting sqref="AM55:AO55">
    <cfRule type="expression" dxfId="273" priority="14">
      <formula>AM55&lt;&gt;""</formula>
    </cfRule>
  </conditionalFormatting>
  <conditionalFormatting sqref="AJ55:AL55">
    <cfRule type="expression" dxfId="272" priority="13">
      <formula>AJ55&lt;&gt;""</formula>
    </cfRule>
  </conditionalFormatting>
  <conditionalFormatting sqref="AG55:AI55">
    <cfRule type="expression" dxfId="271" priority="12">
      <formula>AG55&lt;&gt;""</formula>
    </cfRule>
  </conditionalFormatting>
  <conditionalFormatting sqref="AD55:AF55">
    <cfRule type="expression" dxfId="270" priority="11">
      <formula>AD55&lt;&gt;""</formula>
    </cfRule>
  </conditionalFormatting>
  <conditionalFormatting sqref="AS47:AU47">
    <cfRule type="expression" dxfId="269" priority="10">
      <formula>AS47&lt;&gt;""</formula>
    </cfRule>
  </conditionalFormatting>
  <conditionalFormatting sqref="AS49:AU49">
    <cfRule type="expression" dxfId="268" priority="9">
      <formula>AS49&lt;&gt;""</formula>
    </cfRule>
  </conditionalFormatting>
  <conditionalFormatting sqref="AS51:AU51">
    <cfRule type="expression" dxfId="267" priority="8">
      <formula>AS51&lt;&gt;""</formula>
    </cfRule>
  </conditionalFormatting>
  <conditionalFormatting sqref="AS53:AU53">
    <cfRule type="expression" dxfId="266" priority="7">
      <formula>AS53&lt;&gt;""</formula>
    </cfRule>
  </conditionalFormatting>
  <conditionalFormatting sqref="AS55:AU55">
    <cfRule type="expression" dxfId="265" priority="6">
      <formula>AS55&lt;&gt;""</formula>
    </cfRule>
  </conditionalFormatting>
  <conditionalFormatting sqref="AD57:AF57">
    <cfRule type="expression" dxfId="264" priority="5">
      <formula>AD57&lt;&gt;""</formula>
    </cfRule>
  </conditionalFormatting>
  <conditionalFormatting sqref="AG57:AI57">
    <cfRule type="expression" dxfId="263" priority="4">
      <formula>AG57&lt;&gt;""</formula>
    </cfRule>
  </conditionalFormatting>
  <conditionalFormatting sqref="AJ57:AL57">
    <cfRule type="expression" dxfId="262" priority="3">
      <formula>AJ57&lt;&gt;""</formula>
    </cfRule>
  </conditionalFormatting>
  <conditionalFormatting sqref="AM57:AO57">
    <cfRule type="expression" dxfId="261" priority="2">
      <formula>AM57&lt;&gt;""</formula>
    </cfRule>
  </conditionalFormatting>
  <conditionalFormatting sqref="AP57:AR57">
    <cfRule type="expression" dxfId="260" priority="1">
      <formula>AP57&lt;&gt;""</formula>
    </cfRule>
  </conditionalFormatting>
  <printOptions horizontalCentered="1"/>
  <pageMargins left="0.11811023622047245" right="0.11811023622047245" top="0.15748031496062992" bottom="0.15748031496062992" header="0.31496062992125984" footer="0.31496062992125984"/>
  <pageSetup paperSize="9" scale="7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124"/>
  <sheetViews>
    <sheetView view="pageBreakPreview" zoomScaleNormal="100" zoomScaleSheetLayoutView="100" workbookViewId="0">
      <selection activeCell="P5" sqref="P5"/>
    </sheetView>
  </sheetViews>
  <sheetFormatPr defaultRowHeight="15" outlineLevelCol="1" x14ac:dyDescent="0.25"/>
  <cols>
    <col min="1" max="1" width="9.33203125" style="128"/>
    <col min="2" max="2" width="5.33203125" style="128" customWidth="1"/>
    <col min="3" max="3" width="11.5" style="128" customWidth="1"/>
    <col min="4" max="4" width="6" style="128" customWidth="1" outlineLevel="1"/>
    <col min="5" max="5" width="25" style="128" customWidth="1"/>
    <col min="6" max="6" width="5.5" style="128" hidden="1" customWidth="1" outlineLevel="1"/>
    <col min="7" max="7" width="25" style="128" customWidth="1" collapsed="1"/>
    <col min="8" max="8" width="5.83203125" style="128" hidden="1" customWidth="1" outlineLevel="1"/>
    <col min="9" max="9" width="25" style="128" customWidth="1" collapsed="1"/>
    <col min="10" max="14" width="6.6640625" style="128" customWidth="1"/>
    <col min="15" max="15" width="8.33203125" style="128" customWidth="1"/>
    <col min="16" max="16" width="8.5" style="128" customWidth="1"/>
    <col min="17" max="16384" width="9.33203125" style="128"/>
  </cols>
  <sheetData>
    <row r="1" spans="1:17" ht="18.75" x14ac:dyDescent="0.3">
      <c r="C1" s="1278" t="s">
        <v>2815</v>
      </c>
      <c r="D1" s="1278"/>
      <c r="E1" s="1278"/>
      <c r="F1" s="1278"/>
      <c r="G1" s="1278"/>
      <c r="H1" s="1278"/>
      <c r="I1" s="1278"/>
      <c r="J1" s="1278"/>
      <c r="K1" s="1278"/>
      <c r="L1" s="1278"/>
      <c r="M1" s="1278"/>
      <c r="N1" s="1278"/>
    </row>
    <row r="2" spans="1:17" ht="19.5" thickBot="1" x14ac:dyDescent="0.35">
      <c r="E2" s="920" t="str">
        <f>'Списки участников'!C3</f>
        <v>22 октября 2016 г.</v>
      </c>
      <c r="F2" s="920"/>
      <c r="G2" s="1218" t="s">
        <v>2685</v>
      </c>
      <c r="H2" s="1218"/>
      <c r="I2" s="1218"/>
      <c r="J2" s="1218"/>
      <c r="K2" s="1218"/>
      <c r="L2" s="1218"/>
      <c r="M2" s="1218"/>
      <c r="N2" s="1279">
        <f>'Списки участников'!H3</f>
        <v>0</v>
      </c>
      <c r="O2" s="1279"/>
    </row>
    <row r="3" spans="1:17" ht="19.5" customHeight="1" thickBot="1" x14ac:dyDescent="0.35">
      <c r="A3" s="1284" t="s">
        <v>1041</v>
      </c>
      <c r="B3" s="1286" t="s">
        <v>964</v>
      </c>
      <c r="C3" s="1288" t="s">
        <v>3</v>
      </c>
      <c r="D3" s="1290"/>
      <c r="E3" s="1274" t="s">
        <v>4</v>
      </c>
      <c r="F3" s="697"/>
      <c r="G3" s="1274" t="s">
        <v>4</v>
      </c>
      <c r="H3" s="697"/>
      <c r="I3" s="1274" t="s">
        <v>764</v>
      </c>
      <c r="J3" s="1276" t="s">
        <v>965</v>
      </c>
      <c r="K3" s="1277"/>
      <c r="L3" s="1277"/>
      <c r="M3" s="1277"/>
      <c r="N3" s="1277"/>
      <c r="O3" s="1280" t="s">
        <v>1042</v>
      </c>
      <c r="P3" s="1281"/>
      <c r="Q3" s="934" t="s">
        <v>2681</v>
      </c>
    </row>
    <row r="4" spans="1:17" ht="19.5" thickBot="1" x14ac:dyDescent="0.3">
      <c r="A4" s="1285"/>
      <c r="B4" s="1287"/>
      <c r="C4" s="1289"/>
      <c r="D4" s="1291"/>
      <c r="E4" s="1275"/>
      <c r="F4" s="698"/>
      <c r="G4" s="1275"/>
      <c r="H4" s="699"/>
      <c r="I4" s="1275"/>
      <c r="J4" s="700">
        <v>1</v>
      </c>
      <c r="K4" s="700">
        <v>2</v>
      </c>
      <c r="L4" s="700">
        <v>3</v>
      </c>
      <c r="M4" s="700">
        <v>4</v>
      </c>
      <c r="N4" s="904">
        <v>5</v>
      </c>
      <c r="O4" s="1282"/>
      <c r="P4" s="1283"/>
      <c r="Q4" s="934" t="s">
        <v>2682</v>
      </c>
    </row>
    <row r="5" spans="1:17" x14ac:dyDescent="0.25">
      <c r="A5" s="915">
        <v>1</v>
      </c>
      <c r="B5" s="482">
        <v>1</v>
      </c>
      <c r="C5" s="483" t="s">
        <v>966</v>
      </c>
      <c r="D5" s="484">
        <f>'2Ф КРУГ'!B5</f>
        <v>0</v>
      </c>
      <c r="E5" s="922" t="e">
        <f>IF(D5="","",VLOOKUP(D5,'Списки участников'!A:K,12,FALSE))</f>
        <v>#N/A</v>
      </c>
      <c r="F5" s="485">
        <f>'2Ф КРУГ'!B35</f>
        <v>0</v>
      </c>
      <c r="G5" s="922" t="e">
        <f>IF(F5="","",VLOOKUP(F5,'Списки участников'!A:K,12,FALSE))</f>
        <v>#N/A</v>
      </c>
      <c r="H5" s="485"/>
      <c r="I5" s="922" t="str">
        <f>IF(H5="","",VLOOKUP(H5,'Списки участников'!A:K,12,FALSE))</f>
        <v/>
      </c>
      <c r="J5" s="915"/>
      <c r="K5" s="915"/>
      <c r="L5" s="915"/>
      <c r="M5" s="915"/>
      <c r="N5" s="915"/>
      <c r="O5" s="905" t="str">
        <f t="shared" ref="O5:O69" si="0">IF(H5="","",IF(J5&gt;0,1,0)+IF(K5&gt;0,1,0)+IF(L5&gt;0,1,0)+IF(M5&gt;0,1,0)+IF(N5&gt;0,1,0))</f>
        <v/>
      </c>
      <c r="P5" s="930" t="str">
        <f t="shared" ref="P5:P69" si="1">IF(H5="","",IF(J5&lt;0,1,0)+IF(K5&lt;0,1,0)+IF(L5&lt;0,1,0)+IF(M5&lt;0,1,0)+IF(N5&lt;0,1,0))</f>
        <v/>
      </c>
      <c r="Q5" s="931"/>
    </row>
    <row r="6" spans="1:17" x14ac:dyDescent="0.25">
      <c r="A6" s="486">
        <v>2</v>
      </c>
      <c r="B6" s="487">
        <v>1</v>
      </c>
      <c r="C6" s="488" t="s">
        <v>967</v>
      </c>
      <c r="D6" s="484">
        <f>'2Ф КРУГ'!B7</f>
        <v>0</v>
      </c>
      <c r="E6" s="922" t="e">
        <f>IF(D6="","",VLOOKUP(D6,'Списки участников'!A:K,12,FALSE))</f>
        <v>#N/A</v>
      </c>
      <c r="F6" s="484">
        <f>'2Ф КРУГ'!B33</f>
        <v>0</v>
      </c>
      <c r="G6" s="922" t="e">
        <f>IF(F6="","",VLOOKUP(F6,'Списки участников'!A:K,12,FALSE))</f>
        <v>#N/A</v>
      </c>
      <c r="H6" s="484"/>
      <c r="I6" s="922" t="str">
        <f>IF(H6="","",VLOOKUP(H6,'Списки участников'!A:K,12,FALSE))</f>
        <v/>
      </c>
      <c r="J6" s="486"/>
      <c r="K6" s="486"/>
      <c r="L6" s="486"/>
      <c r="M6" s="486"/>
      <c r="N6" s="486"/>
      <c r="O6" s="905" t="str">
        <f t="shared" si="0"/>
        <v/>
      </c>
      <c r="P6" s="930" t="str">
        <f t="shared" si="1"/>
        <v/>
      </c>
      <c r="Q6" s="931"/>
    </row>
    <row r="7" spans="1:17" x14ac:dyDescent="0.25">
      <c r="A7" s="486">
        <v>3</v>
      </c>
      <c r="B7" s="487">
        <v>1</v>
      </c>
      <c r="C7" s="488" t="s">
        <v>968</v>
      </c>
      <c r="D7" s="484">
        <f>'2Ф КРУГ'!B9</f>
        <v>0</v>
      </c>
      <c r="E7" s="922" t="e">
        <f>IF(D7="","",VLOOKUP(D7,'Списки участников'!A:K,12,FALSE))</f>
        <v>#N/A</v>
      </c>
      <c r="F7" s="484">
        <f>'2Ф КРУГ'!B31</f>
        <v>0</v>
      </c>
      <c r="G7" s="922" t="e">
        <f>IF(F7="","",VLOOKUP(F7,'Списки участников'!A:K,12,FALSE))</f>
        <v>#N/A</v>
      </c>
      <c r="H7" s="484"/>
      <c r="I7" s="922" t="str">
        <f>IF(H7="","",VLOOKUP(H7,'Списки участников'!A:K,12,FALSE))</f>
        <v/>
      </c>
      <c r="J7" s="915"/>
      <c r="K7" s="915"/>
      <c r="L7" s="915"/>
      <c r="M7" s="486"/>
      <c r="N7" s="486"/>
      <c r="O7" s="905" t="str">
        <f t="shared" si="0"/>
        <v/>
      </c>
      <c r="P7" s="930" t="str">
        <f t="shared" si="1"/>
        <v/>
      </c>
      <c r="Q7" s="931"/>
    </row>
    <row r="8" spans="1:17" x14ac:dyDescent="0.25">
      <c r="A8" s="486">
        <v>4</v>
      </c>
      <c r="B8" s="487">
        <v>1</v>
      </c>
      <c r="C8" s="488" t="s">
        <v>969</v>
      </c>
      <c r="D8" s="484">
        <f>'2Ф КРУГ'!B11</f>
        <v>0</v>
      </c>
      <c r="E8" s="922" t="e">
        <f>IF(D8="","",VLOOKUP(D8,'Списки участников'!A:K,12,FALSE))</f>
        <v>#N/A</v>
      </c>
      <c r="F8" s="484">
        <f>'2Ф КРУГ'!B29</f>
        <v>0</v>
      </c>
      <c r="G8" s="922" t="e">
        <f>IF(F8="","",VLOOKUP(F8,'Списки участников'!A:K,12,FALSE))</f>
        <v>#N/A</v>
      </c>
      <c r="H8" s="485"/>
      <c r="I8" s="922" t="str">
        <f>IF(H8="","",VLOOKUP(H8,'Списки участников'!A:K,12,FALSE))</f>
        <v/>
      </c>
      <c r="J8" s="486"/>
      <c r="K8" s="486"/>
      <c r="L8" s="486"/>
      <c r="M8" s="486"/>
      <c r="N8" s="486"/>
      <c r="O8" s="905" t="str">
        <f t="shared" si="0"/>
        <v/>
      </c>
      <c r="P8" s="930" t="str">
        <f t="shared" si="1"/>
        <v/>
      </c>
      <c r="Q8" s="931"/>
    </row>
    <row r="9" spans="1:17" x14ac:dyDescent="0.25">
      <c r="A9" s="486">
        <v>5</v>
      </c>
      <c r="B9" s="489">
        <v>1</v>
      </c>
      <c r="C9" s="488" t="s">
        <v>970</v>
      </c>
      <c r="D9" s="484">
        <f>'2Ф КРУГ'!B13</f>
        <v>0</v>
      </c>
      <c r="E9" s="922" t="e">
        <f>IF(D9="","",VLOOKUP(D9,'Списки участников'!A:K,12,FALSE))</f>
        <v>#N/A</v>
      </c>
      <c r="F9" s="484">
        <f>'2Ф КРУГ'!B27</f>
        <v>0</v>
      </c>
      <c r="G9" s="922" t="e">
        <f>IF(F9="","",VLOOKUP(F9,'Списки участников'!A:K,12,FALSE))</f>
        <v>#N/A</v>
      </c>
      <c r="H9" s="484"/>
      <c r="I9" s="922" t="str">
        <f>IF(H9="","",VLOOKUP(H9,'Списки участников'!A:K,12,FALSE))</f>
        <v/>
      </c>
      <c r="J9" s="915"/>
      <c r="K9" s="915"/>
      <c r="L9" s="915"/>
      <c r="M9" s="486"/>
      <c r="N9" s="486"/>
      <c r="O9" s="905" t="str">
        <f t="shared" si="0"/>
        <v/>
      </c>
      <c r="P9" s="930" t="str">
        <f t="shared" si="1"/>
        <v/>
      </c>
      <c r="Q9" s="931"/>
    </row>
    <row r="10" spans="1:17" x14ac:dyDescent="0.25">
      <c r="A10" s="486">
        <v>6</v>
      </c>
      <c r="B10" s="487">
        <v>1</v>
      </c>
      <c r="C10" s="490" t="s">
        <v>971</v>
      </c>
      <c r="D10" s="491">
        <f>'2Ф КРУГ'!B15</f>
        <v>0</v>
      </c>
      <c r="E10" s="922" t="e">
        <f>IF(D10="","",VLOOKUP(D10,'Списки участников'!A:K,12,FALSE))</f>
        <v>#N/A</v>
      </c>
      <c r="F10" s="491">
        <f>'2Ф КРУГ'!B25</f>
        <v>0</v>
      </c>
      <c r="G10" s="922" t="e">
        <f>IF(F10="","",VLOOKUP(F10,'Списки участников'!A:K,12,FALSE))</f>
        <v>#N/A</v>
      </c>
      <c r="H10" s="484"/>
      <c r="I10" s="922" t="str">
        <f>IF(H10="","",VLOOKUP(H10,'Списки участников'!A:K,12,FALSE))</f>
        <v/>
      </c>
      <c r="J10" s="486"/>
      <c r="K10" s="486"/>
      <c r="L10" s="486"/>
      <c r="M10" s="914"/>
      <c r="N10" s="914"/>
      <c r="O10" s="905" t="str">
        <f t="shared" si="0"/>
        <v/>
      </c>
      <c r="P10" s="930" t="str">
        <f t="shared" si="1"/>
        <v/>
      </c>
      <c r="Q10" s="931"/>
    </row>
    <row r="11" spans="1:17" x14ac:dyDescent="0.25">
      <c r="A11" s="486">
        <v>7</v>
      </c>
      <c r="B11" s="487">
        <v>1</v>
      </c>
      <c r="C11" s="490" t="s">
        <v>972</v>
      </c>
      <c r="D11" s="491">
        <f>'2Ф КРУГ'!B17</f>
        <v>0</v>
      </c>
      <c r="E11" s="922" t="e">
        <f>IF(D11="","",VLOOKUP(D11,'Списки участников'!A:K,12,FALSE))</f>
        <v>#N/A</v>
      </c>
      <c r="F11" s="491">
        <f>'2Ф КРУГ'!B23</f>
        <v>0</v>
      </c>
      <c r="G11" s="922" t="e">
        <f>IF(F11="","",VLOOKUP(F11,'Списки участников'!A:K,12,FALSE))</f>
        <v>#N/A</v>
      </c>
      <c r="H11" s="485"/>
      <c r="I11" s="922" t="str">
        <f>IF(H11="","",VLOOKUP(H11,'Списки участников'!A:K,12,FALSE))</f>
        <v/>
      </c>
      <c r="J11" s="915"/>
      <c r="K11" s="915"/>
      <c r="L11" s="915"/>
      <c r="M11" s="914"/>
      <c r="N11" s="914"/>
      <c r="O11" s="905" t="str">
        <f t="shared" si="0"/>
        <v/>
      </c>
      <c r="P11" s="930" t="str">
        <f t="shared" si="1"/>
        <v/>
      </c>
      <c r="Q11" s="931"/>
    </row>
    <row r="12" spans="1:17" ht="15.75" thickBot="1" x14ac:dyDescent="0.3">
      <c r="A12" s="486">
        <v>8</v>
      </c>
      <c r="B12" s="492">
        <v>1</v>
      </c>
      <c r="C12" s="493" t="s">
        <v>973</v>
      </c>
      <c r="D12" s="494">
        <f>'2Ф КРУГ'!B19</f>
        <v>0</v>
      </c>
      <c r="E12" s="701" t="e">
        <f>IF(D12="","",VLOOKUP(D12,'Списки участников'!A:K,12,FALSE))</f>
        <v>#N/A</v>
      </c>
      <c r="F12" s="494">
        <f>'2Ф КРУГ'!B21</f>
        <v>0</v>
      </c>
      <c r="G12" s="701" t="e">
        <f>IF(F12="","",VLOOKUP(F12,'Списки участников'!A:K,12,FALSE))</f>
        <v>#N/A</v>
      </c>
      <c r="H12" s="484"/>
      <c r="I12" s="701" t="str">
        <f>IF(H12="","",VLOOKUP(H12,'Списки участников'!A:K,12,FALSE))</f>
        <v/>
      </c>
      <c r="J12" s="702"/>
      <c r="K12" s="702"/>
      <c r="L12" s="702"/>
      <c r="M12" s="702"/>
      <c r="N12" s="702"/>
      <c r="O12" s="932" t="str">
        <f t="shared" si="0"/>
        <v/>
      </c>
      <c r="P12" s="933" t="str">
        <f t="shared" si="1"/>
        <v/>
      </c>
      <c r="Q12" s="701"/>
    </row>
    <row r="13" spans="1:17" x14ac:dyDescent="0.25">
      <c r="A13" s="486">
        <v>9</v>
      </c>
      <c r="B13" s="495">
        <v>2</v>
      </c>
      <c r="C13" s="911" t="s">
        <v>2677</v>
      </c>
      <c r="D13" s="485">
        <f>'2Ф КРУГ'!B5</f>
        <v>0</v>
      </c>
      <c r="E13" s="922" t="e">
        <f>IF(D13="","",VLOOKUP(D13,'Списки участников'!A:K,12,FALSE))</f>
        <v>#N/A</v>
      </c>
      <c r="F13" s="485">
        <f>'2Ф КРУГ'!B33</f>
        <v>0</v>
      </c>
      <c r="G13" s="922" t="e">
        <f>IF(F13="","",VLOOKUP(F13,'Списки участников'!A:K,12,FALSE))</f>
        <v>#N/A</v>
      </c>
      <c r="H13" s="485"/>
      <c r="I13" s="922" t="str">
        <f>IF(H13="","",VLOOKUP(H13,'Списки участников'!A:K,12,FALSE))</f>
        <v/>
      </c>
      <c r="J13" s="915"/>
      <c r="K13" s="915"/>
      <c r="L13" s="915"/>
      <c r="M13" s="915"/>
      <c r="N13" s="915"/>
      <c r="O13" s="905" t="str">
        <f t="shared" si="0"/>
        <v/>
      </c>
      <c r="P13" s="930" t="str">
        <f t="shared" si="1"/>
        <v/>
      </c>
      <c r="Q13" s="922"/>
    </row>
    <row r="14" spans="1:17" x14ac:dyDescent="0.25">
      <c r="A14" s="486">
        <v>10</v>
      </c>
      <c r="B14" s="487">
        <v>2</v>
      </c>
      <c r="C14" s="906" t="s">
        <v>2625</v>
      </c>
      <c r="D14" s="484">
        <f>'2Ф КРУГ'!B31</f>
        <v>0</v>
      </c>
      <c r="E14" s="922" t="e">
        <f>IF(D14="","",VLOOKUP(D14,'Списки участников'!A:K,12,FALSE))</f>
        <v>#N/A</v>
      </c>
      <c r="F14" s="484">
        <f>'2Ф КРУГ'!B35</f>
        <v>0</v>
      </c>
      <c r="G14" s="922" t="e">
        <f>IF(F14="","",VLOOKUP(F14,'Списки участников'!A:K,12,FALSE))</f>
        <v>#N/A</v>
      </c>
      <c r="H14" s="484"/>
      <c r="I14" s="922" t="str">
        <f>IF(H14="","",VLOOKUP(H14,'Списки участников'!A:K,12,FALSE))</f>
        <v/>
      </c>
      <c r="J14" s="486"/>
      <c r="K14" s="486"/>
      <c r="L14" s="486"/>
      <c r="M14" s="486"/>
      <c r="N14" s="486"/>
      <c r="O14" s="905" t="str">
        <f t="shared" si="0"/>
        <v/>
      </c>
      <c r="P14" s="930" t="str">
        <f t="shared" si="1"/>
        <v/>
      </c>
      <c r="Q14" s="931"/>
    </row>
    <row r="15" spans="1:17" x14ac:dyDescent="0.25">
      <c r="A15" s="486">
        <v>11</v>
      </c>
      <c r="B15" s="487">
        <v>2</v>
      </c>
      <c r="C15" s="488" t="s">
        <v>974</v>
      </c>
      <c r="D15" s="484">
        <f>'2Ф КРУГ'!B7</f>
        <v>0</v>
      </c>
      <c r="E15" s="922" t="e">
        <f>IF(D15="","",VLOOKUP(D15,'Списки участников'!A:K,12,FALSE))</f>
        <v>#N/A</v>
      </c>
      <c r="F15" s="484">
        <f>'2Ф КРУГ'!B29</f>
        <v>0</v>
      </c>
      <c r="G15" s="922" t="e">
        <f>IF(F15="","",VLOOKUP(F15,'Списки участников'!A:K,12,FALSE))</f>
        <v>#N/A</v>
      </c>
      <c r="H15" s="484"/>
      <c r="I15" s="922" t="str">
        <f>IF(H15="","",VLOOKUP(H15,'Списки участников'!A:K,12,FALSE))</f>
        <v/>
      </c>
      <c r="J15" s="486"/>
      <c r="K15" s="486"/>
      <c r="L15" s="486"/>
      <c r="M15" s="486"/>
      <c r="N15" s="486"/>
      <c r="O15" s="905" t="str">
        <f t="shared" si="0"/>
        <v/>
      </c>
      <c r="P15" s="930" t="str">
        <f t="shared" si="1"/>
        <v/>
      </c>
      <c r="Q15" s="931"/>
    </row>
    <row r="16" spans="1:17" x14ac:dyDescent="0.25">
      <c r="A16" s="486">
        <v>12</v>
      </c>
      <c r="B16" s="487">
        <v>2</v>
      </c>
      <c r="C16" s="488" t="s">
        <v>975</v>
      </c>
      <c r="D16" s="484">
        <f>'2Ф КРУГ'!B9</f>
        <v>0</v>
      </c>
      <c r="E16" s="922" t="e">
        <f>IF(D16="","",VLOOKUP(D16,'Списки участников'!A:K,12,FALSE))</f>
        <v>#N/A</v>
      </c>
      <c r="F16" s="484">
        <f>'2Ф КРУГ'!B27</f>
        <v>0</v>
      </c>
      <c r="G16" s="922" t="e">
        <f>IF(F16="","",VLOOKUP(F16,'Списки участников'!A:K,12,FALSE))</f>
        <v>#N/A</v>
      </c>
      <c r="H16" s="484"/>
      <c r="I16" s="922" t="str">
        <f>IF(H16="","",VLOOKUP(H16,'Списки участников'!A:K,12,FALSE))</f>
        <v/>
      </c>
      <c r="J16" s="486"/>
      <c r="K16" s="486"/>
      <c r="L16" s="486"/>
      <c r="M16" s="486"/>
      <c r="N16" s="486"/>
      <c r="O16" s="905" t="str">
        <f t="shared" si="0"/>
        <v/>
      </c>
      <c r="P16" s="930" t="str">
        <f t="shared" si="1"/>
        <v/>
      </c>
      <c r="Q16" s="931"/>
    </row>
    <row r="17" spans="1:17" x14ac:dyDescent="0.25">
      <c r="A17" s="486">
        <v>13</v>
      </c>
      <c r="B17" s="489">
        <v>2</v>
      </c>
      <c r="C17" s="488" t="s">
        <v>976</v>
      </c>
      <c r="D17" s="484">
        <f>'2Ф КРУГ'!B11</f>
        <v>0</v>
      </c>
      <c r="E17" s="922" t="e">
        <f>IF(D17="","",VLOOKUP(D17,'Списки участников'!A:K,12,FALSE))</f>
        <v>#N/A</v>
      </c>
      <c r="F17" s="484">
        <f>'2Ф КРУГ'!B25</f>
        <v>0</v>
      </c>
      <c r="G17" s="922" t="e">
        <f>IF(F17="","",VLOOKUP(F17,'Списки участников'!A:K,12,FALSE))</f>
        <v>#N/A</v>
      </c>
      <c r="H17" s="484"/>
      <c r="I17" s="922" t="str">
        <f>IF(H17="","",VLOOKUP(H17,'Списки участников'!A:K,12,FALSE))</f>
        <v/>
      </c>
      <c r="J17" s="486"/>
      <c r="K17" s="486"/>
      <c r="L17" s="486"/>
      <c r="M17" s="486"/>
      <c r="N17" s="486"/>
      <c r="O17" s="905" t="str">
        <f t="shared" si="0"/>
        <v/>
      </c>
      <c r="P17" s="930" t="str">
        <f t="shared" si="1"/>
        <v/>
      </c>
      <c r="Q17" s="931"/>
    </row>
    <row r="18" spans="1:17" x14ac:dyDescent="0.25">
      <c r="A18" s="486">
        <v>14</v>
      </c>
      <c r="B18" s="487">
        <v>2</v>
      </c>
      <c r="C18" s="490" t="s">
        <v>977</v>
      </c>
      <c r="D18" s="491">
        <f>'2Ф КРУГ'!B13</f>
        <v>0</v>
      </c>
      <c r="E18" s="922" t="e">
        <f>IF(D18="","",VLOOKUP(D18,'Списки участников'!A:K,12,FALSE))</f>
        <v>#N/A</v>
      </c>
      <c r="F18" s="484">
        <f>'2Ф КРУГ'!B23</f>
        <v>0</v>
      </c>
      <c r="G18" s="922" t="e">
        <f>IF(F18="","",VLOOKUP(F18,'Списки участников'!A:K,12,FALSE))</f>
        <v>#N/A</v>
      </c>
      <c r="H18" s="491"/>
      <c r="I18" s="922" t="str">
        <f>IF(H18="","",VLOOKUP(H18,'Списки участников'!A:K,12,FALSE))</f>
        <v/>
      </c>
      <c r="J18" s="914"/>
      <c r="K18" s="914"/>
      <c r="L18" s="914"/>
      <c r="M18" s="914"/>
      <c r="N18" s="914"/>
      <c r="O18" s="905" t="str">
        <f t="shared" si="0"/>
        <v/>
      </c>
      <c r="P18" s="930" t="str">
        <f t="shared" si="1"/>
        <v/>
      </c>
      <c r="Q18" s="931"/>
    </row>
    <row r="19" spans="1:17" x14ac:dyDescent="0.25">
      <c r="A19" s="486">
        <v>15</v>
      </c>
      <c r="B19" s="487">
        <v>2</v>
      </c>
      <c r="C19" s="490" t="s">
        <v>978</v>
      </c>
      <c r="D19" s="491">
        <f>'2Ф КРУГ'!B15</f>
        <v>0</v>
      </c>
      <c r="E19" s="922" t="e">
        <f>IF(D19="","",VLOOKUP(D19,'Списки участников'!A:K,12,FALSE))</f>
        <v>#N/A</v>
      </c>
      <c r="F19" s="484">
        <f>'2Ф КРУГ'!B21</f>
        <v>0</v>
      </c>
      <c r="G19" s="922" t="e">
        <f>IF(F19="","",VLOOKUP(F19,'Списки участников'!A:K,12,FALSE))</f>
        <v>#N/A</v>
      </c>
      <c r="H19" s="491"/>
      <c r="I19" s="922" t="str">
        <f>IF(H19="","",VLOOKUP(H19,'Списки участников'!A:K,12,FALSE))</f>
        <v/>
      </c>
      <c r="J19" s="914"/>
      <c r="K19" s="914"/>
      <c r="L19" s="914"/>
      <c r="M19" s="914"/>
      <c r="N19" s="914"/>
      <c r="O19" s="905" t="str">
        <f t="shared" si="0"/>
        <v/>
      </c>
      <c r="P19" s="930" t="str">
        <f t="shared" si="1"/>
        <v/>
      </c>
      <c r="Q19" s="931"/>
    </row>
    <row r="20" spans="1:17" ht="15.75" thickBot="1" x14ac:dyDescent="0.3">
      <c r="A20" s="486">
        <v>16</v>
      </c>
      <c r="B20" s="492">
        <v>2</v>
      </c>
      <c r="C20" s="493" t="s">
        <v>979</v>
      </c>
      <c r="D20" s="494">
        <f>'2Ф КРУГ'!B17</f>
        <v>0</v>
      </c>
      <c r="E20" s="701" t="e">
        <f>IF(D20="","",VLOOKUP(D20,'Списки участников'!A:K,12,FALSE))</f>
        <v>#N/A</v>
      </c>
      <c r="F20" s="494">
        <f>'2Ф КРУГ'!B19</f>
        <v>0</v>
      </c>
      <c r="G20" s="701" t="e">
        <f>IF(F20="","",VLOOKUP(F20,'Списки участников'!A:K,12,FALSE))</f>
        <v>#N/A</v>
      </c>
      <c r="H20" s="494"/>
      <c r="I20" s="701" t="str">
        <f>IF(H20="","",VLOOKUP(H20,'Списки участников'!A:K,12,FALSE))</f>
        <v/>
      </c>
      <c r="J20" s="702"/>
      <c r="K20" s="702"/>
      <c r="L20" s="702"/>
      <c r="M20" s="702"/>
      <c r="N20" s="702"/>
      <c r="O20" s="932" t="str">
        <f t="shared" si="0"/>
        <v/>
      </c>
      <c r="P20" s="933" t="str">
        <f t="shared" si="1"/>
        <v/>
      </c>
      <c r="Q20" s="701"/>
    </row>
    <row r="21" spans="1:17" ht="15" customHeight="1" x14ac:dyDescent="0.25">
      <c r="A21" s="486">
        <v>17</v>
      </c>
      <c r="B21" s="482">
        <v>3</v>
      </c>
      <c r="C21" s="483" t="s">
        <v>980</v>
      </c>
      <c r="D21" s="485">
        <f>'2Ф КРУГ'!B5</f>
        <v>0</v>
      </c>
      <c r="E21" s="922" t="e">
        <f>IF(D21="","",VLOOKUP(D21,'Списки участников'!A:K,12,FALSE))</f>
        <v>#N/A</v>
      </c>
      <c r="F21" s="485">
        <f>'2Ф КРУГ'!B31</f>
        <v>0</v>
      </c>
      <c r="G21" s="922" t="e">
        <f>IF(F21="","",VLOOKUP(F21,'Списки участников'!A:K,12,FALSE))</f>
        <v>#N/A</v>
      </c>
      <c r="H21" s="485"/>
      <c r="I21" s="922" t="str">
        <f>IF(H21="","",VLOOKUP(H21,'Списки участников'!A:K,12,FALSE))</f>
        <v/>
      </c>
      <c r="J21" s="915"/>
      <c r="K21" s="915"/>
      <c r="L21" s="915"/>
      <c r="M21" s="915"/>
      <c r="N21" s="915"/>
      <c r="O21" s="905" t="str">
        <f t="shared" si="0"/>
        <v/>
      </c>
      <c r="P21" s="930" t="str">
        <f t="shared" si="1"/>
        <v/>
      </c>
      <c r="Q21" s="922"/>
    </row>
    <row r="22" spans="1:17" x14ac:dyDescent="0.25">
      <c r="A22" s="486">
        <v>18</v>
      </c>
      <c r="B22" s="496">
        <v>3</v>
      </c>
      <c r="C22" s="906" t="s">
        <v>2627</v>
      </c>
      <c r="D22" s="484">
        <f>'2Ф КРУГ'!B29</f>
        <v>0</v>
      </c>
      <c r="E22" s="922" t="e">
        <f>IF(D22="","",VLOOKUP(D22,'Списки участников'!A:K,12,FALSE))</f>
        <v>#N/A</v>
      </c>
      <c r="F22" s="485">
        <f>'2Ф КРУГ'!B33</f>
        <v>0</v>
      </c>
      <c r="G22" s="922" t="e">
        <f>IF(F22="","",VLOOKUP(F22,'Списки участников'!A:K,12,FALSE))</f>
        <v>#N/A</v>
      </c>
      <c r="H22" s="484"/>
      <c r="I22" s="922" t="str">
        <f>IF(H22="","",VLOOKUP(H22,'Списки участников'!A:K,12,FALSE))</f>
        <v/>
      </c>
      <c r="J22" s="915"/>
      <c r="K22" s="915"/>
      <c r="L22" s="915"/>
      <c r="M22" s="486"/>
      <c r="N22" s="486"/>
      <c r="O22" s="905" t="str">
        <f t="shared" si="0"/>
        <v/>
      </c>
      <c r="P22" s="930" t="str">
        <f t="shared" si="1"/>
        <v/>
      </c>
      <c r="Q22" s="931"/>
    </row>
    <row r="23" spans="1:17" ht="15" customHeight="1" x14ac:dyDescent="0.25">
      <c r="A23" s="486">
        <v>19</v>
      </c>
      <c r="B23" s="496">
        <v>3</v>
      </c>
      <c r="C23" s="906" t="s">
        <v>2628</v>
      </c>
      <c r="D23" s="484">
        <f>'2Ф КРУГ'!B27</f>
        <v>0</v>
      </c>
      <c r="E23" s="922" t="e">
        <f>IF(D23="","",VLOOKUP(D23,'Списки участников'!A:K,12,FALSE))</f>
        <v>#N/A</v>
      </c>
      <c r="F23" s="485">
        <f>'2Ф КРУГ'!B35</f>
        <v>0</v>
      </c>
      <c r="G23" s="922" t="e">
        <f>IF(F23="","",VLOOKUP(F23,'Списки участников'!A:K,12,FALSE))</f>
        <v>#N/A</v>
      </c>
      <c r="H23" s="484"/>
      <c r="I23" s="922" t="str">
        <f>IF(H23="","",VLOOKUP(H23,'Списки участников'!A:K,12,FALSE))</f>
        <v/>
      </c>
      <c r="J23" s="915"/>
      <c r="K23" s="915"/>
      <c r="L23" s="915"/>
      <c r="M23" s="486"/>
      <c r="N23" s="486"/>
      <c r="O23" s="905" t="str">
        <f t="shared" si="0"/>
        <v/>
      </c>
      <c r="P23" s="930" t="str">
        <f t="shared" si="1"/>
        <v/>
      </c>
      <c r="Q23" s="931"/>
    </row>
    <row r="24" spans="1:17" x14ac:dyDescent="0.25">
      <c r="A24" s="486">
        <v>20</v>
      </c>
      <c r="B24" s="496">
        <v>3</v>
      </c>
      <c r="C24" s="488" t="s">
        <v>981</v>
      </c>
      <c r="D24" s="484">
        <f>'2Ф КРУГ'!B7</f>
        <v>0</v>
      </c>
      <c r="E24" s="922" t="e">
        <f>IF(D24="","",VLOOKUP(D24,'Списки участников'!A:K,12,FALSE))</f>
        <v>#N/A</v>
      </c>
      <c r="F24" s="485">
        <f>'2Ф КРУГ'!B25</f>
        <v>0</v>
      </c>
      <c r="G24" s="922" t="e">
        <f>IF(F24="","",VLOOKUP(F24,'Списки участников'!A:K,12,FALSE))</f>
        <v>#N/A</v>
      </c>
      <c r="H24" s="484"/>
      <c r="I24" s="922" t="str">
        <f>IF(H24="","",VLOOKUP(H24,'Списки участников'!A:K,12,FALSE))</f>
        <v/>
      </c>
      <c r="J24" s="915"/>
      <c r="K24" s="915"/>
      <c r="L24" s="915"/>
      <c r="M24" s="486"/>
      <c r="N24" s="486"/>
      <c r="O24" s="905" t="str">
        <f t="shared" si="0"/>
        <v/>
      </c>
      <c r="P24" s="930" t="str">
        <f t="shared" si="1"/>
        <v/>
      </c>
      <c r="Q24" s="931"/>
    </row>
    <row r="25" spans="1:17" x14ac:dyDescent="0.25">
      <c r="A25" s="486">
        <v>21</v>
      </c>
      <c r="B25" s="489">
        <v>3</v>
      </c>
      <c r="C25" s="488" t="s">
        <v>982</v>
      </c>
      <c r="D25" s="484">
        <f>'2Ф КРУГ'!B9</f>
        <v>0</v>
      </c>
      <c r="E25" s="922" t="e">
        <f>IF(D25="","",VLOOKUP(D25,'Списки участников'!A:K,12,FALSE))</f>
        <v>#N/A</v>
      </c>
      <c r="F25" s="485">
        <f>'2Ф КРУГ'!B23</f>
        <v>0</v>
      </c>
      <c r="G25" s="922" t="e">
        <f>IF(F25="","",VLOOKUP(F25,'Списки участников'!A:K,12,FALSE))</f>
        <v>#N/A</v>
      </c>
      <c r="H25" s="484"/>
      <c r="I25" s="922" t="str">
        <f>IF(H25="","",VLOOKUP(H25,'Списки участников'!A:K,12,FALSE))</f>
        <v/>
      </c>
      <c r="J25" s="915"/>
      <c r="K25" s="915"/>
      <c r="L25" s="915"/>
      <c r="M25" s="486"/>
      <c r="N25" s="486"/>
      <c r="O25" s="905" t="str">
        <f t="shared" si="0"/>
        <v/>
      </c>
      <c r="P25" s="930" t="str">
        <f t="shared" si="1"/>
        <v/>
      </c>
      <c r="Q25" s="931"/>
    </row>
    <row r="26" spans="1:17" x14ac:dyDescent="0.25">
      <c r="A26" s="486">
        <v>22</v>
      </c>
      <c r="B26" s="496">
        <v>3</v>
      </c>
      <c r="C26" s="490" t="s">
        <v>983</v>
      </c>
      <c r="D26" s="491">
        <f>'2Ф КРУГ'!B11</f>
        <v>0</v>
      </c>
      <c r="E26" s="922" t="e">
        <f>IF(D26="","",VLOOKUP(D26,'Списки участников'!A:K,12,FALSE))</f>
        <v>#N/A</v>
      </c>
      <c r="F26" s="485">
        <f>'2Ф КРУГ'!B21</f>
        <v>0</v>
      </c>
      <c r="G26" s="922" t="e">
        <f>IF(F26="","",VLOOKUP(F26,'Списки участников'!A:K,12,FALSE))</f>
        <v>#N/A</v>
      </c>
      <c r="H26" s="491"/>
      <c r="I26" s="922" t="str">
        <f>IF(H26="","",VLOOKUP(H26,'Списки участников'!A:K,12,FALSE))</f>
        <v/>
      </c>
      <c r="J26" s="915"/>
      <c r="K26" s="915"/>
      <c r="L26" s="915"/>
      <c r="M26" s="914"/>
      <c r="N26" s="914"/>
      <c r="O26" s="905" t="str">
        <f t="shared" si="0"/>
        <v/>
      </c>
      <c r="P26" s="930" t="str">
        <f t="shared" si="1"/>
        <v/>
      </c>
      <c r="Q26" s="931"/>
    </row>
    <row r="27" spans="1:17" x14ac:dyDescent="0.25">
      <c r="A27" s="486">
        <v>23</v>
      </c>
      <c r="B27" s="496">
        <v>3</v>
      </c>
      <c r="C27" s="490" t="s">
        <v>984</v>
      </c>
      <c r="D27" s="491">
        <f>'2Ф КРУГ'!B13</f>
        <v>0</v>
      </c>
      <c r="E27" s="922" t="e">
        <f>IF(D27="","",VLOOKUP(D27,'Списки участников'!A:K,12,FALSE))</f>
        <v>#N/A</v>
      </c>
      <c r="F27" s="485">
        <f>'2Ф КРУГ'!B19</f>
        <v>0</v>
      </c>
      <c r="G27" s="922" t="e">
        <f>IF(F27="","",VLOOKUP(F27,'Списки участников'!A:K,12,FALSE))</f>
        <v>#N/A</v>
      </c>
      <c r="H27" s="491"/>
      <c r="I27" s="922" t="str">
        <f>IF(H27="","",VLOOKUP(H27,'Списки участников'!A:K,12,FALSE))</f>
        <v/>
      </c>
      <c r="J27" s="915"/>
      <c r="K27" s="915"/>
      <c r="L27" s="915"/>
      <c r="M27" s="914"/>
      <c r="N27" s="914"/>
      <c r="O27" s="905" t="str">
        <f t="shared" si="0"/>
        <v/>
      </c>
      <c r="P27" s="930" t="str">
        <f t="shared" si="1"/>
        <v/>
      </c>
      <c r="Q27" s="931"/>
    </row>
    <row r="28" spans="1:17" ht="15.75" thickBot="1" x14ac:dyDescent="0.3">
      <c r="A28" s="486">
        <v>24</v>
      </c>
      <c r="B28" s="500">
        <v>3</v>
      </c>
      <c r="C28" s="493" t="s">
        <v>985</v>
      </c>
      <c r="D28" s="494">
        <f>'2Ф КРУГ'!B15</f>
        <v>0</v>
      </c>
      <c r="E28" s="701" t="e">
        <f>IF(D28="","",VLOOKUP(D28,'Списки участников'!A:K,12,FALSE))</f>
        <v>#N/A</v>
      </c>
      <c r="F28" s="494">
        <f>'2Ф КРУГ'!B17</f>
        <v>0</v>
      </c>
      <c r="G28" s="701" t="e">
        <f>IF(F28="","",VLOOKUP(F28,'Списки участников'!A:K,12,FALSE))</f>
        <v>#N/A</v>
      </c>
      <c r="H28" s="494"/>
      <c r="I28" s="701" t="str">
        <f>IF(H28="","",VLOOKUP(H28,'Списки участников'!A:K,12,FALSE))</f>
        <v/>
      </c>
      <c r="J28" s="702"/>
      <c r="K28" s="702"/>
      <c r="L28" s="702"/>
      <c r="M28" s="702"/>
      <c r="N28" s="702"/>
      <c r="O28" s="932" t="str">
        <f t="shared" si="0"/>
        <v/>
      </c>
      <c r="P28" s="933" t="str">
        <f t="shared" si="1"/>
        <v/>
      </c>
      <c r="Q28" s="701"/>
    </row>
    <row r="29" spans="1:17" x14ac:dyDescent="0.25">
      <c r="A29" s="486">
        <v>25</v>
      </c>
      <c r="B29" s="496">
        <v>4</v>
      </c>
      <c r="C29" s="907" t="s">
        <v>2629</v>
      </c>
      <c r="D29" s="485">
        <f>'2Ф КРУГ'!B5</f>
        <v>0</v>
      </c>
      <c r="E29" s="922" t="e">
        <f>IF(D29="","",VLOOKUP(D29,'Списки участников'!A:K,12,FALSE))</f>
        <v>#N/A</v>
      </c>
      <c r="F29" s="485">
        <f>'2Ф КРУГ'!B29</f>
        <v>0</v>
      </c>
      <c r="G29" s="922" t="e">
        <f>IF(F29="","",VLOOKUP(F29,'Списки участников'!A:K,12,FALSE))</f>
        <v>#N/A</v>
      </c>
      <c r="H29" s="485"/>
      <c r="I29" s="922" t="str">
        <f>IF(H29="","",VLOOKUP(H29,'Списки участников'!A:K,12,FALSE))</f>
        <v/>
      </c>
      <c r="J29" s="915"/>
      <c r="K29" s="915"/>
      <c r="L29" s="915"/>
      <c r="M29" s="915"/>
      <c r="N29" s="915"/>
      <c r="O29" s="905" t="str">
        <f t="shared" si="0"/>
        <v/>
      </c>
      <c r="P29" s="930" t="str">
        <f t="shared" si="1"/>
        <v/>
      </c>
      <c r="Q29" s="922"/>
    </row>
    <row r="30" spans="1:17" x14ac:dyDescent="0.25">
      <c r="A30" s="486">
        <v>26</v>
      </c>
      <c r="B30" s="496">
        <v>4</v>
      </c>
      <c r="C30" s="906" t="s">
        <v>2630</v>
      </c>
      <c r="D30" s="484">
        <f>'2Ф КРУГ'!B27</f>
        <v>0</v>
      </c>
      <c r="E30" s="922" t="e">
        <f>IF(D30="","",VLOOKUP(D30,'Списки участников'!A:K,12,FALSE))</f>
        <v>#N/A</v>
      </c>
      <c r="F30" s="484">
        <f>'2Ф КРУГ'!B31</f>
        <v>0</v>
      </c>
      <c r="G30" s="922" t="e">
        <f>IF(F30="","",VLOOKUP(F30,'Списки участников'!A:K,12,FALSE))</f>
        <v>#N/A</v>
      </c>
      <c r="H30" s="484"/>
      <c r="I30" s="922" t="str">
        <f>IF(H30="","",VLOOKUP(H30,'Списки участников'!A:K,12,FALSE))</f>
        <v/>
      </c>
      <c r="J30" s="915"/>
      <c r="K30" s="915"/>
      <c r="L30" s="915"/>
      <c r="M30" s="486"/>
      <c r="N30" s="486"/>
      <c r="O30" s="905" t="str">
        <f t="shared" si="0"/>
        <v/>
      </c>
      <c r="P30" s="930" t="str">
        <f t="shared" si="1"/>
        <v/>
      </c>
      <c r="Q30" s="931"/>
    </row>
    <row r="31" spans="1:17" x14ac:dyDescent="0.25">
      <c r="A31" s="486">
        <v>27</v>
      </c>
      <c r="B31" s="498">
        <v>4</v>
      </c>
      <c r="C31" s="906" t="s">
        <v>2631</v>
      </c>
      <c r="D31" s="484">
        <f>'2Ф КРУГ'!B25</f>
        <v>0</v>
      </c>
      <c r="E31" s="922" t="e">
        <f>IF(D31="","",VLOOKUP(D31,'Списки участников'!A:K,12,FALSE))</f>
        <v>#N/A</v>
      </c>
      <c r="F31" s="484">
        <f>'2Ф КРУГ'!B33</f>
        <v>0</v>
      </c>
      <c r="G31" s="922" t="e">
        <f>IF(F31="","",VLOOKUP(F31,'Списки участников'!A:K,12,FALSE))</f>
        <v>#N/A</v>
      </c>
      <c r="H31" s="484"/>
      <c r="I31" s="922" t="str">
        <f>IF(H31="","",VLOOKUP(H31,'Списки участников'!A:K,12,FALSE))</f>
        <v/>
      </c>
      <c r="J31" s="915"/>
      <c r="K31" s="915"/>
      <c r="L31" s="915"/>
      <c r="M31" s="486"/>
      <c r="N31" s="486"/>
      <c r="O31" s="905" t="str">
        <f t="shared" si="0"/>
        <v/>
      </c>
      <c r="P31" s="930" t="str">
        <f t="shared" si="1"/>
        <v/>
      </c>
      <c r="Q31" s="931"/>
    </row>
    <row r="32" spans="1:17" x14ac:dyDescent="0.25">
      <c r="A32" s="486">
        <v>28</v>
      </c>
      <c r="B32" s="496">
        <v>4</v>
      </c>
      <c r="C32" s="906" t="s">
        <v>2632</v>
      </c>
      <c r="D32" s="484">
        <f>'2Ф КРУГ'!B23</f>
        <v>0</v>
      </c>
      <c r="E32" s="922" t="e">
        <f>IF(D32="","",VLOOKUP(D32,'Списки участников'!A:K,12,FALSE))</f>
        <v>#N/A</v>
      </c>
      <c r="F32" s="484">
        <f>'2Ф КРУГ'!B35</f>
        <v>0</v>
      </c>
      <c r="G32" s="922" t="e">
        <f>IF(F32="","",VLOOKUP(F32,'Списки участников'!A:K,12,FALSE))</f>
        <v>#N/A</v>
      </c>
      <c r="H32" s="484"/>
      <c r="I32" s="922" t="str">
        <f>IF(H32="","",VLOOKUP(H32,'Списки участников'!A:K,12,FALSE))</f>
        <v/>
      </c>
      <c r="J32" s="915"/>
      <c r="K32" s="915"/>
      <c r="L32" s="915"/>
      <c r="M32" s="486"/>
      <c r="N32" s="486"/>
      <c r="O32" s="905" t="str">
        <f t="shared" si="0"/>
        <v/>
      </c>
      <c r="P32" s="930" t="str">
        <f t="shared" si="1"/>
        <v/>
      </c>
      <c r="Q32" s="931"/>
    </row>
    <row r="33" spans="1:17" x14ac:dyDescent="0.25">
      <c r="A33" s="486">
        <v>29</v>
      </c>
      <c r="B33" s="499">
        <v>4</v>
      </c>
      <c r="C33" s="488" t="s">
        <v>986</v>
      </c>
      <c r="D33" s="484">
        <f>'2Ф КРУГ'!B7</f>
        <v>0</v>
      </c>
      <c r="E33" s="922" t="e">
        <f>IF(D33="","",VLOOKUP(D33,'Списки участников'!A:K,12,FALSE))</f>
        <v>#N/A</v>
      </c>
      <c r="F33" s="484">
        <f>'2Ф КРУГ'!B21</f>
        <v>0</v>
      </c>
      <c r="G33" s="922" t="e">
        <f>IF(F33="","",VLOOKUP(F33,'Списки участников'!A:K,12,FALSE))</f>
        <v>#N/A</v>
      </c>
      <c r="H33" s="484"/>
      <c r="I33" s="922" t="str">
        <f>IF(H33="","",VLOOKUP(H33,'Списки участников'!A:K,12,FALSE))</f>
        <v/>
      </c>
      <c r="J33" s="915"/>
      <c r="K33" s="915"/>
      <c r="L33" s="915"/>
      <c r="M33" s="486"/>
      <c r="N33" s="486"/>
      <c r="O33" s="905" t="str">
        <f t="shared" si="0"/>
        <v/>
      </c>
      <c r="P33" s="930" t="str">
        <f t="shared" si="1"/>
        <v/>
      </c>
      <c r="Q33" s="931"/>
    </row>
    <row r="34" spans="1:17" x14ac:dyDescent="0.25">
      <c r="A34" s="486">
        <v>30</v>
      </c>
      <c r="B34" s="496">
        <v>4</v>
      </c>
      <c r="C34" s="490" t="s">
        <v>987</v>
      </c>
      <c r="D34" s="491">
        <f>'2Ф КРУГ'!B9</f>
        <v>0</v>
      </c>
      <c r="E34" s="922" t="e">
        <f>IF(D34="","",VLOOKUP(D34,'Списки участников'!A:K,12,FALSE))</f>
        <v>#N/A</v>
      </c>
      <c r="F34" s="484">
        <f>'2Ф КРУГ'!B19</f>
        <v>0</v>
      </c>
      <c r="G34" s="922" t="e">
        <f>IF(F34="","",VLOOKUP(F34,'Списки участников'!A:K,12,FALSE))</f>
        <v>#N/A</v>
      </c>
      <c r="H34" s="491"/>
      <c r="I34" s="922" t="str">
        <f>IF(H34="","",VLOOKUP(H34,'Списки участников'!A:K,12,FALSE))</f>
        <v/>
      </c>
      <c r="J34" s="915"/>
      <c r="K34" s="915"/>
      <c r="L34" s="915"/>
      <c r="M34" s="914"/>
      <c r="N34" s="914"/>
      <c r="O34" s="905" t="str">
        <f t="shared" si="0"/>
        <v/>
      </c>
      <c r="P34" s="930" t="str">
        <f t="shared" si="1"/>
        <v/>
      </c>
      <c r="Q34" s="931"/>
    </row>
    <row r="35" spans="1:17" x14ac:dyDescent="0.25">
      <c r="A35" s="486">
        <v>31</v>
      </c>
      <c r="B35" s="498">
        <v>4</v>
      </c>
      <c r="C35" s="490" t="s">
        <v>988</v>
      </c>
      <c r="D35" s="491">
        <f>'2Ф КРУГ'!B11</f>
        <v>0</v>
      </c>
      <c r="E35" s="922" t="e">
        <f>IF(D35="","",VLOOKUP(D35,'Списки участников'!A:K,12,FALSE))</f>
        <v>#N/A</v>
      </c>
      <c r="F35" s="484">
        <f>'2Ф КРУГ'!B17</f>
        <v>0</v>
      </c>
      <c r="G35" s="922" t="e">
        <f>IF(F35="","",VLOOKUP(F35,'Списки участников'!A:K,12,FALSE))</f>
        <v>#N/A</v>
      </c>
      <c r="H35" s="491"/>
      <c r="I35" s="922" t="str">
        <f>IF(H35="","",VLOOKUP(H35,'Списки участников'!A:K,12,FALSE))</f>
        <v/>
      </c>
      <c r="J35" s="915"/>
      <c r="K35" s="915"/>
      <c r="L35" s="915"/>
      <c r="M35" s="914"/>
      <c r="N35" s="914"/>
      <c r="O35" s="905" t="str">
        <f t="shared" si="0"/>
        <v/>
      </c>
      <c r="P35" s="930" t="str">
        <f t="shared" si="1"/>
        <v/>
      </c>
      <c r="Q35" s="931"/>
    </row>
    <row r="36" spans="1:17" ht="15.75" thickBot="1" x14ac:dyDescent="0.3">
      <c r="A36" s="486">
        <v>32</v>
      </c>
      <c r="B36" s="500">
        <v>4</v>
      </c>
      <c r="C36" s="493" t="s">
        <v>989</v>
      </c>
      <c r="D36" s="494">
        <f>'2Ф КРУГ'!B13</f>
        <v>0</v>
      </c>
      <c r="E36" s="701" t="e">
        <f>IF(D36="","",VLOOKUP(D36,'Списки участников'!A:K,12,FALSE))</f>
        <v>#N/A</v>
      </c>
      <c r="F36" s="494">
        <f>'2Ф КРУГ'!B15</f>
        <v>0</v>
      </c>
      <c r="G36" s="701" t="e">
        <f>IF(F36="","",VLOOKUP(F36,'Списки участников'!A:K,12,FALSE))</f>
        <v>#N/A</v>
      </c>
      <c r="H36" s="494"/>
      <c r="I36" s="701" t="str">
        <f>IF(H36="","",VLOOKUP(H36,'Списки участников'!A:K,12,FALSE))</f>
        <v/>
      </c>
      <c r="J36" s="702"/>
      <c r="K36" s="702"/>
      <c r="L36" s="702"/>
      <c r="M36" s="702"/>
      <c r="N36" s="702"/>
      <c r="O36" s="932" t="str">
        <f t="shared" si="0"/>
        <v/>
      </c>
      <c r="P36" s="933" t="str">
        <f t="shared" si="1"/>
        <v/>
      </c>
      <c r="Q36" s="701"/>
    </row>
    <row r="37" spans="1:17" ht="15" customHeight="1" x14ac:dyDescent="0.25">
      <c r="A37" s="486">
        <v>33</v>
      </c>
      <c r="B37" s="496">
        <v>5</v>
      </c>
      <c r="C37" s="483" t="s">
        <v>990</v>
      </c>
      <c r="D37" s="485">
        <f>'2Ф КРУГ'!B5</f>
        <v>0</v>
      </c>
      <c r="E37" s="922" t="e">
        <f>IF(D37="","",VLOOKUP(D37,'Списки участников'!A:K,12,FALSE))</f>
        <v>#N/A</v>
      </c>
      <c r="F37" s="485">
        <f>'2Ф КРУГ'!B27</f>
        <v>0</v>
      </c>
      <c r="G37" s="922" t="e">
        <f>IF(F37="","",VLOOKUP(F37,'Списки участников'!A:K,12,FALSE))</f>
        <v>#N/A</v>
      </c>
      <c r="H37" s="485"/>
      <c r="I37" s="922" t="str">
        <f>IF(H37="","",VLOOKUP(H37,'Списки участников'!A:K,12,FALSE))</f>
        <v/>
      </c>
      <c r="J37" s="915"/>
      <c r="K37" s="915"/>
      <c r="L37" s="915"/>
      <c r="M37" s="915"/>
      <c r="N37" s="915"/>
      <c r="O37" s="905" t="str">
        <f t="shared" si="0"/>
        <v/>
      </c>
      <c r="P37" s="930" t="str">
        <f t="shared" si="1"/>
        <v/>
      </c>
      <c r="Q37" s="922"/>
    </row>
    <row r="38" spans="1:17" x14ac:dyDescent="0.25">
      <c r="A38" s="486">
        <v>34</v>
      </c>
      <c r="B38" s="496">
        <v>5</v>
      </c>
      <c r="C38" s="906" t="s">
        <v>2633</v>
      </c>
      <c r="D38" s="484">
        <f>'2Ф КРУГ'!B25</f>
        <v>0</v>
      </c>
      <c r="E38" s="922" t="e">
        <f>IF(D38="","",VLOOKUP(D38,'Списки участников'!A:K,12,FALSE))</f>
        <v>#N/A</v>
      </c>
      <c r="F38" s="485">
        <f>'2Ф КРУГ'!B29</f>
        <v>0</v>
      </c>
      <c r="G38" s="922" t="e">
        <f>IF(F38="","",VLOOKUP(F38,'Списки участников'!A:K,12,FALSE))</f>
        <v>#N/A</v>
      </c>
      <c r="H38" s="484"/>
      <c r="I38" s="922" t="str">
        <f>IF(H38="","",VLOOKUP(H38,'Списки участников'!A:K,12,FALSE))</f>
        <v/>
      </c>
      <c r="J38" s="915"/>
      <c r="K38" s="915"/>
      <c r="L38" s="915"/>
      <c r="M38" s="486"/>
      <c r="N38" s="486"/>
      <c r="O38" s="905" t="str">
        <f t="shared" si="0"/>
        <v/>
      </c>
      <c r="P38" s="930" t="str">
        <f t="shared" si="1"/>
        <v/>
      </c>
      <c r="Q38" s="931"/>
    </row>
    <row r="39" spans="1:17" x14ac:dyDescent="0.25">
      <c r="A39" s="486">
        <v>35</v>
      </c>
      <c r="B39" s="496">
        <v>5</v>
      </c>
      <c r="C39" s="906" t="s">
        <v>2634</v>
      </c>
      <c r="D39" s="484">
        <f>'2Ф КРУГ'!B23</f>
        <v>0</v>
      </c>
      <c r="E39" s="922" t="e">
        <f>IF(D39="","",VLOOKUP(D39,'Списки участников'!A:K,12,FALSE))</f>
        <v>#N/A</v>
      </c>
      <c r="F39" s="485">
        <f>'2Ф КРУГ'!B31</f>
        <v>0</v>
      </c>
      <c r="G39" s="922" t="e">
        <f>IF(F39="","",VLOOKUP(F39,'Списки участников'!A:K,12,FALSE))</f>
        <v>#N/A</v>
      </c>
      <c r="H39" s="484"/>
      <c r="I39" s="922" t="str">
        <f>IF(H39="","",VLOOKUP(H39,'Списки участников'!A:K,12,FALSE))</f>
        <v/>
      </c>
      <c r="J39" s="915"/>
      <c r="K39" s="915"/>
      <c r="L39" s="915"/>
      <c r="M39" s="486"/>
      <c r="N39" s="486"/>
      <c r="O39" s="905" t="str">
        <f t="shared" si="0"/>
        <v/>
      </c>
      <c r="P39" s="930" t="str">
        <f t="shared" si="1"/>
        <v/>
      </c>
      <c r="Q39" s="931"/>
    </row>
    <row r="40" spans="1:17" x14ac:dyDescent="0.25">
      <c r="A40" s="486">
        <v>36</v>
      </c>
      <c r="B40" s="496">
        <v>5</v>
      </c>
      <c r="C40" s="906" t="s">
        <v>2635</v>
      </c>
      <c r="D40" s="484">
        <f>'2Ф КРУГ'!B21</f>
        <v>0</v>
      </c>
      <c r="E40" s="922" t="e">
        <f>IF(D40="","",VLOOKUP(D40,'Списки участников'!A:K,12,FALSE))</f>
        <v>#N/A</v>
      </c>
      <c r="F40" s="485">
        <f>'2Ф КРУГ'!B33</f>
        <v>0</v>
      </c>
      <c r="G40" s="922" t="e">
        <f>IF(F40="","",VLOOKUP(F40,'Списки участников'!A:K,12,FALSE))</f>
        <v>#N/A</v>
      </c>
      <c r="H40" s="484"/>
      <c r="I40" s="922" t="str">
        <f>IF(H40="","",VLOOKUP(H40,'Списки участников'!A:K,12,FALSE))</f>
        <v/>
      </c>
      <c r="J40" s="915"/>
      <c r="K40" s="915"/>
      <c r="L40" s="915"/>
      <c r="M40" s="486"/>
      <c r="N40" s="486"/>
      <c r="O40" s="905" t="str">
        <f t="shared" si="0"/>
        <v/>
      </c>
      <c r="P40" s="930" t="str">
        <f t="shared" si="1"/>
        <v/>
      </c>
      <c r="Q40" s="931"/>
    </row>
    <row r="41" spans="1:17" x14ac:dyDescent="0.25">
      <c r="A41" s="486">
        <v>37</v>
      </c>
      <c r="B41" s="489">
        <v>5</v>
      </c>
      <c r="C41" s="906" t="s">
        <v>2636</v>
      </c>
      <c r="D41" s="484">
        <f>'2Ф КРУГ'!B19</f>
        <v>0</v>
      </c>
      <c r="E41" s="922" t="e">
        <f>IF(D41="","",VLOOKUP(D41,'Списки участников'!A:K,12,FALSE))</f>
        <v>#N/A</v>
      </c>
      <c r="F41" s="485">
        <f>'2Ф КРУГ'!B35</f>
        <v>0</v>
      </c>
      <c r="G41" s="922" t="e">
        <f>IF(F41="","",VLOOKUP(F41,'Списки участников'!A:K,12,FALSE))</f>
        <v>#N/A</v>
      </c>
      <c r="H41" s="484"/>
      <c r="I41" s="922" t="str">
        <f>IF(H41="","",VLOOKUP(H41,'Списки участников'!A:K,12,FALSE))</f>
        <v/>
      </c>
      <c r="J41" s="915"/>
      <c r="K41" s="915"/>
      <c r="L41" s="915"/>
      <c r="M41" s="486"/>
      <c r="N41" s="486"/>
      <c r="O41" s="905" t="str">
        <f t="shared" si="0"/>
        <v/>
      </c>
      <c r="P41" s="930" t="str">
        <f t="shared" si="1"/>
        <v/>
      </c>
      <c r="Q41" s="931"/>
    </row>
    <row r="42" spans="1:17" x14ac:dyDescent="0.25">
      <c r="A42" s="486">
        <v>38</v>
      </c>
      <c r="B42" s="496">
        <v>5</v>
      </c>
      <c r="C42" s="490" t="s">
        <v>991</v>
      </c>
      <c r="D42" s="491">
        <f>'2Ф КРУГ'!B7</f>
        <v>0</v>
      </c>
      <c r="E42" s="922" t="e">
        <f>IF(D42="","",VLOOKUP(D42,'Списки участников'!A:K,12,FALSE))</f>
        <v>#N/A</v>
      </c>
      <c r="F42" s="485">
        <f>'2Ф КРУГ'!B17</f>
        <v>0</v>
      </c>
      <c r="G42" s="922" t="e">
        <f>IF(F42="","",VLOOKUP(F42,'Списки участников'!A:K,12,FALSE))</f>
        <v>#N/A</v>
      </c>
      <c r="H42" s="491"/>
      <c r="I42" s="922" t="str">
        <f>IF(H42="","",VLOOKUP(H42,'Списки участников'!A:K,12,FALSE))</f>
        <v/>
      </c>
      <c r="J42" s="915"/>
      <c r="K42" s="915"/>
      <c r="L42" s="915"/>
      <c r="M42" s="914"/>
      <c r="N42" s="914"/>
      <c r="O42" s="905" t="str">
        <f t="shared" si="0"/>
        <v/>
      </c>
      <c r="P42" s="930" t="str">
        <f t="shared" si="1"/>
        <v/>
      </c>
      <c r="Q42" s="931"/>
    </row>
    <row r="43" spans="1:17" x14ac:dyDescent="0.25">
      <c r="A43" s="486">
        <v>39</v>
      </c>
      <c r="B43" s="496">
        <v>5</v>
      </c>
      <c r="C43" s="490" t="s">
        <v>992</v>
      </c>
      <c r="D43" s="491">
        <f>'2Ф КРУГ'!B9</f>
        <v>0</v>
      </c>
      <c r="E43" s="922" t="e">
        <f>IF(D43="","",VLOOKUP(D43,'Списки участников'!A:K,12,FALSE))</f>
        <v>#N/A</v>
      </c>
      <c r="F43" s="485">
        <f>'2Ф КРУГ'!B15</f>
        <v>0</v>
      </c>
      <c r="G43" s="922" t="e">
        <f>IF(F43="","",VLOOKUP(F43,'Списки участников'!A:K,12,FALSE))</f>
        <v>#N/A</v>
      </c>
      <c r="H43" s="491"/>
      <c r="I43" s="922" t="str">
        <f>IF(H43="","",VLOOKUP(H43,'Списки участников'!A:K,12,FALSE))</f>
        <v/>
      </c>
      <c r="J43" s="915"/>
      <c r="K43" s="915"/>
      <c r="L43" s="915"/>
      <c r="M43" s="914"/>
      <c r="N43" s="914"/>
      <c r="O43" s="905" t="str">
        <f t="shared" si="0"/>
        <v/>
      </c>
      <c r="P43" s="930" t="str">
        <f t="shared" si="1"/>
        <v/>
      </c>
      <c r="Q43" s="931"/>
    </row>
    <row r="44" spans="1:17" ht="15.75" thickBot="1" x14ac:dyDescent="0.3">
      <c r="A44" s="486">
        <v>40</v>
      </c>
      <c r="B44" s="500">
        <v>5</v>
      </c>
      <c r="C44" s="493" t="s">
        <v>993</v>
      </c>
      <c r="D44" s="494">
        <f>'2Ф КРУГ'!B11</f>
        <v>0</v>
      </c>
      <c r="E44" s="701" t="e">
        <f>IF(D44="","",VLOOKUP(D44,'Списки участников'!A:K,12,FALSE))</f>
        <v>#N/A</v>
      </c>
      <c r="F44" s="494">
        <f>'2Ф КРУГ'!B13</f>
        <v>0</v>
      </c>
      <c r="G44" s="701" t="e">
        <f>IF(F44="","",VLOOKUP(F44,'Списки участников'!A:K,12,FALSE))</f>
        <v>#N/A</v>
      </c>
      <c r="H44" s="494"/>
      <c r="I44" s="701" t="str">
        <f>IF(H44="","",VLOOKUP(H44,'Списки участников'!A:K,12,FALSE))</f>
        <v/>
      </c>
      <c r="J44" s="702"/>
      <c r="K44" s="702"/>
      <c r="L44" s="702"/>
      <c r="M44" s="702"/>
      <c r="N44" s="702"/>
      <c r="O44" s="932" t="str">
        <f t="shared" si="0"/>
        <v/>
      </c>
      <c r="P44" s="933" t="str">
        <f t="shared" si="1"/>
        <v/>
      </c>
      <c r="Q44" s="701"/>
    </row>
    <row r="45" spans="1:17" ht="15" customHeight="1" x14ac:dyDescent="0.25">
      <c r="A45" s="486">
        <v>41</v>
      </c>
      <c r="B45" s="482">
        <v>6</v>
      </c>
      <c r="C45" s="907" t="s">
        <v>2637</v>
      </c>
      <c r="D45" s="485">
        <f>'2Ф КРУГ'!B5</f>
        <v>0</v>
      </c>
      <c r="E45" s="922" t="e">
        <f>IF(D45="","",VLOOKUP(D45,'Списки участников'!A:K,12,FALSE))</f>
        <v>#N/A</v>
      </c>
      <c r="F45" s="485">
        <f>'2Ф КРУГ'!B25</f>
        <v>0</v>
      </c>
      <c r="G45" s="922" t="e">
        <f>IF(F45="","",VLOOKUP(F45,'Списки участников'!A:K,12,FALSE))</f>
        <v>#N/A</v>
      </c>
      <c r="H45" s="485"/>
      <c r="I45" s="922" t="str">
        <f>IF(H45="","",VLOOKUP(H45,'Списки участников'!A:K,12,FALSE))</f>
        <v/>
      </c>
      <c r="J45" s="915"/>
      <c r="K45" s="915"/>
      <c r="L45" s="915"/>
      <c r="M45" s="915"/>
      <c r="N45" s="915"/>
      <c r="O45" s="905" t="str">
        <f t="shared" si="0"/>
        <v/>
      </c>
      <c r="P45" s="930" t="str">
        <f t="shared" si="1"/>
        <v/>
      </c>
      <c r="Q45" s="922"/>
    </row>
    <row r="46" spans="1:17" x14ac:dyDescent="0.25">
      <c r="A46" s="486">
        <v>42</v>
      </c>
      <c r="B46" s="496">
        <v>6</v>
      </c>
      <c r="C46" s="906" t="s">
        <v>2638</v>
      </c>
      <c r="D46" s="484">
        <f>'2Ф КРУГ'!B23</f>
        <v>0</v>
      </c>
      <c r="E46" s="922" t="e">
        <f>IF(D46="","",VLOOKUP(D46,'Списки участников'!A:K,12,FALSE))</f>
        <v>#N/A</v>
      </c>
      <c r="F46" s="484">
        <f>'2Ф КРУГ'!B27</f>
        <v>0</v>
      </c>
      <c r="G46" s="922" t="e">
        <f>IF(F46="","",VLOOKUP(F46,'Списки участников'!A:K,12,FALSE))</f>
        <v>#N/A</v>
      </c>
      <c r="H46" s="484"/>
      <c r="I46" s="922" t="str">
        <f>IF(H46="","",VLOOKUP(H46,'Списки участников'!A:K,12,FALSE))</f>
        <v/>
      </c>
      <c r="J46" s="915"/>
      <c r="K46" s="915"/>
      <c r="L46" s="915"/>
      <c r="M46" s="486"/>
      <c r="N46" s="486"/>
      <c r="O46" s="905" t="str">
        <f t="shared" si="0"/>
        <v/>
      </c>
      <c r="P46" s="930" t="str">
        <f t="shared" si="1"/>
        <v/>
      </c>
      <c r="Q46" s="931"/>
    </row>
    <row r="47" spans="1:17" x14ac:dyDescent="0.25">
      <c r="A47" s="486">
        <v>43</v>
      </c>
      <c r="B47" s="496">
        <v>6</v>
      </c>
      <c r="C47" s="906" t="s">
        <v>2639</v>
      </c>
      <c r="D47" s="484">
        <f>'2Ф КРУГ'!B21</f>
        <v>0</v>
      </c>
      <c r="E47" s="922" t="e">
        <f>IF(D47="","",VLOOKUP(D47,'Списки участников'!A:K,12,FALSE))</f>
        <v>#N/A</v>
      </c>
      <c r="F47" s="484">
        <f>'2Ф КРУГ'!B29</f>
        <v>0</v>
      </c>
      <c r="G47" s="922" t="e">
        <f>IF(F47="","",VLOOKUP(F47,'Списки участников'!A:K,12,FALSE))</f>
        <v>#N/A</v>
      </c>
      <c r="H47" s="484"/>
      <c r="I47" s="922" t="str">
        <f>IF(H47="","",VLOOKUP(H47,'Списки участников'!A:K,12,FALSE))</f>
        <v/>
      </c>
      <c r="J47" s="915"/>
      <c r="K47" s="915"/>
      <c r="L47" s="915"/>
      <c r="M47" s="486"/>
      <c r="N47" s="486"/>
      <c r="O47" s="905" t="str">
        <f t="shared" si="0"/>
        <v/>
      </c>
      <c r="P47" s="930" t="str">
        <f t="shared" si="1"/>
        <v/>
      </c>
      <c r="Q47" s="931"/>
    </row>
    <row r="48" spans="1:17" x14ac:dyDescent="0.25">
      <c r="A48" s="486">
        <v>44</v>
      </c>
      <c r="B48" s="496">
        <v>6</v>
      </c>
      <c r="C48" s="906" t="s">
        <v>2640</v>
      </c>
      <c r="D48" s="484">
        <f>'2Ф КРУГ'!B19</f>
        <v>0</v>
      </c>
      <c r="E48" s="922" t="e">
        <f>IF(D48="","",VLOOKUP(D48,'Списки участников'!A:K,12,FALSE))</f>
        <v>#N/A</v>
      </c>
      <c r="F48" s="484">
        <f>'2Ф КРУГ'!B31</f>
        <v>0</v>
      </c>
      <c r="G48" s="922" t="e">
        <f>IF(F48="","",VLOOKUP(F48,'Списки участников'!A:K,12,FALSE))</f>
        <v>#N/A</v>
      </c>
      <c r="H48" s="484"/>
      <c r="I48" s="922" t="str">
        <f>IF(H48="","",VLOOKUP(H48,'Списки участников'!A:K,12,FALSE))</f>
        <v/>
      </c>
      <c r="J48" s="915"/>
      <c r="K48" s="915"/>
      <c r="L48" s="915"/>
      <c r="M48" s="486"/>
      <c r="N48" s="486"/>
      <c r="O48" s="905" t="str">
        <f t="shared" si="0"/>
        <v/>
      </c>
      <c r="P48" s="930" t="str">
        <f t="shared" si="1"/>
        <v/>
      </c>
      <c r="Q48" s="931"/>
    </row>
    <row r="49" spans="1:21" x14ac:dyDescent="0.25">
      <c r="A49" s="486">
        <v>45</v>
      </c>
      <c r="B49" s="501">
        <v>6</v>
      </c>
      <c r="C49" s="906" t="s">
        <v>2641</v>
      </c>
      <c r="D49" s="484">
        <f>'2Ф КРУГ'!B17</f>
        <v>0</v>
      </c>
      <c r="E49" s="922" t="e">
        <f>IF(D49="","",VLOOKUP(D49,'Списки участников'!A:K,12,FALSE))</f>
        <v>#N/A</v>
      </c>
      <c r="F49" s="484">
        <f>'2Ф КРУГ'!B33</f>
        <v>0</v>
      </c>
      <c r="G49" s="922" t="e">
        <f>IF(F49="","",VLOOKUP(F49,'Списки участников'!A:K,12,FALSE))</f>
        <v>#N/A</v>
      </c>
      <c r="H49" s="484"/>
      <c r="I49" s="922" t="str">
        <f>IF(H49="","",VLOOKUP(H49,'Списки участников'!A:K,12,FALSE))</f>
        <v/>
      </c>
      <c r="J49" s="915"/>
      <c r="K49" s="915"/>
      <c r="L49" s="915"/>
      <c r="M49" s="486"/>
      <c r="N49" s="486"/>
      <c r="O49" s="905" t="str">
        <f t="shared" si="0"/>
        <v/>
      </c>
      <c r="P49" s="930" t="str">
        <f t="shared" si="1"/>
        <v/>
      </c>
      <c r="Q49" s="931"/>
    </row>
    <row r="50" spans="1:21" x14ac:dyDescent="0.25">
      <c r="A50" s="486">
        <v>46</v>
      </c>
      <c r="B50" s="496">
        <v>6</v>
      </c>
      <c r="C50" s="908" t="s">
        <v>2642</v>
      </c>
      <c r="D50" s="491">
        <f>'2Ф КРУГ'!B15</f>
        <v>0</v>
      </c>
      <c r="E50" s="922" t="e">
        <f>IF(D50="","",VLOOKUP(D50,'Списки участников'!A:K,12,FALSE))</f>
        <v>#N/A</v>
      </c>
      <c r="F50" s="484">
        <f>'2Ф КРУГ'!B35</f>
        <v>0</v>
      </c>
      <c r="G50" s="922" t="e">
        <f>IF(F50="","",VLOOKUP(F50,'Списки участников'!A:K,12,FALSE))</f>
        <v>#N/A</v>
      </c>
      <c r="H50" s="491"/>
      <c r="I50" s="922" t="str">
        <f>IF(H50="","",VLOOKUP(H50,'Списки участников'!A:K,12,FALSE))</f>
        <v/>
      </c>
      <c r="J50" s="915"/>
      <c r="K50" s="915"/>
      <c r="L50" s="915"/>
      <c r="M50" s="914"/>
      <c r="N50" s="914"/>
      <c r="O50" s="905" t="str">
        <f t="shared" si="0"/>
        <v/>
      </c>
      <c r="P50" s="930" t="str">
        <f t="shared" si="1"/>
        <v/>
      </c>
      <c r="Q50" s="931"/>
    </row>
    <row r="51" spans="1:21" x14ac:dyDescent="0.25">
      <c r="A51" s="486">
        <v>47</v>
      </c>
      <c r="B51" s="496">
        <v>6</v>
      </c>
      <c r="C51" s="490" t="s">
        <v>994</v>
      </c>
      <c r="D51" s="491">
        <f>'2Ф КРУГ'!B7</f>
        <v>0</v>
      </c>
      <c r="E51" s="922" t="e">
        <f>IF(D51="","",VLOOKUP(D51,'Списки участников'!A:K,12,FALSE))</f>
        <v>#N/A</v>
      </c>
      <c r="F51" s="484">
        <f>'2Ф КРУГ'!B13</f>
        <v>0</v>
      </c>
      <c r="G51" s="922" t="e">
        <f>IF(F51="","",VLOOKUP(F51,'Списки участников'!A:K,12,FALSE))</f>
        <v>#N/A</v>
      </c>
      <c r="H51" s="491"/>
      <c r="I51" s="922" t="str">
        <f>IF(H51="","",VLOOKUP(H51,'Списки участников'!A:K,12,FALSE))</f>
        <v/>
      </c>
      <c r="J51" s="915"/>
      <c r="K51" s="915"/>
      <c r="L51" s="915"/>
      <c r="M51" s="914"/>
      <c r="N51" s="914"/>
      <c r="O51" s="905" t="str">
        <f t="shared" si="0"/>
        <v/>
      </c>
      <c r="P51" s="930" t="str">
        <f t="shared" si="1"/>
        <v/>
      </c>
      <c r="Q51" s="931"/>
    </row>
    <row r="52" spans="1:21" ht="15.75" thickBot="1" x14ac:dyDescent="0.3">
      <c r="A52" s="486">
        <v>48</v>
      </c>
      <c r="B52" s="497">
        <v>6</v>
      </c>
      <c r="C52" s="493" t="s">
        <v>995</v>
      </c>
      <c r="D52" s="494">
        <f>'2Ф КРУГ'!B9</f>
        <v>0</v>
      </c>
      <c r="E52" s="701" t="e">
        <f>IF(D52="","",VLOOKUP(D52,'Списки участников'!A:K,12,FALSE))</f>
        <v>#N/A</v>
      </c>
      <c r="F52" s="494">
        <f>'2Ф КРУГ'!B11</f>
        <v>0</v>
      </c>
      <c r="G52" s="701" t="e">
        <f>IF(F52="","",VLOOKUP(F52,'Списки участников'!A:K,12,FALSE))</f>
        <v>#N/A</v>
      </c>
      <c r="H52" s="494"/>
      <c r="I52" s="701" t="str">
        <f>IF(H52="","",VLOOKUP(H52,'Списки участников'!A:K,12,FALSE))</f>
        <v/>
      </c>
      <c r="J52" s="702"/>
      <c r="K52" s="702"/>
      <c r="L52" s="702"/>
      <c r="M52" s="702"/>
      <c r="N52" s="702"/>
      <c r="O52" s="932" t="str">
        <f t="shared" si="0"/>
        <v/>
      </c>
      <c r="P52" s="933" t="str">
        <f t="shared" si="1"/>
        <v/>
      </c>
      <c r="Q52" s="701"/>
    </row>
    <row r="53" spans="1:21" ht="15" customHeight="1" x14ac:dyDescent="0.25">
      <c r="A53" s="486">
        <v>49</v>
      </c>
      <c r="B53" s="498">
        <v>7</v>
      </c>
      <c r="C53" s="483" t="s">
        <v>996</v>
      </c>
      <c r="D53" s="485">
        <f>'2Ф КРУГ'!B5</f>
        <v>0</v>
      </c>
      <c r="E53" s="922" t="e">
        <f>IF(D53="","",VLOOKUP(D53,'Списки участников'!A:K,12,FALSE))</f>
        <v>#N/A</v>
      </c>
      <c r="F53" s="485">
        <f>'2Ф КРУГ'!B23</f>
        <v>0</v>
      </c>
      <c r="G53" s="922" t="e">
        <f>IF(F53="","",VLOOKUP(F53,'Списки участников'!A:K,12,FALSE))</f>
        <v>#N/A</v>
      </c>
      <c r="H53" s="485"/>
      <c r="I53" s="922" t="str">
        <f>IF(H53="","",VLOOKUP(H53,'Списки участников'!A:K,12,FALSE))</f>
        <v/>
      </c>
      <c r="J53" s="915"/>
      <c r="K53" s="915"/>
      <c r="L53" s="915"/>
      <c r="M53" s="915"/>
      <c r="N53" s="915"/>
      <c r="O53" s="905" t="str">
        <f t="shared" si="0"/>
        <v/>
      </c>
      <c r="P53" s="930" t="str">
        <f t="shared" si="1"/>
        <v/>
      </c>
      <c r="Q53" s="922"/>
    </row>
    <row r="54" spans="1:21" x14ac:dyDescent="0.25">
      <c r="A54" s="486">
        <v>50</v>
      </c>
      <c r="B54" s="496">
        <v>7</v>
      </c>
      <c r="C54" s="906" t="s">
        <v>2643</v>
      </c>
      <c r="D54" s="484">
        <f>'2Ф КРУГ'!B21</f>
        <v>0</v>
      </c>
      <c r="E54" s="922" t="e">
        <f>IF(D54="","",VLOOKUP(D54,'Списки участников'!A:K,12,FALSE))</f>
        <v>#N/A</v>
      </c>
      <c r="F54" s="485">
        <f>'2Ф КРУГ'!B25</f>
        <v>0</v>
      </c>
      <c r="G54" s="922" t="e">
        <f>IF(F54="","",VLOOKUP(F54,'Списки участников'!A:K,12,FALSE))</f>
        <v>#N/A</v>
      </c>
      <c r="H54" s="484"/>
      <c r="I54" s="922" t="str">
        <f>IF(H54="","",VLOOKUP(H54,'Списки участников'!A:K,12,FALSE))</f>
        <v/>
      </c>
      <c r="J54" s="915"/>
      <c r="K54" s="915"/>
      <c r="L54" s="915"/>
      <c r="M54" s="486"/>
      <c r="N54" s="486"/>
      <c r="O54" s="905" t="str">
        <f t="shared" si="0"/>
        <v/>
      </c>
      <c r="P54" s="930" t="str">
        <f t="shared" si="1"/>
        <v/>
      </c>
      <c r="Q54" s="931"/>
    </row>
    <row r="55" spans="1:21" x14ac:dyDescent="0.25">
      <c r="A55" s="486">
        <v>51</v>
      </c>
      <c r="B55" s="496">
        <v>7</v>
      </c>
      <c r="C55" s="906" t="s">
        <v>2644</v>
      </c>
      <c r="D55" s="484">
        <f>'2Ф КРУГ'!B19</f>
        <v>0</v>
      </c>
      <c r="E55" s="922" t="e">
        <f>IF(D55="","",VLOOKUP(D55,'Списки участников'!A:K,12,FALSE))</f>
        <v>#N/A</v>
      </c>
      <c r="F55" s="485">
        <f>'2Ф КРУГ'!B27</f>
        <v>0</v>
      </c>
      <c r="G55" s="922" t="e">
        <f>IF(F55="","",VLOOKUP(F55,'Списки участников'!A:K,12,FALSE))</f>
        <v>#N/A</v>
      </c>
      <c r="H55" s="484"/>
      <c r="I55" s="922" t="str">
        <f>IF(H55="","",VLOOKUP(H55,'Списки участников'!A:K,12,FALSE))</f>
        <v/>
      </c>
      <c r="J55" s="915"/>
      <c r="K55" s="915"/>
      <c r="L55" s="915"/>
      <c r="M55" s="486"/>
      <c r="N55" s="486"/>
      <c r="O55" s="905" t="str">
        <f t="shared" si="0"/>
        <v/>
      </c>
      <c r="P55" s="930" t="str">
        <f t="shared" si="1"/>
        <v/>
      </c>
      <c r="Q55" s="931"/>
    </row>
    <row r="56" spans="1:21" x14ac:dyDescent="0.25">
      <c r="A56" s="486">
        <v>52</v>
      </c>
      <c r="B56" s="496">
        <v>7</v>
      </c>
      <c r="C56" s="906" t="s">
        <v>2645</v>
      </c>
      <c r="D56" s="484">
        <f>'2Ф КРУГ'!B17</f>
        <v>0</v>
      </c>
      <c r="E56" s="922" t="e">
        <f>IF(D56="","",VLOOKUP(D56,'Списки участников'!A:K,12,FALSE))</f>
        <v>#N/A</v>
      </c>
      <c r="F56" s="485">
        <f>'2Ф КРУГ'!B29</f>
        <v>0</v>
      </c>
      <c r="G56" s="922" t="e">
        <f>IF(F56="","",VLOOKUP(F56,'Списки участников'!A:K,12,FALSE))</f>
        <v>#N/A</v>
      </c>
      <c r="H56" s="484"/>
      <c r="I56" s="922" t="str">
        <f>IF(H56="","",VLOOKUP(H56,'Списки участников'!A:K,12,FALSE))</f>
        <v/>
      </c>
      <c r="J56" s="915"/>
      <c r="K56" s="915"/>
      <c r="L56" s="915"/>
      <c r="M56" s="486"/>
      <c r="N56" s="486"/>
      <c r="O56" s="905" t="str">
        <f t="shared" si="0"/>
        <v/>
      </c>
      <c r="P56" s="930" t="str">
        <f t="shared" si="1"/>
        <v/>
      </c>
      <c r="Q56" s="931"/>
    </row>
    <row r="57" spans="1:21" x14ac:dyDescent="0.25">
      <c r="A57" s="486">
        <v>53</v>
      </c>
      <c r="B57" s="501">
        <v>7</v>
      </c>
      <c r="C57" s="906" t="s">
        <v>2646</v>
      </c>
      <c r="D57" s="484">
        <f>'2Ф КРУГ'!B15</f>
        <v>0</v>
      </c>
      <c r="E57" s="922" t="e">
        <f>IF(D57="","",VLOOKUP(D57,'Списки участников'!A:K,12,FALSE))</f>
        <v>#N/A</v>
      </c>
      <c r="F57" s="485">
        <f>'2Ф КРУГ'!B31</f>
        <v>0</v>
      </c>
      <c r="G57" s="922" t="e">
        <f>IF(F57="","",VLOOKUP(F57,'Списки участников'!A:K,12,FALSE))</f>
        <v>#N/A</v>
      </c>
      <c r="H57" s="484"/>
      <c r="I57" s="922" t="str">
        <f>IF(H57="","",VLOOKUP(H57,'Списки участников'!A:K,12,FALSE))</f>
        <v/>
      </c>
      <c r="J57" s="915"/>
      <c r="K57" s="915"/>
      <c r="L57" s="915"/>
      <c r="M57" s="486"/>
      <c r="N57" s="486"/>
      <c r="O57" s="905" t="str">
        <f t="shared" si="0"/>
        <v/>
      </c>
      <c r="P57" s="930" t="str">
        <f t="shared" si="1"/>
        <v/>
      </c>
      <c r="Q57" s="931"/>
    </row>
    <row r="58" spans="1:21" x14ac:dyDescent="0.25">
      <c r="A58" s="486">
        <v>54</v>
      </c>
      <c r="B58" s="496">
        <v>7</v>
      </c>
      <c r="C58" s="908" t="s">
        <v>2647</v>
      </c>
      <c r="D58" s="491">
        <f>'2Ф КРУГ'!B13</f>
        <v>0</v>
      </c>
      <c r="E58" s="922" t="e">
        <f>IF(D58="","",VLOOKUP(D58,'Списки участников'!A:K,12,FALSE))</f>
        <v>#N/A</v>
      </c>
      <c r="F58" s="485">
        <f>'2Ф КРУГ'!B33</f>
        <v>0</v>
      </c>
      <c r="G58" s="922" t="e">
        <f>IF(F58="","",VLOOKUP(F58,'Списки участников'!A:K,12,FALSE))</f>
        <v>#N/A</v>
      </c>
      <c r="H58" s="491"/>
      <c r="I58" s="922" t="str">
        <f>IF(H58="","",VLOOKUP(H58,'Списки участников'!A:K,12,FALSE))</f>
        <v/>
      </c>
      <c r="J58" s="915"/>
      <c r="K58" s="915"/>
      <c r="L58" s="915"/>
      <c r="M58" s="914"/>
      <c r="N58" s="914"/>
      <c r="O58" s="905" t="str">
        <f t="shared" si="0"/>
        <v/>
      </c>
      <c r="P58" s="930" t="str">
        <f t="shared" si="1"/>
        <v/>
      </c>
      <c r="Q58" s="931"/>
    </row>
    <row r="59" spans="1:21" x14ac:dyDescent="0.25">
      <c r="A59" s="486">
        <v>55</v>
      </c>
      <c r="B59" s="496">
        <v>7</v>
      </c>
      <c r="C59" s="908" t="s">
        <v>2648</v>
      </c>
      <c r="D59" s="491">
        <f>'2Ф КРУГ'!B11</f>
        <v>0</v>
      </c>
      <c r="E59" s="922" t="e">
        <f>IF(D59="","",VLOOKUP(D59,'Списки участников'!A:K,12,FALSE))</f>
        <v>#N/A</v>
      </c>
      <c r="F59" s="485">
        <f>'2Ф КРУГ'!B35</f>
        <v>0</v>
      </c>
      <c r="G59" s="922" t="e">
        <f>IF(F59="","",VLOOKUP(F59,'Списки участников'!A:K,12,FALSE))</f>
        <v>#N/A</v>
      </c>
      <c r="H59" s="491"/>
      <c r="I59" s="922" t="str">
        <f>IF(H59="","",VLOOKUP(H59,'Списки участников'!A:K,12,FALSE))</f>
        <v/>
      </c>
      <c r="J59" s="915"/>
      <c r="K59" s="915"/>
      <c r="L59" s="915"/>
      <c r="M59" s="914"/>
      <c r="N59" s="914"/>
      <c r="O59" s="905" t="str">
        <f t="shared" si="0"/>
        <v/>
      </c>
      <c r="P59" s="930" t="str">
        <f t="shared" si="1"/>
        <v/>
      </c>
      <c r="Q59" s="931"/>
      <c r="R59" s="511"/>
      <c r="S59" s="511"/>
      <c r="T59" s="511"/>
      <c r="U59" s="511"/>
    </row>
    <row r="60" spans="1:21" ht="15.75" thickBot="1" x14ac:dyDescent="0.3">
      <c r="A60" s="486">
        <v>56</v>
      </c>
      <c r="B60" s="500">
        <v>7</v>
      </c>
      <c r="C60" s="493" t="s">
        <v>997</v>
      </c>
      <c r="D60" s="494">
        <f>'2Ф КРУГ'!B7</f>
        <v>0</v>
      </c>
      <c r="E60" s="701" t="e">
        <f>IF(D60="","",VLOOKUP(D60,'Списки участников'!A:K,12,FALSE))</f>
        <v>#N/A</v>
      </c>
      <c r="F60" s="494">
        <f>'2Ф КРУГ'!B9</f>
        <v>0</v>
      </c>
      <c r="G60" s="701" t="e">
        <f>IF(F60="","",VLOOKUP(F60,'Списки участников'!A:K,12,FALSE))</f>
        <v>#N/A</v>
      </c>
      <c r="H60" s="494"/>
      <c r="I60" s="701" t="str">
        <f>IF(H60="","",VLOOKUP(H60,'Списки участников'!A:K,12,FALSE))</f>
        <v/>
      </c>
      <c r="J60" s="702"/>
      <c r="K60" s="702"/>
      <c r="L60" s="702"/>
      <c r="M60" s="702"/>
      <c r="N60" s="702"/>
      <c r="O60" s="932" t="str">
        <f t="shared" si="0"/>
        <v/>
      </c>
      <c r="P60" s="933" t="str">
        <f t="shared" si="1"/>
        <v/>
      </c>
      <c r="Q60" s="701"/>
      <c r="R60" s="511"/>
      <c r="S60" s="511"/>
      <c r="T60" s="511"/>
      <c r="U60" s="511"/>
    </row>
    <row r="61" spans="1:21" ht="15" customHeight="1" x14ac:dyDescent="0.25">
      <c r="A61" s="486">
        <v>57</v>
      </c>
      <c r="B61" s="482">
        <v>8</v>
      </c>
      <c r="C61" s="907" t="s">
        <v>2649</v>
      </c>
      <c r="D61" s="485">
        <f>'2Ф КРУГ'!B5</f>
        <v>0</v>
      </c>
      <c r="E61" s="922" t="e">
        <f>IF(D61="","",VLOOKUP(D61,'Списки участников'!A:K,12,FALSE))</f>
        <v>#N/A</v>
      </c>
      <c r="F61" s="485">
        <f>'2Ф КРУГ'!B21</f>
        <v>0</v>
      </c>
      <c r="G61" s="922" t="e">
        <f>IF(F61="","",VLOOKUP(F61,'Списки участников'!A:K,12,FALSE))</f>
        <v>#N/A</v>
      </c>
      <c r="H61" s="485"/>
      <c r="I61" s="922" t="str">
        <f>IF(H61="","",VLOOKUP(H61,'Списки участников'!A:K,12,FALSE))</f>
        <v/>
      </c>
      <c r="J61" s="915"/>
      <c r="K61" s="915"/>
      <c r="L61" s="915"/>
      <c r="M61" s="915"/>
      <c r="N61" s="915"/>
      <c r="O61" s="905" t="str">
        <f t="shared" si="0"/>
        <v/>
      </c>
      <c r="P61" s="930" t="str">
        <f t="shared" si="1"/>
        <v/>
      </c>
      <c r="Q61" s="922"/>
    </row>
    <row r="62" spans="1:21" x14ac:dyDescent="0.25">
      <c r="A62" s="486">
        <v>58</v>
      </c>
      <c r="B62" s="496">
        <v>8</v>
      </c>
      <c r="C62" s="906" t="s">
        <v>2650</v>
      </c>
      <c r="D62" s="484">
        <f>'2Ф КРУГ'!B19</f>
        <v>0</v>
      </c>
      <c r="E62" s="922" t="e">
        <f>IF(D62="","",VLOOKUP(D62,'Списки участников'!A:K,12,FALSE))</f>
        <v>#N/A</v>
      </c>
      <c r="F62" s="484">
        <f>'2Ф КРУГ'!B23</f>
        <v>0</v>
      </c>
      <c r="G62" s="922" t="e">
        <f>IF(F62="","",VLOOKUP(F62,'Списки участников'!A:K,12,FALSE))</f>
        <v>#N/A</v>
      </c>
      <c r="H62" s="484"/>
      <c r="I62" s="922" t="str">
        <f>IF(H62="","",VLOOKUP(H62,'Списки участников'!A:K,12,FALSE))</f>
        <v/>
      </c>
      <c r="J62" s="915"/>
      <c r="K62" s="915"/>
      <c r="L62" s="915"/>
      <c r="M62" s="915"/>
      <c r="N62" s="486"/>
      <c r="O62" s="905" t="str">
        <f t="shared" si="0"/>
        <v/>
      </c>
      <c r="P62" s="930" t="str">
        <f t="shared" si="1"/>
        <v/>
      </c>
      <c r="Q62" s="931"/>
    </row>
    <row r="63" spans="1:21" x14ac:dyDescent="0.25">
      <c r="A63" s="486">
        <v>59</v>
      </c>
      <c r="B63" s="496">
        <v>8</v>
      </c>
      <c r="C63" s="906" t="s">
        <v>2651</v>
      </c>
      <c r="D63" s="484">
        <f>'2Ф КРУГ'!B17</f>
        <v>0</v>
      </c>
      <c r="E63" s="922" t="e">
        <f>IF(D63="","",VLOOKUP(D63,'Списки участников'!A:K,12,FALSE))</f>
        <v>#N/A</v>
      </c>
      <c r="F63" s="484">
        <f>'2Ф КРУГ'!B25</f>
        <v>0</v>
      </c>
      <c r="G63" s="922" t="e">
        <f>IF(F63="","",VLOOKUP(F63,'Списки участников'!A:K,12,FALSE))</f>
        <v>#N/A</v>
      </c>
      <c r="H63" s="484"/>
      <c r="I63" s="922" t="str">
        <f>IF(H63="","",VLOOKUP(H63,'Списки участников'!A:K,12,FALSE))</f>
        <v/>
      </c>
      <c r="J63" s="915"/>
      <c r="K63" s="915"/>
      <c r="L63" s="915"/>
      <c r="M63" s="915"/>
      <c r="N63" s="486"/>
      <c r="O63" s="905" t="str">
        <f t="shared" si="0"/>
        <v/>
      </c>
      <c r="P63" s="930" t="str">
        <f t="shared" si="1"/>
        <v/>
      </c>
      <c r="Q63" s="931"/>
    </row>
    <row r="64" spans="1:21" x14ac:dyDescent="0.25">
      <c r="A64" s="486">
        <v>60</v>
      </c>
      <c r="B64" s="496">
        <v>8</v>
      </c>
      <c r="C64" s="906" t="s">
        <v>2652</v>
      </c>
      <c r="D64" s="484">
        <f>'2Ф КРУГ'!B15</f>
        <v>0</v>
      </c>
      <c r="E64" s="922" t="e">
        <f>IF(D64="","",VLOOKUP(D64,'Списки участников'!A:K,12,FALSE))</f>
        <v>#N/A</v>
      </c>
      <c r="F64" s="484">
        <f>'2Ф КРУГ'!B27</f>
        <v>0</v>
      </c>
      <c r="G64" s="922" t="e">
        <f>IF(F64="","",VLOOKUP(F64,'Списки участников'!A:K,12,FALSE))</f>
        <v>#N/A</v>
      </c>
      <c r="H64" s="484"/>
      <c r="I64" s="922" t="str">
        <f>IF(H64="","",VLOOKUP(H64,'Списки участников'!A:K,12,FALSE))</f>
        <v/>
      </c>
      <c r="J64" s="915"/>
      <c r="K64" s="915"/>
      <c r="L64" s="915"/>
      <c r="M64" s="915"/>
      <c r="N64" s="486"/>
      <c r="O64" s="905" t="str">
        <f t="shared" si="0"/>
        <v/>
      </c>
      <c r="P64" s="930" t="str">
        <f t="shared" si="1"/>
        <v/>
      </c>
      <c r="Q64" s="931"/>
    </row>
    <row r="65" spans="1:17" x14ac:dyDescent="0.25">
      <c r="A65" s="486">
        <v>61</v>
      </c>
      <c r="B65" s="501">
        <v>8</v>
      </c>
      <c r="C65" s="906" t="s">
        <v>2653</v>
      </c>
      <c r="D65" s="484">
        <f>'2Ф КРУГ'!B13</f>
        <v>0</v>
      </c>
      <c r="E65" s="922" t="e">
        <f>IF(D65="","",VLOOKUP(D65,'Списки участников'!A:K,12,FALSE))</f>
        <v>#N/A</v>
      </c>
      <c r="F65" s="484">
        <f>'2Ф КРУГ'!B29</f>
        <v>0</v>
      </c>
      <c r="G65" s="922" t="e">
        <f>IF(F65="","",VLOOKUP(F65,'Списки участников'!A:K,12,FALSE))</f>
        <v>#N/A</v>
      </c>
      <c r="H65" s="484"/>
      <c r="I65" s="922" t="str">
        <f>IF(H65="","",VLOOKUP(H65,'Списки участников'!A:K,12,FALSE))</f>
        <v/>
      </c>
      <c r="J65" s="915"/>
      <c r="K65" s="915"/>
      <c r="L65" s="915"/>
      <c r="M65" s="915"/>
      <c r="N65" s="486"/>
      <c r="O65" s="905" t="str">
        <f t="shared" si="0"/>
        <v/>
      </c>
      <c r="P65" s="930" t="str">
        <f t="shared" si="1"/>
        <v/>
      </c>
      <c r="Q65" s="931"/>
    </row>
    <row r="66" spans="1:17" x14ac:dyDescent="0.25">
      <c r="A66" s="486">
        <v>62</v>
      </c>
      <c r="B66" s="496">
        <v>8</v>
      </c>
      <c r="C66" s="908" t="s">
        <v>2654</v>
      </c>
      <c r="D66" s="484">
        <f>'2Ф КРУГ'!B11</f>
        <v>0</v>
      </c>
      <c r="E66" s="922" t="e">
        <f>IF(D66="","",VLOOKUP(D66,'Списки участников'!A:K,12,FALSE))</f>
        <v>#N/A</v>
      </c>
      <c r="F66" s="484">
        <f>'2Ф КРУГ'!B31</f>
        <v>0</v>
      </c>
      <c r="G66" s="922" t="e">
        <f>IF(F66="","",VLOOKUP(F66,'Списки участников'!A:K,12,FALSE))</f>
        <v>#N/A</v>
      </c>
      <c r="H66" s="491"/>
      <c r="I66" s="922" t="str">
        <f>IF(H66="","",VLOOKUP(H66,'Списки участников'!A:K,12,FALSE))</f>
        <v/>
      </c>
      <c r="J66" s="915"/>
      <c r="K66" s="915"/>
      <c r="L66" s="915"/>
      <c r="M66" s="915"/>
      <c r="N66" s="914"/>
      <c r="O66" s="905" t="str">
        <f t="shared" si="0"/>
        <v/>
      </c>
      <c r="P66" s="930" t="str">
        <f t="shared" si="1"/>
        <v/>
      </c>
      <c r="Q66" s="931"/>
    </row>
    <row r="67" spans="1:17" x14ac:dyDescent="0.25">
      <c r="A67" s="486">
        <v>63</v>
      </c>
      <c r="B67" s="496">
        <v>8</v>
      </c>
      <c r="C67" s="908" t="s">
        <v>2655</v>
      </c>
      <c r="D67" s="484">
        <f>'2Ф КРУГ'!B9</f>
        <v>0</v>
      </c>
      <c r="E67" s="922" t="e">
        <f>IF(D67="","",VLOOKUP(D67,'Списки участников'!A:K,12,FALSE))</f>
        <v>#N/A</v>
      </c>
      <c r="F67" s="484">
        <f>'2Ф КРУГ'!B33</f>
        <v>0</v>
      </c>
      <c r="G67" s="922" t="e">
        <f>IF(F67="","",VLOOKUP(F67,'Списки участников'!A:K,12,FALSE))</f>
        <v>#N/A</v>
      </c>
      <c r="H67" s="491"/>
      <c r="I67" s="922" t="str">
        <f>IF(H67="","",VLOOKUP(H67,'Списки участников'!A:K,12,FALSE))</f>
        <v/>
      </c>
      <c r="J67" s="915"/>
      <c r="K67" s="915"/>
      <c r="L67" s="915"/>
      <c r="M67" s="915"/>
      <c r="N67" s="914"/>
      <c r="O67" s="905" t="str">
        <f t="shared" si="0"/>
        <v/>
      </c>
      <c r="P67" s="930" t="str">
        <f t="shared" si="1"/>
        <v/>
      </c>
      <c r="Q67" s="931"/>
    </row>
    <row r="68" spans="1:17" ht="15.75" thickBot="1" x14ac:dyDescent="0.3">
      <c r="A68" s="486">
        <v>64</v>
      </c>
      <c r="B68" s="500">
        <v>8</v>
      </c>
      <c r="C68" s="909" t="s">
        <v>2656</v>
      </c>
      <c r="D68" s="484">
        <f>'2Ф КРУГ'!B7</f>
        <v>0</v>
      </c>
      <c r="E68" s="922" t="e">
        <f>IF(D68="","",VLOOKUP(D68,'Списки участников'!A:K,12,FALSE))</f>
        <v>#N/A</v>
      </c>
      <c r="F68" s="484">
        <f>'2Ф КРУГ'!B35</f>
        <v>0</v>
      </c>
      <c r="G68" s="922" t="e">
        <f>IF(F68="","",VLOOKUP(F68,'Списки участников'!A:K,12,FALSE))</f>
        <v>#N/A</v>
      </c>
      <c r="H68" s="494"/>
      <c r="I68" s="922" t="str">
        <f>IF(H68="","",VLOOKUP(H68,'Списки участников'!A:K,12,FALSE))</f>
        <v/>
      </c>
      <c r="J68" s="702"/>
      <c r="K68" s="702"/>
      <c r="L68" s="702"/>
      <c r="M68" s="702"/>
      <c r="N68" s="702"/>
      <c r="O68" s="932" t="str">
        <f t="shared" si="0"/>
        <v/>
      </c>
      <c r="P68" s="933" t="str">
        <f t="shared" si="1"/>
        <v/>
      </c>
      <c r="Q68" s="701"/>
    </row>
    <row r="69" spans="1:17" ht="15" customHeight="1" x14ac:dyDescent="0.25">
      <c r="A69" s="486">
        <v>65</v>
      </c>
      <c r="B69" s="482">
        <v>9</v>
      </c>
      <c r="C69" s="483" t="s">
        <v>998</v>
      </c>
      <c r="D69" s="485">
        <f>'2Ф КРУГ'!B5</f>
        <v>0</v>
      </c>
      <c r="E69" s="922" t="e">
        <f>IF(D69="","",VLOOKUP(D69,'Списки участников'!A:K,12,FALSE))</f>
        <v>#N/A</v>
      </c>
      <c r="F69" s="485">
        <f>'2Ф КРУГ'!B19</f>
        <v>0</v>
      </c>
      <c r="G69" s="922" t="e">
        <f>IF(F69="","",VLOOKUP(F69,'Списки участников'!A:K,12,FALSE))</f>
        <v>#N/A</v>
      </c>
      <c r="H69" s="485"/>
      <c r="I69" s="922" t="str">
        <f>IF(H69="","",VLOOKUP(H69,'Списки участников'!A:K,12,FALSE))</f>
        <v/>
      </c>
      <c r="J69" s="915"/>
      <c r="K69" s="915"/>
      <c r="L69" s="915"/>
      <c r="M69" s="915"/>
      <c r="N69" s="915"/>
      <c r="O69" s="905" t="str">
        <f t="shared" si="0"/>
        <v/>
      </c>
      <c r="P69" s="930" t="str">
        <f t="shared" si="1"/>
        <v/>
      </c>
      <c r="Q69" s="922"/>
    </row>
    <row r="70" spans="1:17" x14ac:dyDescent="0.25">
      <c r="A70" s="486">
        <v>66</v>
      </c>
      <c r="B70" s="496">
        <v>9</v>
      </c>
      <c r="C70" s="906" t="s">
        <v>2657</v>
      </c>
      <c r="D70" s="484">
        <f>'2Ф КРУГ'!B17</f>
        <v>0</v>
      </c>
      <c r="E70" s="922" t="e">
        <f>IF(D70="","",VLOOKUP(D70,'Списки участников'!A:K,12,FALSE))</f>
        <v>#N/A</v>
      </c>
      <c r="F70" s="485">
        <f>'2Ф КРУГ'!B21</f>
        <v>0</v>
      </c>
      <c r="G70" s="922" t="e">
        <f>IF(F70="","",VLOOKUP(F70,'Списки участников'!A:K,12,FALSE))</f>
        <v>#N/A</v>
      </c>
      <c r="H70" s="484"/>
      <c r="I70" s="922" t="str">
        <f>IF(H70="","",VLOOKUP(H70,'Списки участников'!A:K,12,FALSE))</f>
        <v/>
      </c>
      <c r="J70" s="915"/>
      <c r="K70" s="915"/>
      <c r="L70" s="915"/>
      <c r="M70" s="486"/>
      <c r="N70" s="486"/>
      <c r="O70" s="905" t="str">
        <f t="shared" ref="O70:O124" si="2">IF(H70="","",IF(J70&gt;0,1,0)+IF(K70&gt;0,1,0)+IF(L70&gt;0,1,0)+IF(M70&gt;0,1,0)+IF(N70&gt;0,1,0))</f>
        <v/>
      </c>
      <c r="P70" s="930" t="str">
        <f t="shared" ref="P70:P124" si="3">IF(H70="","",IF(J70&lt;0,1,0)+IF(K70&lt;0,1,0)+IF(L70&lt;0,1,0)+IF(M70&lt;0,1,0)+IF(N70&lt;0,1,0))</f>
        <v/>
      </c>
      <c r="Q70" s="931"/>
    </row>
    <row r="71" spans="1:17" x14ac:dyDescent="0.25">
      <c r="A71" s="486">
        <v>67</v>
      </c>
      <c r="B71" s="496">
        <v>9</v>
      </c>
      <c r="C71" s="906" t="s">
        <v>2658</v>
      </c>
      <c r="D71" s="484">
        <f>'2Ф КРУГ'!B15</f>
        <v>0</v>
      </c>
      <c r="E71" s="922" t="e">
        <f>IF(D71="","",VLOOKUP(D71,'Списки участников'!A:K,12,FALSE))</f>
        <v>#N/A</v>
      </c>
      <c r="F71" s="485">
        <f>'2Ф КРУГ'!B23</f>
        <v>0</v>
      </c>
      <c r="G71" s="922" t="e">
        <f>IF(F71="","",VLOOKUP(F71,'Списки участников'!A:K,12,FALSE))</f>
        <v>#N/A</v>
      </c>
      <c r="H71" s="484"/>
      <c r="I71" s="922" t="str">
        <f>IF(H71="","",VLOOKUP(H71,'Списки участников'!A:K,12,FALSE))</f>
        <v/>
      </c>
      <c r="J71" s="915"/>
      <c r="K71" s="915"/>
      <c r="L71" s="915"/>
      <c r="M71" s="486"/>
      <c r="N71" s="486"/>
      <c r="O71" s="905" t="str">
        <f t="shared" si="2"/>
        <v/>
      </c>
      <c r="P71" s="930" t="str">
        <f t="shared" si="3"/>
        <v/>
      </c>
      <c r="Q71" s="931"/>
    </row>
    <row r="72" spans="1:17" x14ac:dyDescent="0.25">
      <c r="A72" s="486">
        <v>68</v>
      </c>
      <c r="B72" s="496">
        <v>9</v>
      </c>
      <c r="C72" s="912" t="s">
        <v>2678</v>
      </c>
      <c r="D72" s="484">
        <f>'2Ф КРУГ'!B13</f>
        <v>0</v>
      </c>
      <c r="E72" s="922" t="e">
        <f>IF(D72="","",VLOOKUP(D72,'Списки участников'!A:K,12,FALSE))</f>
        <v>#N/A</v>
      </c>
      <c r="F72" s="485">
        <f>'2Ф КРУГ'!B25</f>
        <v>0</v>
      </c>
      <c r="G72" s="922" t="e">
        <f>IF(F72="","",VLOOKUP(F72,'Списки участников'!A:K,12,FALSE))</f>
        <v>#N/A</v>
      </c>
      <c r="H72" s="484"/>
      <c r="I72" s="922" t="str">
        <f>IF(H72="","",VLOOKUP(H72,'Списки участников'!A:K,12,FALSE))</f>
        <v/>
      </c>
      <c r="J72" s="915"/>
      <c r="K72" s="915"/>
      <c r="L72" s="915"/>
      <c r="M72" s="486"/>
      <c r="N72" s="486"/>
      <c r="O72" s="905" t="str">
        <f t="shared" si="2"/>
        <v/>
      </c>
      <c r="P72" s="930" t="str">
        <f t="shared" si="3"/>
        <v/>
      </c>
      <c r="Q72" s="931"/>
    </row>
    <row r="73" spans="1:17" x14ac:dyDescent="0.25">
      <c r="A73" s="486">
        <v>69</v>
      </c>
      <c r="B73" s="501">
        <v>9</v>
      </c>
      <c r="C73" s="906" t="s">
        <v>2659</v>
      </c>
      <c r="D73" s="484">
        <f>'2Ф КРУГ'!B11</f>
        <v>0</v>
      </c>
      <c r="E73" s="922" t="e">
        <f>IF(D73="","",VLOOKUP(D73,'Списки участников'!A:K,12,FALSE))</f>
        <v>#N/A</v>
      </c>
      <c r="F73" s="485">
        <f>'2Ф КРУГ'!B27</f>
        <v>0</v>
      </c>
      <c r="G73" s="922" t="e">
        <f>IF(F73="","",VLOOKUP(F73,'Списки участников'!A:K,12,FALSE))</f>
        <v>#N/A</v>
      </c>
      <c r="H73" s="484"/>
      <c r="I73" s="922" t="str">
        <f>IF(H73="","",VLOOKUP(H73,'Списки участников'!A:K,12,FALSE))</f>
        <v/>
      </c>
      <c r="J73" s="915"/>
      <c r="K73" s="915"/>
      <c r="L73" s="915"/>
      <c r="M73" s="486"/>
      <c r="N73" s="486"/>
      <c r="O73" s="905" t="str">
        <f t="shared" si="2"/>
        <v/>
      </c>
      <c r="P73" s="930" t="str">
        <f t="shared" si="3"/>
        <v/>
      </c>
      <c r="Q73" s="931"/>
    </row>
    <row r="74" spans="1:17" x14ac:dyDescent="0.25">
      <c r="A74" s="486">
        <v>70</v>
      </c>
      <c r="B74" s="496">
        <v>9</v>
      </c>
      <c r="C74" s="908" t="s">
        <v>2660</v>
      </c>
      <c r="D74" s="484">
        <f>'2Ф КРУГ'!B9</f>
        <v>0</v>
      </c>
      <c r="E74" s="922" t="e">
        <f>IF(D74="","",VLOOKUP(D74,'Списки участников'!A:K,12,FALSE))</f>
        <v>#N/A</v>
      </c>
      <c r="F74" s="485">
        <f>'2Ф КРУГ'!B29</f>
        <v>0</v>
      </c>
      <c r="G74" s="922" t="e">
        <f>IF(F74="","",VLOOKUP(F74,'Списки участников'!A:K,12,FALSE))</f>
        <v>#N/A</v>
      </c>
      <c r="H74" s="491"/>
      <c r="I74" s="922" t="str">
        <f>IF(H74="","",VLOOKUP(H74,'Списки участников'!A:K,12,FALSE))</f>
        <v/>
      </c>
      <c r="J74" s="915"/>
      <c r="K74" s="915"/>
      <c r="L74" s="915"/>
      <c r="M74" s="914"/>
      <c r="N74" s="914"/>
      <c r="O74" s="905" t="str">
        <f t="shared" si="2"/>
        <v/>
      </c>
      <c r="P74" s="930" t="str">
        <f t="shared" si="3"/>
        <v/>
      </c>
      <c r="Q74" s="931"/>
    </row>
    <row r="75" spans="1:17" ht="15" customHeight="1" x14ac:dyDescent="0.25">
      <c r="A75" s="486">
        <v>71</v>
      </c>
      <c r="B75" s="496">
        <v>9</v>
      </c>
      <c r="C75" s="908" t="s">
        <v>2661</v>
      </c>
      <c r="D75" s="484">
        <f>'2Ф КРУГ'!B7</f>
        <v>0</v>
      </c>
      <c r="E75" s="922" t="e">
        <f>IF(D75="","",VLOOKUP(D75,'Списки участников'!A:K,12,FALSE))</f>
        <v>#N/A</v>
      </c>
      <c r="F75" s="485">
        <f>'2Ф КРУГ'!B31</f>
        <v>0</v>
      </c>
      <c r="G75" s="922" t="e">
        <f>IF(F75="","",VLOOKUP(F75,'Списки участников'!A:K,12,FALSE))</f>
        <v>#N/A</v>
      </c>
      <c r="H75" s="491"/>
      <c r="I75" s="922" t="str">
        <f>IF(H75="","",VLOOKUP(H75,'Списки участников'!A:K,12,FALSE))</f>
        <v/>
      </c>
      <c r="J75" s="915"/>
      <c r="K75" s="915"/>
      <c r="L75" s="915"/>
      <c r="M75" s="914"/>
      <c r="N75" s="914"/>
      <c r="O75" s="905" t="str">
        <f t="shared" si="2"/>
        <v/>
      </c>
      <c r="P75" s="930" t="str">
        <f t="shared" si="3"/>
        <v/>
      </c>
      <c r="Q75" s="931"/>
    </row>
    <row r="76" spans="1:17" ht="15.75" thickBot="1" x14ac:dyDescent="0.3">
      <c r="A76" s="486">
        <v>72</v>
      </c>
      <c r="B76" s="500">
        <v>9</v>
      </c>
      <c r="C76" s="493" t="s">
        <v>999</v>
      </c>
      <c r="D76" s="494">
        <f>'2Ф КРУГ'!B33</f>
        <v>0</v>
      </c>
      <c r="E76" s="730" t="e">
        <f>IF(D76="","",VLOOKUP(D76,'Списки участников'!A:K,12,FALSE))</f>
        <v>#N/A</v>
      </c>
      <c r="F76" s="494">
        <f>'2Ф КРУГ'!B35</f>
        <v>0</v>
      </c>
      <c r="G76" s="730" t="e">
        <f>IF(F76="","",VLOOKUP(F76,'Списки участников'!A:K,12,FALSE))</f>
        <v>#N/A</v>
      </c>
      <c r="H76" s="494"/>
      <c r="I76" s="730" t="str">
        <f>IF(H76="","",VLOOKUP(H76,'Списки участников'!A:K,12,FALSE))</f>
        <v/>
      </c>
      <c r="J76" s="929"/>
      <c r="K76" s="929"/>
      <c r="L76" s="929"/>
      <c r="M76" s="702"/>
      <c r="N76" s="702"/>
      <c r="O76" s="932" t="str">
        <f t="shared" si="2"/>
        <v/>
      </c>
      <c r="P76" s="933" t="str">
        <f t="shared" si="3"/>
        <v/>
      </c>
      <c r="Q76" s="701"/>
    </row>
    <row r="77" spans="1:17" ht="15" customHeight="1" x14ac:dyDescent="0.25">
      <c r="A77" s="486">
        <v>73</v>
      </c>
      <c r="B77" s="496">
        <v>10</v>
      </c>
      <c r="C77" s="907" t="s">
        <v>2662</v>
      </c>
      <c r="D77" s="485">
        <f>'2Ф КРУГ'!B5</f>
        <v>0</v>
      </c>
      <c r="E77" s="922" t="e">
        <f>IF(D77="","",VLOOKUP(D77,'Списки участников'!A:K,12,FALSE))</f>
        <v>#N/A</v>
      </c>
      <c r="F77" s="485">
        <f>'2Ф КРУГ'!B17</f>
        <v>0</v>
      </c>
      <c r="G77" s="922" t="e">
        <f>IF(F77="","",VLOOKUP(F77,'Списки участников'!A:K,12,FALSE))</f>
        <v>#N/A</v>
      </c>
      <c r="H77" s="485"/>
      <c r="I77" s="922" t="str">
        <f>IF(H77="","",VLOOKUP(H77,'Списки участников'!A:K,12,FALSE))</f>
        <v/>
      </c>
      <c r="J77" s="915"/>
      <c r="K77" s="915"/>
      <c r="L77" s="915"/>
      <c r="M77" s="915"/>
      <c r="N77" s="915"/>
      <c r="O77" s="905" t="str">
        <f t="shared" si="2"/>
        <v/>
      </c>
      <c r="P77" s="930" t="str">
        <f t="shared" si="3"/>
        <v/>
      </c>
      <c r="Q77" s="922"/>
    </row>
    <row r="78" spans="1:17" ht="17.25" x14ac:dyDescent="0.25">
      <c r="A78" s="486">
        <v>74</v>
      </c>
      <c r="B78" s="496">
        <v>10</v>
      </c>
      <c r="C78" s="906" t="s">
        <v>2663</v>
      </c>
      <c r="D78" s="485">
        <f>'2Ф КРУГ'!B15</f>
        <v>0</v>
      </c>
      <c r="E78" s="922" t="e">
        <f>IF(D78="","",VLOOKUP(D78,'Списки участников'!A:K,12,FALSE))</f>
        <v>#N/A</v>
      </c>
      <c r="F78" s="484">
        <f>'2Ф КРУГ'!B19</f>
        <v>0</v>
      </c>
      <c r="G78" s="922" t="e">
        <f>IF(F78="","",VLOOKUP(F78,'Списки участников'!A:K,12,FALSE))</f>
        <v>#N/A</v>
      </c>
      <c r="H78" s="484"/>
      <c r="I78" s="922" t="str">
        <f>IF(H78="","",VLOOKUP(H78,'Списки участников'!A:K,12,FALSE))</f>
        <v/>
      </c>
      <c r="J78" s="915"/>
      <c r="K78" s="915"/>
      <c r="L78" s="915"/>
      <c r="M78" s="486"/>
      <c r="N78" s="486"/>
      <c r="O78" s="905" t="str">
        <f t="shared" si="2"/>
        <v/>
      </c>
      <c r="P78" s="930" t="str">
        <f t="shared" si="3"/>
        <v/>
      </c>
      <c r="Q78" s="931"/>
    </row>
    <row r="79" spans="1:17" ht="17.25" x14ac:dyDescent="0.25">
      <c r="A79" s="486">
        <v>75</v>
      </c>
      <c r="B79" s="496">
        <v>10</v>
      </c>
      <c r="C79" s="906" t="s">
        <v>2664</v>
      </c>
      <c r="D79" s="485">
        <f>'2Ф КРУГ'!B13</f>
        <v>0</v>
      </c>
      <c r="E79" s="922" t="e">
        <f>IF(D79="","",VLOOKUP(D79,'Списки участников'!A:K,12,FALSE))</f>
        <v>#N/A</v>
      </c>
      <c r="F79" s="484">
        <f>'2Ф КРУГ'!B21</f>
        <v>0</v>
      </c>
      <c r="G79" s="922" t="e">
        <f>IF(F79="","",VLOOKUP(F79,'Списки участников'!A:K,12,FALSE))</f>
        <v>#N/A</v>
      </c>
      <c r="H79" s="484"/>
      <c r="I79" s="922" t="str">
        <f>IF(H79="","",VLOOKUP(H79,'Списки участников'!A:K,12,FALSE))</f>
        <v/>
      </c>
      <c r="J79" s="915"/>
      <c r="K79" s="915"/>
      <c r="L79" s="915"/>
      <c r="M79" s="486"/>
      <c r="N79" s="486"/>
      <c r="O79" s="905" t="str">
        <f t="shared" si="2"/>
        <v/>
      </c>
      <c r="P79" s="930" t="str">
        <f t="shared" si="3"/>
        <v/>
      </c>
      <c r="Q79" s="931"/>
    </row>
    <row r="80" spans="1:17" ht="17.25" x14ac:dyDescent="0.25">
      <c r="A80" s="486">
        <v>76</v>
      </c>
      <c r="B80" s="496">
        <v>10</v>
      </c>
      <c r="C80" s="906" t="s">
        <v>2665</v>
      </c>
      <c r="D80" s="485">
        <f>'2Ф КРУГ'!B11</f>
        <v>0</v>
      </c>
      <c r="E80" s="922" t="e">
        <f>IF(D80="","",VLOOKUP(D80,'Списки участников'!A:K,12,FALSE))</f>
        <v>#N/A</v>
      </c>
      <c r="F80" s="484">
        <f>'2Ф КРУГ'!B23</f>
        <v>0</v>
      </c>
      <c r="G80" s="922" t="e">
        <f>IF(F80="","",VLOOKUP(F80,'Списки участников'!A:K,12,FALSE))</f>
        <v>#N/A</v>
      </c>
      <c r="H80" s="484"/>
      <c r="I80" s="922" t="str">
        <f>IF(H80="","",VLOOKUP(H80,'Списки участников'!A:K,12,FALSE))</f>
        <v/>
      </c>
      <c r="J80" s="915"/>
      <c r="K80" s="915"/>
      <c r="L80" s="915"/>
      <c r="M80" s="486"/>
      <c r="N80" s="486"/>
      <c r="O80" s="905" t="str">
        <f t="shared" si="2"/>
        <v/>
      </c>
      <c r="P80" s="930" t="str">
        <f t="shared" si="3"/>
        <v/>
      </c>
      <c r="Q80" s="931"/>
    </row>
    <row r="81" spans="1:17" ht="17.25" x14ac:dyDescent="0.25">
      <c r="A81" s="486">
        <v>77</v>
      </c>
      <c r="B81" s="501">
        <v>10</v>
      </c>
      <c r="C81" s="906" t="s">
        <v>2666</v>
      </c>
      <c r="D81" s="485">
        <f>'2Ф КРУГ'!B9</f>
        <v>0</v>
      </c>
      <c r="E81" s="922" t="e">
        <f>IF(D81="","",VLOOKUP(D81,'Списки участников'!A:K,12,FALSE))</f>
        <v>#N/A</v>
      </c>
      <c r="F81" s="484">
        <f>'2Ф КРУГ'!B25</f>
        <v>0</v>
      </c>
      <c r="G81" s="922" t="e">
        <f>IF(F81="","",VLOOKUP(F81,'Списки участников'!A:K,12,FALSE))</f>
        <v>#N/A</v>
      </c>
      <c r="H81" s="484"/>
      <c r="I81" s="922" t="str">
        <f>IF(H81="","",VLOOKUP(H81,'Списки участников'!A:K,12,FALSE))</f>
        <v/>
      </c>
      <c r="J81" s="915"/>
      <c r="K81" s="915"/>
      <c r="L81" s="915"/>
      <c r="M81" s="486"/>
      <c r="N81" s="486"/>
      <c r="O81" s="905" t="str">
        <f t="shared" si="2"/>
        <v/>
      </c>
      <c r="P81" s="930" t="str">
        <f t="shared" si="3"/>
        <v/>
      </c>
      <c r="Q81" s="931"/>
    </row>
    <row r="82" spans="1:17" ht="17.25" x14ac:dyDescent="0.25">
      <c r="A82" s="486">
        <v>78</v>
      </c>
      <c r="B82" s="496">
        <v>10</v>
      </c>
      <c r="C82" s="908" t="s">
        <v>2667</v>
      </c>
      <c r="D82" s="485">
        <f>'2Ф КРУГ'!B7</f>
        <v>0</v>
      </c>
      <c r="E82" s="922" t="e">
        <f>IF(D82="","",VLOOKUP(D82,'Списки участников'!A:K,12,FALSE))</f>
        <v>#N/A</v>
      </c>
      <c r="F82" s="484">
        <f>'2Ф КРУГ'!B27</f>
        <v>0</v>
      </c>
      <c r="G82" s="922" t="e">
        <f>IF(F82="","",VLOOKUP(F82,'Списки участников'!A:K,12,FALSE))</f>
        <v>#N/A</v>
      </c>
      <c r="H82" s="491"/>
      <c r="I82" s="922" t="str">
        <f>IF(H82="","",VLOOKUP(H82,'Списки участников'!A:K,12,FALSE))</f>
        <v/>
      </c>
      <c r="J82" s="915"/>
      <c r="K82" s="915"/>
      <c r="L82" s="915"/>
      <c r="M82" s="914"/>
      <c r="N82" s="914"/>
      <c r="O82" s="905" t="str">
        <f t="shared" si="2"/>
        <v/>
      </c>
      <c r="P82" s="930" t="str">
        <f t="shared" si="3"/>
        <v/>
      </c>
      <c r="Q82" s="931"/>
    </row>
    <row r="83" spans="1:17" ht="17.25" x14ac:dyDescent="0.25">
      <c r="A83" s="486">
        <v>79</v>
      </c>
      <c r="B83" s="496">
        <v>10</v>
      </c>
      <c r="C83" s="490" t="s">
        <v>1000</v>
      </c>
      <c r="D83" s="485">
        <f>'2Ф КРУГ'!B29</f>
        <v>0</v>
      </c>
      <c r="E83" s="922" t="e">
        <f>IF(D83="","",VLOOKUP(D83,'Списки участников'!A:K,12,FALSE))</f>
        <v>#N/A</v>
      </c>
      <c r="F83" s="491">
        <f>'2Ф КРУГ'!B35</f>
        <v>0</v>
      </c>
      <c r="G83" s="922" t="e">
        <f>IF(F83="","",VLOOKUP(F83,'Списки участников'!A:K,12,FALSE))</f>
        <v>#N/A</v>
      </c>
      <c r="H83" s="491"/>
      <c r="I83" s="922" t="str">
        <f>IF(H83="","",VLOOKUP(H83,'Списки участников'!A:K,12,FALSE))</f>
        <v/>
      </c>
      <c r="J83" s="915"/>
      <c r="K83" s="915"/>
      <c r="L83" s="915"/>
      <c r="M83" s="914"/>
      <c r="N83" s="914"/>
      <c r="O83" s="905" t="str">
        <f t="shared" si="2"/>
        <v/>
      </c>
      <c r="P83" s="930" t="str">
        <f t="shared" si="3"/>
        <v/>
      </c>
      <c r="Q83" s="931"/>
    </row>
    <row r="84" spans="1:17" ht="18" thickBot="1" x14ac:dyDescent="0.3">
      <c r="A84" s="486">
        <v>80</v>
      </c>
      <c r="B84" s="500">
        <v>10</v>
      </c>
      <c r="C84" s="493" t="s">
        <v>1001</v>
      </c>
      <c r="D84" s="731">
        <f>'2Ф КРУГ'!B31</f>
        <v>0</v>
      </c>
      <c r="E84" s="730" t="e">
        <f>IF(D84="","",VLOOKUP(D84,'Списки участников'!A:K,12,FALSE))</f>
        <v>#N/A</v>
      </c>
      <c r="F84" s="494">
        <f>'2Ф КРУГ'!B33</f>
        <v>0</v>
      </c>
      <c r="G84" s="730" t="e">
        <f>IF(F84="","",VLOOKUP(F84,'Списки участников'!A:K,12,FALSE))</f>
        <v>#N/A</v>
      </c>
      <c r="H84" s="494"/>
      <c r="I84" s="730" t="str">
        <f>IF(H84="","",VLOOKUP(H84,'Списки участников'!A:K,12,FALSE))</f>
        <v/>
      </c>
      <c r="J84" s="702"/>
      <c r="K84" s="702"/>
      <c r="L84" s="702"/>
      <c r="M84" s="702"/>
      <c r="N84" s="702"/>
      <c r="O84" s="932" t="str">
        <f t="shared" si="2"/>
        <v/>
      </c>
      <c r="P84" s="933" t="str">
        <f t="shared" si="3"/>
        <v/>
      </c>
      <c r="Q84" s="701"/>
    </row>
    <row r="85" spans="1:17" ht="15" customHeight="1" x14ac:dyDescent="0.25">
      <c r="A85" s="486">
        <v>81</v>
      </c>
      <c r="B85" s="496">
        <v>11</v>
      </c>
      <c r="C85" s="483" t="s">
        <v>1002</v>
      </c>
      <c r="D85" s="485">
        <f>'2Ф КРУГ'!B5</f>
        <v>0</v>
      </c>
      <c r="E85" s="922" t="e">
        <f>IF(D85="","",VLOOKUP(D85,'Списки участников'!A:K,12,FALSE))</f>
        <v>#N/A</v>
      </c>
      <c r="F85" s="485">
        <f>'2Ф КРУГ'!B15</f>
        <v>0</v>
      </c>
      <c r="G85" s="922" t="e">
        <f>IF(F85="","",VLOOKUP(F85,'Списки участников'!A:K,12,FALSE))</f>
        <v>#N/A</v>
      </c>
      <c r="H85" s="485"/>
      <c r="I85" s="922" t="str">
        <f>IF(H85="","",VLOOKUP(H85,'Списки участников'!A:K,12,FALSE))</f>
        <v/>
      </c>
      <c r="J85" s="915"/>
      <c r="K85" s="915"/>
      <c r="L85" s="915"/>
      <c r="M85" s="915"/>
      <c r="N85" s="915"/>
      <c r="O85" s="905" t="str">
        <f t="shared" si="2"/>
        <v/>
      </c>
      <c r="P85" s="930" t="str">
        <f t="shared" si="3"/>
        <v/>
      </c>
      <c r="Q85" s="922"/>
    </row>
    <row r="86" spans="1:17" ht="17.25" x14ac:dyDescent="0.25">
      <c r="A86" s="486">
        <v>82</v>
      </c>
      <c r="B86" s="496">
        <v>11</v>
      </c>
      <c r="C86" s="906" t="s">
        <v>2668</v>
      </c>
      <c r="D86" s="484">
        <f>'2Ф КРУГ'!B13</f>
        <v>0</v>
      </c>
      <c r="E86" s="922" t="e">
        <f>IF(D86="","",VLOOKUP(D86,'Списки участников'!A:K,12,FALSE))</f>
        <v>#N/A</v>
      </c>
      <c r="F86" s="485">
        <f>'2Ф КРУГ'!B17</f>
        <v>0</v>
      </c>
      <c r="G86" s="922" t="e">
        <f>IF(F86="","",VLOOKUP(F86,'Списки участников'!A:K,12,FALSE))</f>
        <v>#N/A</v>
      </c>
      <c r="H86" s="484"/>
      <c r="I86" s="922" t="str">
        <f>IF(H86="","",VLOOKUP(H86,'Списки участников'!A:K,12,FALSE))</f>
        <v/>
      </c>
      <c r="J86" s="915"/>
      <c r="K86" s="915"/>
      <c r="L86" s="915"/>
      <c r="M86" s="486"/>
      <c r="N86" s="486"/>
      <c r="O86" s="905" t="str">
        <f t="shared" si="2"/>
        <v/>
      </c>
      <c r="P86" s="930" t="str">
        <f t="shared" si="3"/>
        <v/>
      </c>
      <c r="Q86" s="931"/>
    </row>
    <row r="87" spans="1:17" ht="17.25" x14ac:dyDescent="0.25">
      <c r="A87" s="486">
        <v>83</v>
      </c>
      <c r="B87" s="496">
        <v>11</v>
      </c>
      <c r="C87" s="906" t="s">
        <v>2669</v>
      </c>
      <c r="D87" s="484">
        <f>'2Ф КРУГ'!B11</f>
        <v>0</v>
      </c>
      <c r="E87" s="922" t="e">
        <f>IF(D87="","",VLOOKUP(D87,'Списки участников'!A:K,12,FALSE))</f>
        <v>#N/A</v>
      </c>
      <c r="F87" s="485">
        <f>'2Ф КРУГ'!B19</f>
        <v>0</v>
      </c>
      <c r="G87" s="922" t="e">
        <f>IF(F87="","",VLOOKUP(F87,'Списки участников'!A:K,12,FALSE))</f>
        <v>#N/A</v>
      </c>
      <c r="H87" s="484"/>
      <c r="I87" s="922" t="str">
        <f>IF(H87="","",VLOOKUP(H87,'Списки участников'!A:K,12,FALSE))</f>
        <v/>
      </c>
      <c r="J87" s="915"/>
      <c r="K87" s="915"/>
      <c r="L87" s="915"/>
      <c r="M87" s="486"/>
      <c r="N87" s="486"/>
      <c r="O87" s="905" t="str">
        <f t="shared" si="2"/>
        <v/>
      </c>
      <c r="P87" s="930" t="str">
        <f t="shared" si="3"/>
        <v/>
      </c>
      <c r="Q87" s="931"/>
    </row>
    <row r="88" spans="1:17" ht="17.25" x14ac:dyDescent="0.25">
      <c r="A88" s="486">
        <v>84</v>
      </c>
      <c r="B88" s="496">
        <v>11</v>
      </c>
      <c r="C88" s="912" t="s">
        <v>2679</v>
      </c>
      <c r="D88" s="484">
        <f>'2Ф КРУГ'!B9</f>
        <v>0</v>
      </c>
      <c r="E88" s="922" t="e">
        <f>IF(D88="","",VLOOKUP(D88,'Списки участников'!A:K,12,FALSE))</f>
        <v>#N/A</v>
      </c>
      <c r="F88" s="485">
        <f>'2Ф КРУГ'!B21</f>
        <v>0</v>
      </c>
      <c r="G88" s="922" t="e">
        <f>IF(F88="","",VLOOKUP(F88,'Списки участников'!A:K,12,FALSE))</f>
        <v>#N/A</v>
      </c>
      <c r="H88" s="484"/>
      <c r="I88" s="922" t="str">
        <f>IF(H88="","",VLOOKUP(H88,'Списки участников'!A:K,12,FALSE))</f>
        <v/>
      </c>
      <c r="J88" s="915"/>
      <c r="K88" s="915"/>
      <c r="L88" s="915"/>
      <c r="M88" s="486"/>
      <c r="N88" s="486"/>
      <c r="O88" s="905" t="str">
        <f t="shared" si="2"/>
        <v/>
      </c>
      <c r="P88" s="930" t="str">
        <f t="shared" si="3"/>
        <v/>
      </c>
      <c r="Q88" s="931"/>
    </row>
    <row r="89" spans="1:17" ht="17.25" x14ac:dyDescent="0.25">
      <c r="A89" s="486">
        <v>85</v>
      </c>
      <c r="B89" s="496">
        <v>11</v>
      </c>
      <c r="C89" s="906" t="s">
        <v>2670</v>
      </c>
      <c r="D89" s="484">
        <f>'2Ф КРУГ'!B7</f>
        <v>0</v>
      </c>
      <c r="E89" s="922" t="e">
        <f>IF(D89="","",VLOOKUP(D89,'Списки участников'!A:K,12,FALSE))</f>
        <v>#N/A</v>
      </c>
      <c r="F89" s="485">
        <f>'2Ф КРУГ'!B23</f>
        <v>0</v>
      </c>
      <c r="G89" s="922" t="e">
        <f>IF(F89="","",VLOOKUP(F89,'Списки участников'!A:K,12,FALSE))</f>
        <v>#N/A</v>
      </c>
      <c r="H89" s="484"/>
      <c r="I89" s="922" t="str">
        <f>IF(H89="","",VLOOKUP(H89,'Списки участников'!A:K,12,FALSE))</f>
        <v/>
      </c>
      <c r="J89" s="915"/>
      <c r="K89" s="915"/>
      <c r="L89" s="915"/>
      <c r="M89" s="486"/>
      <c r="N89" s="486"/>
      <c r="O89" s="905" t="str">
        <f t="shared" si="2"/>
        <v/>
      </c>
      <c r="P89" s="930" t="str">
        <f t="shared" si="3"/>
        <v/>
      </c>
      <c r="Q89" s="931"/>
    </row>
    <row r="90" spans="1:17" ht="17.25" x14ac:dyDescent="0.25">
      <c r="A90" s="486">
        <v>86</v>
      </c>
      <c r="B90" s="496">
        <v>11</v>
      </c>
      <c r="C90" s="490" t="s">
        <v>1003</v>
      </c>
      <c r="D90" s="484">
        <f>'2Ф КРУГ'!B25</f>
        <v>0</v>
      </c>
      <c r="E90" s="922" t="e">
        <f>IF(D90="","",VLOOKUP(D90,'Списки участников'!A:K,12,FALSE))</f>
        <v>#N/A</v>
      </c>
      <c r="F90" s="491">
        <f>'2Ф КРУГ'!B35</f>
        <v>0</v>
      </c>
      <c r="G90" s="922" t="e">
        <f>IF(F90="","",VLOOKUP(F90,'Списки участников'!A:K,12,FALSE))</f>
        <v>#N/A</v>
      </c>
      <c r="H90" s="491"/>
      <c r="I90" s="922" t="str">
        <f>IF(H90="","",VLOOKUP(H90,'Списки участников'!A:K,12,FALSE))</f>
        <v/>
      </c>
      <c r="J90" s="915"/>
      <c r="K90" s="915"/>
      <c r="L90" s="915"/>
      <c r="M90" s="914"/>
      <c r="N90" s="914"/>
      <c r="O90" s="905" t="str">
        <f t="shared" si="2"/>
        <v/>
      </c>
      <c r="P90" s="930" t="str">
        <f t="shared" si="3"/>
        <v/>
      </c>
      <c r="Q90" s="931"/>
    </row>
    <row r="91" spans="1:17" ht="17.25" x14ac:dyDescent="0.25">
      <c r="A91" s="486">
        <v>87</v>
      </c>
      <c r="B91" s="496">
        <v>11</v>
      </c>
      <c r="C91" s="490" t="s">
        <v>1004</v>
      </c>
      <c r="D91" s="484">
        <f>'2Ф КРУГ'!B27</f>
        <v>0</v>
      </c>
      <c r="E91" s="922" t="e">
        <f>IF(D91="","",VLOOKUP(D91,'Списки участников'!A:K,12,FALSE))</f>
        <v>#N/A</v>
      </c>
      <c r="F91" s="491">
        <f>'2Ф КРУГ'!B33</f>
        <v>0</v>
      </c>
      <c r="G91" s="922" t="e">
        <f>IF(F91="","",VLOOKUP(F91,'Списки участников'!A:K,12,FALSE))</f>
        <v>#N/A</v>
      </c>
      <c r="H91" s="491"/>
      <c r="I91" s="922" t="str">
        <f>IF(H91="","",VLOOKUP(H91,'Списки участников'!A:K,12,FALSE))</f>
        <v/>
      </c>
      <c r="J91" s="915"/>
      <c r="K91" s="915"/>
      <c r="L91" s="915"/>
      <c r="M91" s="914"/>
      <c r="N91" s="914"/>
      <c r="O91" s="905" t="str">
        <f t="shared" si="2"/>
        <v/>
      </c>
      <c r="P91" s="930" t="str">
        <f t="shared" si="3"/>
        <v/>
      </c>
      <c r="Q91" s="931"/>
    </row>
    <row r="92" spans="1:17" ht="18" thickBot="1" x14ac:dyDescent="0.3">
      <c r="A92" s="486">
        <v>88</v>
      </c>
      <c r="B92" s="500">
        <v>11</v>
      </c>
      <c r="C92" s="493" t="s">
        <v>1005</v>
      </c>
      <c r="D92" s="494">
        <f>'2Ф КРУГ'!B29</f>
        <v>0</v>
      </c>
      <c r="E92" s="730" t="e">
        <f>IF(D92="","",VLOOKUP(D92,'Списки участников'!A:K,12,FALSE))</f>
        <v>#N/A</v>
      </c>
      <c r="F92" s="494">
        <f>'2Ф КРУГ'!B31</f>
        <v>0</v>
      </c>
      <c r="G92" s="730" t="e">
        <f>IF(F92="","",VLOOKUP(F92,'Списки участников'!A:K,12,FALSE))</f>
        <v>#N/A</v>
      </c>
      <c r="H92" s="494"/>
      <c r="I92" s="701" t="str">
        <f>IF(H92="","",VLOOKUP(H92,'Списки участников'!A:K,12,FALSE))</f>
        <v/>
      </c>
      <c r="J92" s="702"/>
      <c r="K92" s="702"/>
      <c r="L92" s="702"/>
      <c r="M92" s="702"/>
      <c r="N92" s="702"/>
      <c r="O92" s="932" t="str">
        <f t="shared" si="2"/>
        <v/>
      </c>
      <c r="P92" s="933" t="str">
        <f t="shared" si="3"/>
        <v/>
      </c>
      <c r="Q92" s="701"/>
    </row>
    <row r="93" spans="1:17" ht="15" customHeight="1" x14ac:dyDescent="0.25">
      <c r="A93" s="486">
        <v>89</v>
      </c>
      <c r="B93" s="496">
        <v>12</v>
      </c>
      <c r="C93" s="907" t="s">
        <v>2626</v>
      </c>
      <c r="D93" s="485">
        <f>'2Ф КРУГ'!B5</f>
        <v>0</v>
      </c>
      <c r="E93" s="922" t="e">
        <f>IF(D93="","",VLOOKUP(D93,'Списки участников'!A:K,12,FALSE))</f>
        <v>#N/A</v>
      </c>
      <c r="F93" s="485">
        <f>'2Ф КРУГ'!B13</f>
        <v>0</v>
      </c>
      <c r="G93" s="922" t="e">
        <f>IF(F93="","",VLOOKUP(F93,'Списки участников'!A:K,12,FALSE))</f>
        <v>#N/A</v>
      </c>
      <c r="H93" s="485"/>
      <c r="I93" s="922" t="str">
        <f>IF(H93="","",VLOOKUP(H93,'Списки участников'!A:K,12,FALSE))</f>
        <v/>
      </c>
      <c r="J93" s="915"/>
      <c r="K93" s="915"/>
      <c r="L93" s="915"/>
      <c r="M93" s="915"/>
      <c r="N93" s="915"/>
      <c r="O93" s="905" t="str">
        <f t="shared" si="2"/>
        <v/>
      </c>
      <c r="P93" s="930" t="str">
        <f t="shared" si="3"/>
        <v/>
      </c>
      <c r="Q93" s="922"/>
    </row>
    <row r="94" spans="1:17" ht="17.25" x14ac:dyDescent="0.25">
      <c r="A94" s="486">
        <v>90</v>
      </c>
      <c r="B94" s="496">
        <v>12</v>
      </c>
      <c r="C94" s="906" t="s">
        <v>2671</v>
      </c>
      <c r="D94" s="485">
        <f>'2Ф КРУГ'!B11</f>
        <v>0</v>
      </c>
      <c r="E94" s="922" t="e">
        <f>IF(D94="","",VLOOKUP(D94,'Списки участников'!A:K,12,FALSE))</f>
        <v>#N/A</v>
      </c>
      <c r="F94" s="484">
        <f>'2Ф КРУГ'!B15</f>
        <v>0</v>
      </c>
      <c r="G94" s="922" t="e">
        <f>IF(F94="","",VLOOKUP(F94,'Списки участников'!A:K,12,FALSE))</f>
        <v>#N/A</v>
      </c>
      <c r="H94" s="484"/>
      <c r="I94" s="922" t="str">
        <f>IF(H94="","",VLOOKUP(H94,'Списки участников'!A:K,12,FALSE))</f>
        <v/>
      </c>
      <c r="J94" s="915"/>
      <c r="K94" s="915"/>
      <c r="L94" s="915"/>
      <c r="M94" s="486"/>
      <c r="N94" s="486"/>
      <c r="O94" s="905" t="str">
        <f t="shared" si="2"/>
        <v/>
      </c>
      <c r="P94" s="930" t="str">
        <f t="shared" si="3"/>
        <v/>
      </c>
      <c r="Q94" s="931"/>
    </row>
    <row r="95" spans="1:17" ht="17.25" x14ac:dyDescent="0.25">
      <c r="A95" s="486">
        <v>91</v>
      </c>
      <c r="B95" s="496">
        <v>12</v>
      </c>
      <c r="C95" s="906" t="s">
        <v>2672</v>
      </c>
      <c r="D95" s="485">
        <f>'2Ф КРУГ'!B9</f>
        <v>0</v>
      </c>
      <c r="E95" s="922" t="e">
        <f>IF(D95="","",VLOOKUP(D95,'Списки участников'!A:K,12,FALSE))</f>
        <v>#N/A</v>
      </c>
      <c r="F95" s="484">
        <f>'2Ф КРУГ'!B17</f>
        <v>0</v>
      </c>
      <c r="G95" s="922" t="e">
        <f>IF(F95="","",VLOOKUP(F95,'Списки участников'!A:K,12,FALSE))</f>
        <v>#N/A</v>
      </c>
      <c r="H95" s="484"/>
      <c r="I95" s="922" t="str">
        <f>IF(H95="","",VLOOKUP(H95,'Списки участников'!A:K,12,FALSE))</f>
        <v/>
      </c>
      <c r="J95" s="915"/>
      <c r="K95" s="915"/>
      <c r="L95" s="915"/>
      <c r="M95" s="486"/>
      <c r="N95" s="486"/>
      <c r="O95" s="905" t="str">
        <f t="shared" si="2"/>
        <v/>
      </c>
      <c r="P95" s="930" t="str">
        <f t="shared" si="3"/>
        <v/>
      </c>
      <c r="Q95" s="931"/>
    </row>
    <row r="96" spans="1:17" ht="17.25" x14ac:dyDescent="0.25">
      <c r="A96" s="486">
        <v>92</v>
      </c>
      <c r="B96" s="496">
        <v>12</v>
      </c>
      <c r="C96" s="906" t="s">
        <v>2673</v>
      </c>
      <c r="D96" s="485">
        <f>'2Ф КРУГ'!B7</f>
        <v>0</v>
      </c>
      <c r="E96" s="922" t="e">
        <f>IF(D96="","",VLOOKUP(D96,'Списки участников'!A:K,12,FALSE))</f>
        <v>#N/A</v>
      </c>
      <c r="F96" s="484">
        <f>'2Ф КРУГ'!B19</f>
        <v>0</v>
      </c>
      <c r="G96" s="922" t="e">
        <f>IF(F96="","",VLOOKUP(F96,'Списки участников'!A:K,12,FALSE))</f>
        <v>#N/A</v>
      </c>
      <c r="H96" s="484"/>
      <c r="I96" s="922" t="str">
        <f>IF(H96="","",VLOOKUP(H96,'Списки участников'!A:K,12,FALSE))</f>
        <v/>
      </c>
      <c r="J96" s="915"/>
      <c r="K96" s="915"/>
      <c r="L96" s="915"/>
      <c r="M96" s="486"/>
      <c r="N96" s="486"/>
      <c r="O96" s="905" t="str">
        <f t="shared" si="2"/>
        <v/>
      </c>
      <c r="P96" s="930" t="str">
        <f t="shared" si="3"/>
        <v/>
      </c>
      <c r="Q96" s="931"/>
    </row>
    <row r="97" spans="1:17" ht="17.25" x14ac:dyDescent="0.25">
      <c r="A97" s="486">
        <v>93</v>
      </c>
      <c r="B97" s="501">
        <v>12</v>
      </c>
      <c r="C97" s="488" t="s">
        <v>1006</v>
      </c>
      <c r="D97" s="485">
        <f>'2Ф КРУГ'!B21</f>
        <v>0</v>
      </c>
      <c r="E97" s="922" t="e">
        <f>IF(D97="","",VLOOKUP(D97,'Списки участников'!A:K,12,FALSE))</f>
        <v>#N/A</v>
      </c>
      <c r="F97" s="484">
        <f>'2Ф КРУГ'!B35</f>
        <v>0</v>
      </c>
      <c r="G97" s="922" t="e">
        <f>IF(F97="","",VLOOKUP(F97,'Списки участников'!A:K,12,FALSE))</f>
        <v>#N/A</v>
      </c>
      <c r="H97" s="484"/>
      <c r="I97" s="922" t="str">
        <f>IF(H97="","",VLOOKUP(H97,'Списки участников'!A:K,12,FALSE))</f>
        <v/>
      </c>
      <c r="J97" s="915"/>
      <c r="K97" s="915"/>
      <c r="L97" s="915"/>
      <c r="M97" s="486"/>
      <c r="N97" s="486"/>
      <c r="O97" s="905" t="str">
        <f t="shared" si="2"/>
        <v/>
      </c>
      <c r="P97" s="930" t="str">
        <f t="shared" si="3"/>
        <v/>
      </c>
      <c r="Q97" s="931"/>
    </row>
    <row r="98" spans="1:17" ht="17.25" x14ac:dyDescent="0.25">
      <c r="A98" s="486">
        <v>94</v>
      </c>
      <c r="B98" s="496">
        <v>12</v>
      </c>
      <c r="C98" s="490" t="s">
        <v>1007</v>
      </c>
      <c r="D98" s="485">
        <f>'2Ф КРУГ'!B23</f>
        <v>0</v>
      </c>
      <c r="E98" s="922" t="e">
        <f>IF(D98="","",VLOOKUP(D98,'Списки участников'!A:K,12,FALSE))</f>
        <v>#N/A</v>
      </c>
      <c r="F98" s="484">
        <f>'2Ф КРУГ'!B33</f>
        <v>0</v>
      </c>
      <c r="G98" s="922" t="e">
        <f>IF(F98="","",VLOOKUP(F98,'Списки участников'!A:K,12,FALSE))</f>
        <v>#N/A</v>
      </c>
      <c r="H98" s="491"/>
      <c r="I98" s="922" t="str">
        <f>IF(H98="","",VLOOKUP(H98,'Списки участников'!A:K,12,FALSE))</f>
        <v/>
      </c>
      <c r="J98" s="915"/>
      <c r="K98" s="915"/>
      <c r="L98" s="915"/>
      <c r="M98" s="914"/>
      <c r="N98" s="914"/>
      <c r="O98" s="905" t="str">
        <f t="shared" si="2"/>
        <v/>
      </c>
      <c r="P98" s="930" t="str">
        <f t="shared" si="3"/>
        <v/>
      </c>
      <c r="Q98" s="931"/>
    </row>
    <row r="99" spans="1:17" ht="17.25" x14ac:dyDescent="0.25">
      <c r="A99" s="486">
        <v>95</v>
      </c>
      <c r="B99" s="496">
        <v>12</v>
      </c>
      <c r="C99" s="490" t="s">
        <v>1008</v>
      </c>
      <c r="D99" s="485">
        <f>'2Ф КРУГ'!B25</f>
        <v>0</v>
      </c>
      <c r="E99" s="922" t="e">
        <f>IF(D99="","",VLOOKUP(D99,'Списки участников'!A:K,12,FALSE))</f>
        <v>#N/A</v>
      </c>
      <c r="F99" s="484">
        <f>'2Ф КРУГ'!B31</f>
        <v>0</v>
      </c>
      <c r="G99" s="922" t="e">
        <f>IF(F99="","",VLOOKUP(F99,'Списки участников'!A:K,12,FALSE))</f>
        <v>#N/A</v>
      </c>
      <c r="H99" s="491"/>
      <c r="I99" s="922" t="str">
        <f>IF(H99="","",VLOOKUP(H99,'Списки участников'!A:K,12,FALSE))</f>
        <v/>
      </c>
      <c r="J99" s="915"/>
      <c r="K99" s="915"/>
      <c r="L99" s="915"/>
      <c r="M99" s="914"/>
      <c r="N99" s="914"/>
      <c r="O99" s="905" t="str">
        <f t="shared" si="2"/>
        <v/>
      </c>
      <c r="P99" s="930" t="str">
        <f t="shared" si="3"/>
        <v/>
      </c>
      <c r="Q99" s="931"/>
    </row>
    <row r="100" spans="1:17" ht="18" thickBot="1" x14ac:dyDescent="0.3">
      <c r="A100" s="486">
        <v>96</v>
      </c>
      <c r="B100" s="500">
        <v>12</v>
      </c>
      <c r="C100" s="493" t="s">
        <v>1009</v>
      </c>
      <c r="D100" s="731">
        <f>'2Ф КРУГ'!B27</f>
        <v>0</v>
      </c>
      <c r="E100" s="730" t="e">
        <f>IF(D100="","",VLOOKUP(D100,'Списки участников'!A:K,12,FALSE))</f>
        <v>#N/A</v>
      </c>
      <c r="F100" s="494">
        <f>'2Ф КРУГ'!B29</f>
        <v>0</v>
      </c>
      <c r="G100" s="730" t="e">
        <f>IF(F100="","",VLOOKUP(F100,'Списки участников'!A:K,12,FALSE))</f>
        <v>#N/A</v>
      </c>
      <c r="H100" s="494"/>
      <c r="I100" s="701" t="str">
        <f>IF(H100="","",VLOOKUP(H100,'Списки участников'!A:K,12,FALSE))</f>
        <v/>
      </c>
      <c r="J100" s="702"/>
      <c r="K100" s="702"/>
      <c r="L100" s="702"/>
      <c r="M100" s="702"/>
      <c r="N100" s="702"/>
      <c r="O100" s="932" t="str">
        <f t="shared" si="2"/>
        <v/>
      </c>
      <c r="P100" s="933" t="str">
        <f t="shared" si="3"/>
        <v/>
      </c>
      <c r="Q100" s="701"/>
    </row>
    <row r="101" spans="1:17" ht="15" customHeight="1" x14ac:dyDescent="0.25">
      <c r="A101" s="486">
        <v>97</v>
      </c>
      <c r="B101" s="496">
        <v>13</v>
      </c>
      <c r="C101" s="483" t="s">
        <v>1010</v>
      </c>
      <c r="D101" s="485">
        <f>'2Ф КРУГ'!B5</f>
        <v>0</v>
      </c>
      <c r="E101" s="922" t="e">
        <f>IF(D101="","",VLOOKUP(D101,'Списки участников'!A:K,12,FALSE))</f>
        <v>#N/A</v>
      </c>
      <c r="F101" s="485">
        <f>'2Ф КРУГ'!B11</f>
        <v>0</v>
      </c>
      <c r="G101" s="922" t="e">
        <f>IF(F101="","",VLOOKUP(F101,'Списки участников'!A:K,12,FALSE))</f>
        <v>#N/A</v>
      </c>
      <c r="H101" s="485"/>
      <c r="I101" s="922" t="str">
        <f>IF(H101="","",VLOOKUP(H101,'Списки участников'!A:K,12,FALSE))</f>
        <v/>
      </c>
      <c r="J101" s="915"/>
      <c r="K101" s="915"/>
      <c r="L101" s="915"/>
      <c r="M101" s="915"/>
      <c r="N101" s="915"/>
      <c r="O101" s="905" t="str">
        <f t="shared" si="2"/>
        <v/>
      </c>
      <c r="P101" s="930" t="str">
        <f t="shared" si="3"/>
        <v/>
      </c>
      <c r="Q101" s="922"/>
    </row>
    <row r="102" spans="1:17" ht="17.25" x14ac:dyDescent="0.25">
      <c r="A102" s="486">
        <v>98</v>
      </c>
      <c r="B102" s="496">
        <v>13</v>
      </c>
      <c r="C102" s="906" t="s">
        <v>2674</v>
      </c>
      <c r="D102" s="484">
        <f>'2Ф КРУГ'!B9</f>
        <v>0</v>
      </c>
      <c r="E102" s="922" t="e">
        <f>IF(D102="","",VLOOKUP(D102,'Списки участников'!A:K,12,FALSE))</f>
        <v>#N/A</v>
      </c>
      <c r="F102" s="485">
        <f>'2Ф КРУГ'!B13</f>
        <v>0</v>
      </c>
      <c r="G102" s="922" t="e">
        <f>IF(F102="","",VLOOKUP(F102,'Списки участников'!A:K,12,FALSE))</f>
        <v>#N/A</v>
      </c>
      <c r="H102" s="484"/>
      <c r="I102" s="922" t="str">
        <f>IF(H102="","",VLOOKUP(H102,'Списки участников'!A:K,12,FALSE))</f>
        <v/>
      </c>
      <c r="J102" s="915"/>
      <c r="K102" s="915"/>
      <c r="L102" s="915"/>
      <c r="M102" s="486"/>
      <c r="N102" s="486"/>
      <c r="O102" s="905" t="str">
        <f t="shared" si="2"/>
        <v/>
      </c>
      <c r="P102" s="930" t="str">
        <f t="shared" si="3"/>
        <v/>
      </c>
      <c r="Q102" s="931"/>
    </row>
    <row r="103" spans="1:17" ht="17.25" x14ac:dyDescent="0.25">
      <c r="A103" s="486">
        <v>99</v>
      </c>
      <c r="B103" s="496">
        <v>13</v>
      </c>
      <c r="C103" s="906" t="s">
        <v>2675</v>
      </c>
      <c r="D103" s="484">
        <f>'2Ф КРУГ'!B7</f>
        <v>0</v>
      </c>
      <c r="E103" s="922" t="e">
        <f>IF(D103="","",VLOOKUP(D103,'Списки участников'!A:K,12,FALSE))</f>
        <v>#N/A</v>
      </c>
      <c r="F103" s="485">
        <f>'2Ф КРУГ'!B15</f>
        <v>0</v>
      </c>
      <c r="G103" s="922" t="e">
        <f>IF(F103="","",VLOOKUP(F103,'Списки участников'!A:K,12,FALSE))</f>
        <v>#N/A</v>
      </c>
      <c r="H103" s="484"/>
      <c r="I103" s="922" t="str">
        <f>IF(H103="","",VLOOKUP(H103,'Списки участников'!A:K,12,FALSE))</f>
        <v/>
      </c>
      <c r="J103" s="915"/>
      <c r="K103" s="915"/>
      <c r="L103" s="915"/>
      <c r="M103" s="486"/>
      <c r="N103" s="486"/>
      <c r="O103" s="905" t="str">
        <f t="shared" si="2"/>
        <v/>
      </c>
      <c r="P103" s="930" t="str">
        <f t="shared" si="3"/>
        <v/>
      </c>
      <c r="Q103" s="931"/>
    </row>
    <row r="104" spans="1:17" ht="17.25" x14ac:dyDescent="0.25">
      <c r="A104" s="486">
        <v>100</v>
      </c>
      <c r="B104" s="496">
        <v>13</v>
      </c>
      <c r="C104" s="488" t="s">
        <v>1011</v>
      </c>
      <c r="D104" s="484">
        <f>'2Ф КРУГ'!B17</f>
        <v>0</v>
      </c>
      <c r="E104" s="922" t="e">
        <f>IF(D104="","",VLOOKUP(D104,'Списки участников'!A:K,12,FALSE))</f>
        <v>#N/A</v>
      </c>
      <c r="F104" s="484">
        <f>'2Ф КРУГ'!B35</f>
        <v>0</v>
      </c>
      <c r="G104" s="922" t="e">
        <f>IF(F104="","",VLOOKUP(F104,'Списки участников'!A:K,12,FALSE))</f>
        <v>#N/A</v>
      </c>
      <c r="H104" s="484"/>
      <c r="I104" s="922" t="str">
        <f>IF(H104="","",VLOOKUP(H104,'Списки участников'!A:K,12,FALSE))</f>
        <v/>
      </c>
      <c r="J104" s="915"/>
      <c r="K104" s="915"/>
      <c r="L104" s="915"/>
      <c r="M104" s="486"/>
      <c r="N104" s="486"/>
      <c r="O104" s="905" t="str">
        <f t="shared" si="2"/>
        <v/>
      </c>
      <c r="P104" s="930" t="str">
        <f t="shared" si="3"/>
        <v/>
      </c>
      <c r="Q104" s="931"/>
    </row>
    <row r="105" spans="1:17" ht="17.25" x14ac:dyDescent="0.25">
      <c r="A105" s="486">
        <v>101</v>
      </c>
      <c r="B105" s="501">
        <v>13</v>
      </c>
      <c r="C105" s="488" t="s">
        <v>1012</v>
      </c>
      <c r="D105" s="484">
        <f>'2Ф КРУГ'!B19</f>
        <v>0</v>
      </c>
      <c r="E105" s="922" t="e">
        <f>IF(D105="","",VLOOKUP(D105,'Списки участников'!A:K,12,FALSE))</f>
        <v>#N/A</v>
      </c>
      <c r="F105" s="484">
        <f>'2Ф КРУГ'!B33</f>
        <v>0</v>
      </c>
      <c r="G105" s="922" t="e">
        <f>IF(F105="","",VLOOKUP(F105,'Списки участников'!A:K,12,FALSE))</f>
        <v>#N/A</v>
      </c>
      <c r="H105" s="484"/>
      <c r="I105" s="922" t="str">
        <f>IF(H105="","",VLOOKUP(H105,'Списки участников'!A:K,12,FALSE))</f>
        <v/>
      </c>
      <c r="J105" s="915"/>
      <c r="K105" s="915"/>
      <c r="L105" s="915"/>
      <c r="M105" s="486"/>
      <c r="N105" s="486"/>
      <c r="O105" s="905" t="str">
        <f t="shared" si="2"/>
        <v/>
      </c>
      <c r="P105" s="930" t="str">
        <f t="shared" si="3"/>
        <v/>
      </c>
      <c r="Q105" s="931"/>
    </row>
    <row r="106" spans="1:17" ht="17.25" x14ac:dyDescent="0.25">
      <c r="A106" s="486">
        <v>102</v>
      </c>
      <c r="B106" s="496">
        <v>13</v>
      </c>
      <c r="C106" s="490" t="s">
        <v>1013</v>
      </c>
      <c r="D106" s="484">
        <f>'2Ф КРУГ'!B21</f>
        <v>0</v>
      </c>
      <c r="E106" s="922" t="e">
        <f>IF(D106="","",VLOOKUP(D106,'Списки участников'!A:K,12,FALSE))</f>
        <v>#N/A</v>
      </c>
      <c r="F106" s="484">
        <f>'2Ф КРУГ'!B31</f>
        <v>0</v>
      </c>
      <c r="G106" s="922" t="e">
        <f>IF(F106="","",VLOOKUP(F106,'Списки участников'!A:K,12,FALSE))</f>
        <v>#N/A</v>
      </c>
      <c r="H106" s="491"/>
      <c r="I106" s="922" t="str">
        <f>IF(H106="","",VLOOKUP(H106,'Списки участников'!A:K,12,FALSE))</f>
        <v/>
      </c>
      <c r="J106" s="915"/>
      <c r="K106" s="915"/>
      <c r="L106" s="915"/>
      <c r="M106" s="914"/>
      <c r="N106" s="914"/>
      <c r="O106" s="905" t="str">
        <f t="shared" si="2"/>
        <v/>
      </c>
      <c r="P106" s="930" t="str">
        <f t="shared" si="3"/>
        <v/>
      </c>
      <c r="Q106" s="931"/>
    </row>
    <row r="107" spans="1:17" ht="17.25" x14ac:dyDescent="0.25">
      <c r="A107" s="486">
        <v>103</v>
      </c>
      <c r="B107" s="496">
        <v>13</v>
      </c>
      <c r="C107" s="490" t="s">
        <v>1014</v>
      </c>
      <c r="D107" s="484">
        <f>'2Ф КРУГ'!B23</f>
        <v>0</v>
      </c>
      <c r="E107" s="922" t="e">
        <f>IF(D107="","",VLOOKUP(D107,'Списки участников'!A:K,12,FALSE))</f>
        <v>#N/A</v>
      </c>
      <c r="F107" s="484">
        <f>'2Ф КРУГ'!B29</f>
        <v>0</v>
      </c>
      <c r="G107" s="922" t="e">
        <f>IF(F107="","",VLOOKUP(F107,'Списки участников'!A:K,12,FALSE))</f>
        <v>#N/A</v>
      </c>
      <c r="H107" s="491"/>
      <c r="I107" s="922" t="str">
        <f>IF(H107="","",VLOOKUP(H107,'Списки участников'!A:K,12,FALSE))</f>
        <v/>
      </c>
      <c r="J107" s="915"/>
      <c r="K107" s="915"/>
      <c r="L107" s="915"/>
      <c r="M107" s="914"/>
      <c r="N107" s="914"/>
      <c r="O107" s="905" t="str">
        <f t="shared" si="2"/>
        <v/>
      </c>
      <c r="P107" s="930" t="str">
        <f t="shared" si="3"/>
        <v/>
      </c>
      <c r="Q107" s="931"/>
    </row>
    <row r="108" spans="1:17" ht="18" thickBot="1" x14ac:dyDescent="0.3">
      <c r="A108" s="486">
        <v>104</v>
      </c>
      <c r="B108" s="500">
        <v>13</v>
      </c>
      <c r="C108" s="493" t="s">
        <v>1015</v>
      </c>
      <c r="D108" s="494">
        <f>'2Ф КРУГ'!B25</f>
        <v>0</v>
      </c>
      <c r="E108" s="730" t="e">
        <f>IF(D108="","",VLOOKUP(D108,'Списки участников'!A:K,12,FALSE))</f>
        <v>#N/A</v>
      </c>
      <c r="F108" s="494">
        <f>'2Ф КРУГ'!B27</f>
        <v>0</v>
      </c>
      <c r="G108" s="730" t="e">
        <f>IF(F108="","",VLOOKUP(F108,'Списки участников'!A:K,12,FALSE))</f>
        <v>#N/A</v>
      </c>
      <c r="H108" s="494"/>
      <c r="I108" s="701" t="str">
        <f>IF(H108="","",VLOOKUP(H108,'Списки участников'!A:K,12,FALSE))</f>
        <v/>
      </c>
      <c r="J108" s="702"/>
      <c r="K108" s="702"/>
      <c r="L108" s="702"/>
      <c r="M108" s="702"/>
      <c r="N108" s="702"/>
      <c r="O108" s="932" t="str">
        <f t="shared" si="2"/>
        <v/>
      </c>
      <c r="P108" s="933" t="str">
        <f t="shared" si="3"/>
        <v/>
      </c>
      <c r="Q108" s="701"/>
    </row>
    <row r="109" spans="1:17" ht="15" customHeight="1" x14ac:dyDescent="0.25">
      <c r="A109" s="486">
        <v>105</v>
      </c>
      <c r="B109" s="496">
        <v>14</v>
      </c>
      <c r="C109" s="913" t="s">
        <v>2680</v>
      </c>
      <c r="D109" s="485">
        <f>'2Ф КРУГ'!B5</f>
        <v>0</v>
      </c>
      <c r="E109" s="922" t="e">
        <f>IF(D109="","",VLOOKUP(D109,'Списки участников'!A:K,12,FALSE))</f>
        <v>#N/A</v>
      </c>
      <c r="F109" s="485">
        <f>'2Ф КРУГ'!B9</f>
        <v>0</v>
      </c>
      <c r="G109" s="922" t="e">
        <f>IF(F109="","",VLOOKUP(F109,'Списки участников'!A:K,12,FALSE))</f>
        <v>#N/A</v>
      </c>
      <c r="H109" s="485"/>
      <c r="I109" s="922" t="str">
        <f>IF(H109="","",VLOOKUP(H109,'Списки участников'!A:K,12,FALSE))</f>
        <v/>
      </c>
      <c r="J109" s="915"/>
      <c r="K109" s="915"/>
      <c r="L109" s="915"/>
      <c r="M109" s="915"/>
      <c r="N109" s="915"/>
      <c r="O109" s="905" t="str">
        <f t="shared" si="2"/>
        <v/>
      </c>
      <c r="P109" s="930" t="str">
        <f t="shared" si="3"/>
        <v/>
      </c>
      <c r="Q109" s="922"/>
    </row>
    <row r="110" spans="1:17" ht="17.25" x14ac:dyDescent="0.25">
      <c r="A110" s="486">
        <v>106</v>
      </c>
      <c r="B110" s="496">
        <v>14</v>
      </c>
      <c r="C110" s="906" t="s">
        <v>2676</v>
      </c>
      <c r="D110" s="485">
        <f>'2Ф КРУГ'!B7</f>
        <v>0</v>
      </c>
      <c r="E110" s="922" t="e">
        <f>IF(D110="","",VLOOKUP(D110,'Списки участников'!A:K,12,FALSE))</f>
        <v>#N/A</v>
      </c>
      <c r="F110" s="484">
        <f>'2Ф КРУГ'!B11</f>
        <v>0</v>
      </c>
      <c r="G110" s="922" t="e">
        <f>IF(F110="","",VLOOKUP(F110,'Списки участников'!A:K,12,FALSE))</f>
        <v>#N/A</v>
      </c>
      <c r="H110" s="484"/>
      <c r="I110" s="922" t="str">
        <f>IF(H110="","",VLOOKUP(H110,'Списки участников'!A:K,12,FALSE))</f>
        <v/>
      </c>
      <c r="J110" s="915"/>
      <c r="K110" s="915"/>
      <c r="L110" s="915"/>
      <c r="M110" s="486"/>
      <c r="N110" s="486"/>
      <c r="O110" s="905" t="str">
        <f t="shared" si="2"/>
        <v/>
      </c>
      <c r="P110" s="930" t="str">
        <f t="shared" si="3"/>
        <v/>
      </c>
      <c r="Q110" s="931"/>
    </row>
    <row r="111" spans="1:17" ht="17.25" x14ac:dyDescent="0.25">
      <c r="A111" s="486">
        <v>107</v>
      </c>
      <c r="B111" s="496">
        <v>14</v>
      </c>
      <c r="C111" s="488" t="s">
        <v>1016</v>
      </c>
      <c r="D111" s="485">
        <f>'2Ф КРУГ'!B13</f>
        <v>0</v>
      </c>
      <c r="E111" s="922" t="e">
        <f>IF(D111="","",VLOOKUP(D111,'Списки участников'!A:K,12,FALSE))</f>
        <v>#N/A</v>
      </c>
      <c r="F111" s="484">
        <f>'2Ф КРУГ'!B35</f>
        <v>0</v>
      </c>
      <c r="G111" s="922" t="e">
        <f>IF(F111="","",VLOOKUP(F111,'Списки участников'!A:K,12,FALSE))</f>
        <v>#N/A</v>
      </c>
      <c r="H111" s="484"/>
      <c r="I111" s="922" t="str">
        <f>IF(H111="","",VLOOKUP(H111,'Списки участников'!A:K,12,FALSE))</f>
        <v/>
      </c>
      <c r="J111" s="915"/>
      <c r="K111" s="915"/>
      <c r="L111" s="915"/>
      <c r="M111" s="486"/>
      <c r="N111" s="486"/>
      <c r="O111" s="905" t="str">
        <f t="shared" si="2"/>
        <v/>
      </c>
      <c r="P111" s="930" t="str">
        <f t="shared" si="3"/>
        <v/>
      </c>
      <c r="Q111" s="931"/>
    </row>
    <row r="112" spans="1:17" ht="17.25" x14ac:dyDescent="0.25">
      <c r="A112" s="486">
        <v>108</v>
      </c>
      <c r="B112" s="496">
        <v>14</v>
      </c>
      <c r="C112" s="488" t="s">
        <v>1017</v>
      </c>
      <c r="D112" s="485">
        <f>'2Ф КРУГ'!B15</f>
        <v>0</v>
      </c>
      <c r="E112" s="922" t="e">
        <f>IF(D112="","",VLOOKUP(D112,'Списки участников'!A:K,12,FALSE))</f>
        <v>#N/A</v>
      </c>
      <c r="F112" s="484">
        <f>'2Ф КРУГ'!B33</f>
        <v>0</v>
      </c>
      <c r="G112" s="922" t="e">
        <f>IF(F112="","",VLOOKUP(F112,'Списки участников'!A:K,12,FALSE))</f>
        <v>#N/A</v>
      </c>
      <c r="H112" s="484"/>
      <c r="I112" s="922" t="str">
        <f>IF(H112="","",VLOOKUP(H112,'Списки участников'!A:K,12,FALSE))</f>
        <v/>
      </c>
      <c r="J112" s="915"/>
      <c r="K112" s="915"/>
      <c r="L112" s="915"/>
      <c r="M112" s="486"/>
      <c r="N112" s="486"/>
      <c r="O112" s="905" t="str">
        <f t="shared" si="2"/>
        <v/>
      </c>
      <c r="P112" s="930" t="str">
        <f t="shared" si="3"/>
        <v/>
      </c>
      <c r="Q112" s="931"/>
    </row>
    <row r="113" spans="1:17" ht="17.25" x14ac:dyDescent="0.25">
      <c r="A113" s="486">
        <v>109</v>
      </c>
      <c r="B113" s="501">
        <v>14</v>
      </c>
      <c r="C113" s="488" t="s">
        <v>1018</v>
      </c>
      <c r="D113" s="485">
        <f>'2Ф КРУГ'!B17</f>
        <v>0</v>
      </c>
      <c r="E113" s="922" t="e">
        <f>IF(D113="","",VLOOKUP(D113,'Списки участников'!A:K,12,FALSE))</f>
        <v>#N/A</v>
      </c>
      <c r="F113" s="484">
        <f>'2Ф КРУГ'!B31</f>
        <v>0</v>
      </c>
      <c r="G113" s="922" t="e">
        <f>IF(F113="","",VLOOKUP(F113,'Списки участников'!A:K,12,FALSE))</f>
        <v>#N/A</v>
      </c>
      <c r="H113" s="484"/>
      <c r="I113" s="922" t="str">
        <f>IF(H113="","",VLOOKUP(H113,'Списки участников'!A:K,12,FALSE))</f>
        <v/>
      </c>
      <c r="J113" s="915"/>
      <c r="K113" s="915"/>
      <c r="L113" s="915"/>
      <c r="M113" s="486"/>
      <c r="N113" s="486"/>
      <c r="O113" s="905" t="str">
        <f t="shared" si="2"/>
        <v/>
      </c>
      <c r="P113" s="930" t="str">
        <f t="shared" si="3"/>
        <v/>
      </c>
      <c r="Q113" s="931"/>
    </row>
    <row r="114" spans="1:17" ht="17.25" x14ac:dyDescent="0.25">
      <c r="A114" s="486">
        <v>110</v>
      </c>
      <c r="B114" s="496">
        <v>14</v>
      </c>
      <c r="C114" s="490" t="s">
        <v>1019</v>
      </c>
      <c r="D114" s="485">
        <f>'2Ф КРУГ'!B19</f>
        <v>0</v>
      </c>
      <c r="E114" s="922" t="e">
        <f>IF(D114="","",VLOOKUP(D114,'Списки участников'!A:K,12,FALSE))</f>
        <v>#N/A</v>
      </c>
      <c r="F114" s="484">
        <f>'2Ф КРУГ'!B29</f>
        <v>0</v>
      </c>
      <c r="G114" s="922" t="e">
        <f>IF(F114="","",VLOOKUP(F114,'Списки участников'!A:K,12,FALSE))</f>
        <v>#N/A</v>
      </c>
      <c r="H114" s="491"/>
      <c r="I114" s="922" t="str">
        <f>IF(H114="","",VLOOKUP(H114,'Списки участников'!A:K,12,FALSE))</f>
        <v/>
      </c>
      <c r="J114" s="915"/>
      <c r="K114" s="915"/>
      <c r="L114" s="915"/>
      <c r="M114" s="914"/>
      <c r="N114" s="914"/>
      <c r="O114" s="905" t="str">
        <f t="shared" si="2"/>
        <v/>
      </c>
      <c r="P114" s="930" t="str">
        <f t="shared" si="3"/>
        <v/>
      </c>
      <c r="Q114" s="931"/>
    </row>
    <row r="115" spans="1:17" ht="17.25" x14ac:dyDescent="0.25">
      <c r="A115" s="486">
        <v>111</v>
      </c>
      <c r="B115" s="496">
        <v>14</v>
      </c>
      <c r="C115" s="490" t="s">
        <v>1020</v>
      </c>
      <c r="D115" s="485">
        <f>'2Ф КРУГ'!B21</f>
        <v>0</v>
      </c>
      <c r="E115" s="922" t="e">
        <f>IF(D115="","",VLOOKUP(D115,'Списки участников'!A:K,12,FALSE))</f>
        <v>#N/A</v>
      </c>
      <c r="F115" s="484">
        <f>'2Ф КРУГ'!B27</f>
        <v>0</v>
      </c>
      <c r="G115" s="922" t="e">
        <f>IF(F115="","",VLOOKUP(F115,'Списки участников'!A:K,12,FALSE))</f>
        <v>#N/A</v>
      </c>
      <c r="H115" s="491"/>
      <c r="I115" s="922" t="str">
        <f>IF(H115="","",VLOOKUP(H115,'Списки участников'!A:K,12,FALSE))</f>
        <v/>
      </c>
      <c r="J115" s="915"/>
      <c r="K115" s="915"/>
      <c r="L115" s="915"/>
      <c r="M115" s="914"/>
      <c r="N115" s="914"/>
      <c r="O115" s="905" t="str">
        <f t="shared" si="2"/>
        <v/>
      </c>
      <c r="P115" s="930" t="str">
        <f t="shared" si="3"/>
        <v/>
      </c>
      <c r="Q115" s="931"/>
    </row>
    <row r="116" spans="1:17" ht="18" thickBot="1" x14ac:dyDescent="0.3">
      <c r="A116" s="486">
        <v>112</v>
      </c>
      <c r="B116" s="500">
        <v>14</v>
      </c>
      <c r="C116" s="493" t="s">
        <v>1021</v>
      </c>
      <c r="D116" s="494">
        <f>'2Ф КРУГ'!B23</f>
        <v>0</v>
      </c>
      <c r="E116" s="701" t="e">
        <f>IF(D116="","",VLOOKUP(D116,'Списки участников'!A:K,12,FALSE))</f>
        <v>#N/A</v>
      </c>
      <c r="F116" s="494">
        <f>'2Ф КРУГ'!B25</f>
        <v>0</v>
      </c>
      <c r="G116" s="701" t="e">
        <f>IF(F116="","",VLOOKUP(F116,'Списки участников'!A:K,12,FALSE))</f>
        <v>#N/A</v>
      </c>
      <c r="H116" s="494"/>
      <c r="I116" s="701" t="str">
        <f>IF(H116="","",VLOOKUP(H116,'Списки участников'!A:K,12,FALSE))</f>
        <v/>
      </c>
      <c r="J116" s="702"/>
      <c r="K116" s="702"/>
      <c r="L116" s="702"/>
      <c r="M116" s="702"/>
      <c r="N116" s="702"/>
      <c r="O116" s="932" t="str">
        <f t="shared" si="2"/>
        <v/>
      </c>
      <c r="P116" s="933" t="str">
        <f t="shared" si="3"/>
        <v/>
      </c>
      <c r="Q116" s="701"/>
    </row>
    <row r="117" spans="1:17" ht="15" customHeight="1" x14ac:dyDescent="0.25">
      <c r="A117" s="486">
        <v>113</v>
      </c>
      <c r="B117" s="482">
        <v>15</v>
      </c>
      <c r="C117" s="483" t="s">
        <v>1022</v>
      </c>
      <c r="D117" s="485">
        <f>'2Ф КРУГ'!B5</f>
        <v>0</v>
      </c>
      <c r="E117" s="922" t="e">
        <f>IF(D117="","",VLOOKUP(D117,'Списки участников'!A:K,12,FALSE))</f>
        <v>#N/A</v>
      </c>
      <c r="F117" s="485">
        <f>'2Ф КРУГ'!B7</f>
        <v>0</v>
      </c>
      <c r="G117" s="922" t="e">
        <f>IF(F117="","",VLOOKUP(F117,'Списки участников'!A:K,12,FALSE))</f>
        <v>#N/A</v>
      </c>
      <c r="H117" s="485"/>
      <c r="I117" s="922" t="str">
        <f>IF(H117="","",VLOOKUP(H117,'Списки участников'!A:K,12,FALSE))</f>
        <v/>
      </c>
      <c r="J117" s="915"/>
      <c r="K117" s="915"/>
      <c r="L117" s="915"/>
      <c r="M117" s="915"/>
      <c r="N117" s="915"/>
      <c r="O117" s="905" t="str">
        <f t="shared" si="2"/>
        <v/>
      </c>
      <c r="P117" s="930" t="str">
        <f t="shared" si="3"/>
        <v/>
      </c>
      <c r="Q117" s="922"/>
    </row>
    <row r="118" spans="1:17" ht="17.25" x14ac:dyDescent="0.25">
      <c r="A118" s="486">
        <v>114</v>
      </c>
      <c r="B118" s="496">
        <v>15</v>
      </c>
      <c r="C118" s="488" t="s">
        <v>1023</v>
      </c>
      <c r="D118" s="484">
        <f>'2Ф КРУГ'!B9</f>
        <v>0</v>
      </c>
      <c r="E118" s="922" t="e">
        <f>IF(D118="","",VLOOKUP(D118,'Списки участников'!A:K,12,FALSE))</f>
        <v>#N/A</v>
      </c>
      <c r="F118" s="484">
        <f>'2Ф КРУГ'!B35</f>
        <v>0</v>
      </c>
      <c r="G118" s="922" t="e">
        <f>IF(F118="","",VLOOKUP(F118,'Списки участников'!A:K,12,FALSE))</f>
        <v>#N/A</v>
      </c>
      <c r="H118" s="484"/>
      <c r="I118" s="922" t="str">
        <f>IF(H118="","",VLOOKUP(H118,'Списки участников'!A:K,12,FALSE))</f>
        <v/>
      </c>
      <c r="J118" s="915"/>
      <c r="K118" s="915"/>
      <c r="L118" s="915"/>
      <c r="M118" s="915"/>
      <c r="N118" s="915"/>
      <c r="O118" s="905" t="str">
        <f t="shared" si="2"/>
        <v/>
      </c>
      <c r="P118" s="930" t="str">
        <f t="shared" si="3"/>
        <v/>
      </c>
      <c r="Q118" s="931"/>
    </row>
    <row r="119" spans="1:17" ht="17.25" x14ac:dyDescent="0.25">
      <c r="A119" s="486">
        <v>115</v>
      </c>
      <c r="B119" s="496">
        <v>15</v>
      </c>
      <c r="C119" s="488" t="s">
        <v>1024</v>
      </c>
      <c r="D119" s="484">
        <f>'2Ф КРУГ'!B11</f>
        <v>0</v>
      </c>
      <c r="E119" s="922" t="e">
        <f>IF(D119="","",VLOOKUP(D119,'Списки участников'!A:K,12,FALSE))</f>
        <v>#N/A</v>
      </c>
      <c r="F119" s="484">
        <f>'2Ф КРУГ'!B33</f>
        <v>0</v>
      </c>
      <c r="G119" s="922" t="e">
        <f>IF(F119="","",VLOOKUP(F119,'Списки участников'!A:K,12,FALSE))</f>
        <v>#N/A</v>
      </c>
      <c r="H119" s="484"/>
      <c r="I119" s="922" t="str">
        <f>IF(H119="","",VLOOKUP(H119,'Списки участников'!A:K,12,FALSE))</f>
        <v/>
      </c>
      <c r="J119" s="915"/>
      <c r="K119" s="915"/>
      <c r="L119" s="915"/>
      <c r="M119" s="915"/>
      <c r="N119" s="915"/>
      <c r="O119" s="905" t="str">
        <f t="shared" si="2"/>
        <v/>
      </c>
      <c r="P119" s="930" t="str">
        <f t="shared" si="3"/>
        <v/>
      </c>
      <c r="Q119" s="931"/>
    </row>
    <row r="120" spans="1:17" ht="17.25" x14ac:dyDescent="0.25">
      <c r="A120" s="486">
        <v>116</v>
      </c>
      <c r="B120" s="496">
        <v>15</v>
      </c>
      <c r="C120" s="488" t="s">
        <v>1025</v>
      </c>
      <c r="D120" s="484">
        <f>'2Ф КРУГ'!B13</f>
        <v>0</v>
      </c>
      <c r="E120" s="922" t="e">
        <f>IF(D120="","",VLOOKUP(D120,'Списки участников'!A:K,12,FALSE))</f>
        <v>#N/A</v>
      </c>
      <c r="F120" s="484">
        <f>'2Ф КРУГ'!B31</f>
        <v>0</v>
      </c>
      <c r="G120" s="922" t="e">
        <f>IF(F120="","",VLOOKUP(F120,'Списки участников'!A:K,12,FALSE))</f>
        <v>#N/A</v>
      </c>
      <c r="H120" s="484"/>
      <c r="I120" s="922" t="str">
        <f>IF(H120="","",VLOOKUP(H120,'Списки участников'!A:K,12,FALSE))</f>
        <v/>
      </c>
      <c r="J120" s="915"/>
      <c r="K120" s="915"/>
      <c r="L120" s="915"/>
      <c r="M120" s="915"/>
      <c r="N120" s="915"/>
      <c r="O120" s="905" t="str">
        <f t="shared" si="2"/>
        <v/>
      </c>
      <c r="P120" s="930" t="str">
        <f t="shared" si="3"/>
        <v/>
      </c>
      <c r="Q120" s="931"/>
    </row>
    <row r="121" spans="1:17" ht="17.25" x14ac:dyDescent="0.25">
      <c r="A121" s="486">
        <v>117</v>
      </c>
      <c r="B121" s="501">
        <v>15</v>
      </c>
      <c r="C121" s="488" t="s">
        <v>1026</v>
      </c>
      <c r="D121" s="484">
        <f>'2Ф КРУГ'!B15</f>
        <v>0</v>
      </c>
      <c r="E121" s="922" t="e">
        <f>IF(D121="","",VLOOKUP(D121,'Списки участников'!A:K,12,FALSE))</f>
        <v>#N/A</v>
      </c>
      <c r="F121" s="484">
        <f>'2Ф КРУГ'!B29</f>
        <v>0</v>
      </c>
      <c r="G121" s="922" t="e">
        <f>IF(F121="","",VLOOKUP(F121,'Списки участников'!A:K,12,FALSE))</f>
        <v>#N/A</v>
      </c>
      <c r="H121" s="484"/>
      <c r="I121" s="922" t="str">
        <f>IF(H121="","",VLOOKUP(H121,'Списки участников'!A:K,12,FALSE))</f>
        <v/>
      </c>
      <c r="J121" s="915"/>
      <c r="K121" s="915"/>
      <c r="L121" s="915"/>
      <c r="M121" s="915"/>
      <c r="N121" s="915"/>
      <c r="O121" s="905" t="str">
        <f t="shared" si="2"/>
        <v/>
      </c>
      <c r="P121" s="930" t="str">
        <f t="shared" si="3"/>
        <v/>
      </c>
      <c r="Q121" s="931"/>
    </row>
    <row r="122" spans="1:17" ht="17.25" x14ac:dyDescent="0.25">
      <c r="A122" s="486">
        <v>118</v>
      </c>
      <c r="B122" s="496">
        <v>15</v>
      </c>
      <c r="C122" s="490" t="s">
        <v>1027</v>
      </c>
      <c r="D122" s="484">
        <f>'2Ф КРУГ'!B17</f>
        <v>0</v>
      </c>
      <c r="E122" s="922" t="e">
        <f>IF(D122="","",VLOOKUP(D122,'Списки участников'!A:K,12,FALSE))</f>
        <v>#N/A</v>
      </c>
      <c r="F122" s="484">
        <f>'2Ф КРУГ'!B27</f>
        <v>0</v>
      </c>
      <c r="G122" s="922" t="e">
        <f>IF(F122="","",VLOOKUP(F122,'Списки участников'!A:K,12,FALSE))</f>
        <v>#N/A</v>
      </c>
      <c r="H122" s="491"/>
      <c r="I122" s="922" t="str">
        <f>IF(H122="","",VLOOKUP(H122,'Списки участников'!A:K,12,FALSE))</f>
        <v/>
      </c>
      <c r="J122" s="915"/>
      <c r="K122" s="915"/>
      <c r="L122" s="915"/>
      <c r="M122" s="915"/>
      <c r="N122" s="915"/>
      <c r="O122" s="905" t="str">
        <f t="shared" si="2"/>
        <v/>
      </c>
      <c r="P122" s="930" t="str">
        <f t="shared" si="3"/>
        <v/>
      </c>
      <c r="Q122" s="931"/>
    </row>
    <row r="123" spans="1:17" ht="17.25" x14ac:dyDescent="0.25">
      <c r="A123" s="486">
        <v>119</v>
      </c>
      <c r="B123" s="496">
        <v>15</v>
      </c>
      <c r="C123" s="490" t="s">
        <v>1028</v>
      </c>
      <c r="D123" s="484">
        <f>'2Ф КРУГ'!B19</f>
        <v>0</v>
      </c>
      <c r="E123" s="922" t="e">
        <f>IF(D123="","",VLOOKUP(D123,'Списки участников'!A:K,12,FALSE))</f>
        <v>#N/A</v>
      </c>
      <c r="F123" s="484">
        <f>'2Ф КРУГ'!B25</f>
        <v>0</v>
      </c>
      <c r="G123" s="922" t="e">
        <f>IF(F123="","",VLOOKUP(F123,'Списки участников'!A:K,12,FALSE))</f>
        <v>#N/A</v>
      </c>
      <c r="H123" s="491"/>
      <c r="I123" s="922" t="str">
        <f>IF(H123="","",VLOOKUP(H123,'Списки участников'!A:K,12,FALSE))</f>
        <v/>
      </c>
      <c r="J123" s="915"/>
      <c r="K123" s="915"/>
      <c r="L123" s="915"/>
      <c r="M123" s="915"/>
      <c r="N123" s="915"/>
      <c r="O123" s="905" t="str">
        <f t="shared" si="2"/>
        <v/>
      </c>
      <c r="P123" s="930" t="str">
        <f t="shared" si="3"/>
        <v/>
      </c>
      <c r="Q123" s="931"/>
    </row>
    <row r="124" spans="1:17" ht="18" thickBot="1" x14ac:dyDescent="0.3">
      <c r="A124" s="486">
        <v>120</v>
      </c>
      <c r="B124" s="500">
        <v>15</v>
      </c>
      <c r="C124" s="493" t="s">
        <v>1029</v>
      </c>
      <c r="D124" s="484">
        <f>'2Ф КРУГ'!B21</f>
        <v>0</v>
      </c>
      <c r="E124" s="922" t="e">
        <f>IF(D124="","",VLOOKUP(D124,'Списки участников'!A:K,12,FALSE))</f>
        <v>#N/A</v>
      </c>
      <c r="F124" s="484">
        <f>'2Ф КРУГ'!B23</f>
        <v>0</v>
      </c>
      <c r="G124" s="922" t="e">
        <f>IF(F124="","",VLOOKUP(F124,'Списки участников'!A:K,12,FALSE))</f>
        <v>#N/A</v>
      </c>
      <c r="H124" s="494"/>
      <c r="I124" s="922" t="str">
        <f>IF(H124="","",VLOOKUP(H124,'Списки участников'!A:K,12,FALSE))</f>
        <v/>
      </c>
      <c r="J124" s="915"/>
      <c r="K124" s="915"/>
      <c r="L124" s="915"/>
      <c r="M124" s="702"/>
      <c r="N124" s="702"/>
      <c r="O124" s="932" t="str">
        <f t="shared" si="2"/>
        <v/>
      </c>
      <c r="P124" s="933" t="str">
        <f t="shared" si="3"/>
        <v/>
      </c>
      <c r="Q124" s="701"/>
    </row>
  </sheetData>
  <mergeCells count="12">
    <mergeCell ref="J3:N3"/>
    <mergeCell ref="O3:P4"/>
    <mergeCell ref="C1:N1"/>
    <mergeCell ref="G2:M2"/>
    <mergeCell ref="N2:O2"/>
    <mergeCell ref="G3:G4"/>
    <mergeCell ref="I3:I4"/>
    <mergeCell ref="A3:A4"/>
    <mergeCell ref="B3:B4"/>
    <mergeCell ref="C3:C4"/>
    <mergeCell ref="D3:D4"/>
    <mergeCell ref="E3:E4"/>
  </mergeCells>
  <pageMargins left="0.51181102362204722" right="0.51181102362204722" top="0.55118110236220474" bottom="0.55118110236220474" header="0.31496062992125984" footer="0.31496062992125984"/>
  <pageSetup paperSize="9" scale="68" orientation="portrait" verticalDpi="0" r:id="rId1"/>
  <rowBreaks count="1" manualBreakCount="1">
    <brk id="68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124"/>
  <sheetViews>
    <sheetView view="pageBreakPreview" zoomScaleNormal="100" zoomScaleSheetLayoutView="100" workbookViewId="0">
      <selection activeCell="D5" sqref="D5"/>
    </sheetView>
  </sheetViews>
  <sheetFormatPr defaultRowHeight="15" outlineLevelCol="1" x14ac:dyDescent="0.25"/>
  <cols>
    <col min="1" max="1" width="9.33203125" style="128"/>
    <col min="2" max="2" width="5.33203125" style="128" customWidth="1"/>
    <col min="3" max="3" width="11.5" style="128" customWidth="1"/>
    <col min="4" max="4" width="6" style="128" customWidth="1" outlineLevel="1"/>
    <col min="5" max="5" width="25" style="128" customWidth="1"/>
    <col min="6" max="6" width="5.5" style="128" hidden="1" customWidth="1" outlineLevel="1"/>
    <col min="7" max="7" width="25" style="128" customWidth="1" collapsed="1"/>
    <col min="8" max="8" width="5.83203125" style="128" hidden="1" customWidth="1" outlineLevel="1"/>
    <col min="9" max="9" width="25" style="128" customWidth="1" collapsed="1"/>
    <col min="10" max="14" width="6.6640625" style="128" customWidth="1"/>
    <col min="15" max="15" width="8.33203125" style="128" customWidth="1"/>
    <col min="16" max="16" width="8.5" style="128" customWidth="1"/>
    <col min="17" max="16384" width="9.33203125" style="128"/>
  </cols>
  <sheetData>
    <row r="1" spans="1:17" ht="18.75" x14ac:dyDescent="0.3">
      <c r="C1" s="1278" t="s">
        <v>2815</v>
      </c>
      <c r="D1" s="1278"/>
      <c r="E1" s="1278"/>
      <c r="F1" s="1278"/>
      <c r="G1" s="1278"/>
      <c r="H1" s="1278"/>
      <c r="I1" s="1278"/>
      <c r="J1" s="1278"/>
      <c r="K1" s="1278"/>
      <c r="L1" s="1278"/>
      <c r="M1" s="1278"/>
      <c r="N1" s="1278"/>
    </row>
    <row r="2" spans="1:17" ht="19.5" thickBot="1" x14ac:dyDescent="0.35">
      <c r="E2" s="920" t="str">
        <f>'Списки участников'!C3</f>
        <v>22 октября 2016 г.</v>
      </c>
      <c r="F2" s="920"/>
      <c r="G2" s="1218" t="s">
        <v>2683</v>
      </c>
      <c r="H2" s="1218"/>
      <c r="I2" s="1218"/>
      <c r="J2" s="1218"/>
      <c r="K2" s="1218"/>
      <c r="L2" s="1218"/>
      <c r="M2" s="1218"/>
      <c r="N2" s="1279">
        <f>'Списки участников'!H3</f>
        <v>0</v>
      </c>
      <c r="O2" s="1279"/>
    </row>
    <row r="3" spans="1:17" ht="19.5" customHeight="1" thickBot="1" x14ac:dyDescent="0.35">
      <c r="A3" s="1284" t="s">
        <v>1041</v>
      </c>
      <c r="B3" s="1286" t="s">
        <v>964</v>
      </c>
      <c r="C3" s="1288" t="s">
        <v>3</v>
      </c>
      <c r="D3" s="1290"/>
      <c r="E3" s="1274" t="s">
        <v>4</v>
      </c>
      <c r="F3" s="697"/>
      <c r="G3" s="1274" t="s">
        <v>4</v>
      </c>
      <c r="H3" s="697"/>
      <c r="I3" s="1274" t="s">
        <v>764</v>
      </c>
      <c r="J3" s="1276" t="s">
        <v>965</v>
      </c>
      <c r="K3" s="1277"/>
      <c r="L3" s="1277"/>
      <c r="M3" s="1277"/>
      <c r="N3" s="1277"/>
      <c r="O3" s="1280" t="s">
        <v>1042</v>
      </c>
      <c r="P3" s="1281"/>
      <c r="Q3" s="934" t="s">
        <v>2681</v>
      </c>
    </row>
    <row r="4" spans="1:17" ht="19.5" thickBot="1" x14ac:dyDescent="0.3">
      <c r="A4" s="1285"/>
      <c r="B4" s="1287"/>
      <c r="C4" s="1289"/>
      <c r="D4" s="1291"/>
      <c r="E4" s="1275"/>
      <c r="F4" s="698"/>
      <c r="G4" s="1275"/>
      <c r="H4" s="699"/>
      <c r="I4" s="1275"/>
      <c r="J4" s="700">
        <v>1</v>
      </c>
      <c r="K4" s="700">
        <v>2</v>
      </c>
      <c r="L4" s="700">
        <v>3</v>
      </c>
      <c r="M4" s="700">
        <v>4</v>
      </c>
      <c r="N4" s="904">
        <v>5</v>
      </c>
      <c r="O4" s="1282"/>
      <c r="P4" s="1283"/>
      <c r="Q4" s="934" t="s">
        <v>2682</v>
      </c>
    </row>
    <row r="5" spans="1:17" x14ac:dyDescent="0.25">
      <c r="A5" s="915">
        <v>1</v>
      </c>
      <c r="B5" s="482">
        <v>1</v>
      </c>
      <c r="C5" s="483" t="s">
        <v>966</v>
      </c>
      <c r="D5" s="484">
        <f>'3Ф КРУГ'!B5</f>
        <v>0</v>
      </c>
      <c r="E5" s="922" t="e">
        <f>IF(D5="","",VLOOKUP(D5,'Списки участников'!A:K,12,FALSE))</f>
        <v>#N/A</v>
      </c>
      <c r="F5" s="485">
        <f>'3Ф КРУГ'!B35</f>
        <v>0</v>
      </c>
      <c r="G5" s="922" t="e">
        <f>IF(F5="","",VLOOKUP(F5,'Списки участников'!A:K,12,FALSE))</f>
        <v>#N/A</v>
      </c>
      <c r="H5" s="485"/>
      <c r="I5" s="922" t="str">
        <f>IF(H5="","",VLOOKUP(H5,'Списки участников'!A:K,12,FALSE))</f>
        <v/>
      </c>
      <c r="J5" s="915"/>
      <c r="K5" s="915"/>
      <c r="L5" s="915"/>
      <c r="M5" s="915"/>
      <c r="N5" s="915"/>
      <c r="O5" s="905" t="str">
        <f t="shared" ref="O5:O69" si="0">IF(H5="","",IF(J5&gt;0,1,0)+IF(K5&gt;0,1,0)+IF(L5&gt;0,1,0)+IF(M5&gt;0,1,0)+IF(N5&gt;0,1,0))</f>
        <v/>
      </c>
      <c r="P5" s="930" t="str">
        <f t="shared" ref="P5:P69" si="1">IF(H5="","",IF(J5&lt;0,1,0)+IF(K5&lt;0,1,0)+IF(L5&lt;0,1,0)+IF(M5&lt;0,1,0)+IF(N5&lt;0,1,0))</f>
        <v/>
      </c>
      <c r="Q5" s="931"/>
    </row>
    <row r="6" spans="1:17" x14ac:dyDescent="0.25">
      <c r="A6" s="486">
        <v>2</v>
      </c>
      <c r="B6" s="487">
        <v>1</v>
      </c>
      <c r="C6" s="488" t="s">
        <v>967</v>
      </c>
      <c r="D6" s="484">
        <f>'3Ф КРУГ'!B7</f>
        <v>0</v>
      </c>
      <c r="E6" s="922" t="e">
        <f>IF(D6="","",VLOOKUP(D6,'Списки участников'!A:K,12,FALSE))</f>
        <v>#N/A</v>
      </c>
      <c r="F6" s="484">
        <f>'3Ф КРУГ'!B33</f>
        <v>0</v>
      </c>
      <c r="G6" s="922" t="e">
        <f>IF(F6="","",VLOOKUP(F6,'Списки участников'!A:K,12,FALSE))</f>
        <v>#N/A</v>
      </c>
      <c r="H6" s="484"/>
      <c r="I6" s="922" t="str">
        <f>IF(H6="","",VLOOKUP(H6,'Списки участников'!A:K,12,FALSE))</f>
        <v/>
      </c>
      <c r="J6" s="486"/>
      <c r="K6" s="486"/>
      <c r="L6" s="486"/>
      <c r="M6" s="486"/>
      <c r="N6" s="486"/>
      <c r="O6" s="905" t="str">
        <f t="shared" si="0"/>
        <v/>
      </c>
      <c r="P6" s="930" t="str">
        <f t="shared" si="1"/>
        <v/>
      </c>
      <c r="Q6" s="931"/>
    </row>
    <row r="7" spans="1:17" x14ac:dyDescent="0.25">
      <c r="A7" s="486">
        <v>3</v>
      </c>
      <c r="B7" s="487">
        <v>1</v>
      </c>
      <c r="C7" s="488" t="s">
        <v>968</v>
      </c>
      <c r="D7" s="484">
        <f>'3Ф КРУГ'!B9</f>
        <v>0</v>
      </c>
      <c r="E7" s="922" t="e">
        <f>IF(D7="","",VLOOKUP(D7,'Списки участников'!A:K,12,FALSE))</f>
        <v>#N/A</v>
      </c>
      <c r="F7" s="484">
        <f>'3Ф КРУГ'!B31</f>
        <v>0</v>
      </c>
      <c r="G7" s="922" t="e">
        <f>IF(F7="","",VLOOKUP(F7,'Списки участников'!A:K,12,FALSE))</f>
        <v>#N/A</v>
      </c>
      <c r="H7" s="484"/>
      <c r="I7" s="922" t="str">
        <f>IF(H7="","",VLOOKUP(H7,'Списки участников'!A:K,12,FALSE))</f>
        <v/>
      </c>
      <c r="J7" s="915"/>
      <c r="K7" s="915"/>
      <c r="L7" s="915"/>
      <c r="M7" s="486"/>
      <c r="N7" s="486"/>
      <c r="O7" s="905" t="str">
        <f t="shared" si="0"/>
        <v/>
      </c>
      <c r="P7" s="930" t="str">
        <f t="shared" si="1"/>
        <v/>
      </c>
      <c r="Q7" s="931"/>
    </row>
    <row r="8" spans="1:17" x14ac:dyDescent="0.25">
      <c r="A8" s="486">
        <v>4</v>
      </c>
      <c r="B8" s="487">
        <v>1</v>
      </c>
      <c r="C8" s="488" t="s">
        <v>969</v>
      </c>
      <c r="D8" s="484">
        <f>'3Ф КРУГ'!B11</f>
        <v>0</v>
      </c>
      <c r="E8" s="922" t="e">
        <f>IF(D8="","",VLOOKUP(D8,'Списки участников'!A:K,12,FALSE))</f>
        <v>#N/A</v>
      </c>
      <c r="F8" s="484">
        <f>'3Ф КРУГ'!B29</f>
        <v>0</v>
      </c>
      <c r="G8" s="922" t="e">
        <f>IF(F8="","",VLOOKUP(F8,'Списки участников'!A:K,12,FALSE))</f>
        <v>#N/A</v>
      </c>
      <c r="H8" s="485"/>
      <c r="I8" s="922" t="str">
        <f>IF(H8="","",VLOOKUP(H8,'Списки участников'!A:K,12,FALSE))</f>
        <v/>
      </c>
      <c r="J8" s="486"/>
      <c r="K8" s="486"/>
      <c r="L8" s="486"/>
      <c r="M8" s="486"/>
      <c r="N8" s="486"/>
      <c r="O8" s="905" t="str">
        <f t="shared" si="0"/>
        <v/>
      </c>
      <c r="P8" s="930" t="str">
        <f t="shared" si="1"/>
        <v/>
      </c>
      <c r="Q8" s="931"/>
    </row>
    <row r="9" spans="1:17" x14ac:dyDescent="0.25">
      <c r="A9" s="486">
        <v>5</v>
      </c>
      <c r="B9" s="489">
        <v>1</v>
      </c>
      <c r="C9" s="488" t="s">
        <v>970</v>
      </c>
      <c r="D9" s="484">
        <f>'3Ф КРУГ'!B13</f>
        <v>0</v>
      </c>
      <c r="E9" s="922" t="e">
        <f>IF(D9="","",VLOOKUP(D9,'Списки участников'!A:K,12,FALSE))</f>
        <v>#N/A</v>
      </c>
      <c r="F9" s="484">
        <f>'3Ф КРУГ'!B27</f>
        <v>0</v>
      </c>
      <c r="G9" s="922" t="e">
        <f>IF(F9="","",VLOOKUP(F9,'Списки участников'!A:K,12,FALSE))</f>
        <v>#N/A</v>
      </c>
      <c r="H9" s="484"/>
      <c r="I9" s="922" t="str">
        <f>IF(H9="","",VLOOKUP(H9,'Списки участников'!A:K,12,FALSE))</f>
        <v/>
      </c>
      <c r="J9" s="915"/>
      <c r="K9" s="915"/>
      <c r="L9" s="915"/>
      <c r="M9" s="486"/>
      <c r="N9" s="486"/>
      <c r="O9" s="905" t="str">
        <f t="shared" si="0"/>
        <v/>
      </c>
      <c r="P9" s="930" t="str">
        <f t="shared" si="1"/>
        <v/>
      </c>
      <c r="Q9" s="931"/>
    </row>
    <row r="10" spans="1:17" x14ac:dyDescent="0.25">
      <c r="A10" s="486">
        <v>6</v>
      </c>
      <c r="B10" s="487">
        <v>1</v>
      </c>
      <c r="C10" s="490" t="s">
        <v>971</v>
      </c>
      <c r="D10" s="491">
        <f>'3Ф КРУГ'!B15</f>
        <v>0</v>
      </c>
      <c r="E10" s="922" t="e">
        <f>IF(D10="","",VLOOKUP(D10,'Списки участников'!A:K,12,FALSE))</f>
        <v>#N/A</v>
      </c>
      <c r="F10" s="491">
        <f>'3Ф КРУГ'!B25</f>
        <v>0</v>
      </c>
      <c r="G10" s="922" t="e">
        <f>IF(F10="","",VLOOKUP(F10,'Списки участников'!A:K,12,FALSE))</f>
        <v>#N/A</v>
      </c>
      <c r="H10" s="484"/>
      <c r="I10" s="922" t="str">
        <f>IF(H10="","",VLOOKUP(H10,'Списки участников'!A:K,12,FALSE))</f>
        <v/>
      </c>
      <c r="J10" s="486"/>
      <c r="K10" s="486"/>
      <c r="L10" s="486"/>
      <c r="M10" s="914"/>
      <c r="N10" s="914"/>
      <c r="O10" s="905" t="str">
        <f t="shared" si="0"/>
        <v/>
      </c>
      <c r="P10" s="930" t="str">
        <f t="shared" si="1"/>
        <v/>
      </c>
      <c r="Q10" s="931"/>
    </row>
    <row r="11" spans="1:17" x14ac:dyDescent="0.25">
      <c r="A11" s="486">
        <v>7</v>
      </c>
      <c r="B11" s="487">
        <v>1</v>
      </c>
      <c r="C11" s="490" t="s">
        <v>972</v>
      </c>
      <c r="D11" s="491">
        <f>'3Ф КРУГ'!B17</f>
        <v>0</v>
      </c>
      <c r="E11" s="922" t="e">
        <f>IF(D11="","",VLOOKUP(D11,'Списки участников'!A:K,12,FALSE))</f>
        <v>#N/A</v>
      </c>
      <c r="F11" s="491">
        <f>'3Ф КРУГ'!B23</f>
        <v>0</v>
      </c>
      <c r="G11" s="922" t="e">
        <f>IF(F11="","",VLOOKUP(F11,'Списки участников'!A:K,12,FALSE))</f>
        <v>#N/A</v>
      </c>
      <c r="H11" s="485"/>
      <c r="I11" s="922" t="str">
        <f>IF(H11="","",VLOOKUP(H11,'Списки участников'!A:K,12,FALSE))</f>
        <v/>
      </c>
      <c r="J11" s="915"/>
      <c r="K11" s="915"/>
      <c r="L11" s="915"/>
      <c r="M11" s="914"/>
      <c r="N11" s="914"/>
      <c r="O11" s="905" t="str">
        <f t="shared" si="0"/>
        <v/>
      </c>
      <c r="P11" s="930" t="str">
        <f t="shared" si="1"/>
        <v/>
      </c>
      <c r="Q11" s="931"/>
    </row>
    <row r="12" spans="1:17" ht="15.75" thickBot="1" x14ac:dyDescent="0.3">
      <c r="A12" s="486">
        <v>8</v>
      </c>
      <c r="B12" s="492">
        <v>1</v>
      </c>
      <c r="C12" s="493" t="s">
        <v>973</v>
      </c>
      <c r="D12" s="494">
        <f>'3Ф КРУГ'!B19</f>
        <v>0</v>
      </c>
      <c r="E12" s="701" t="e">
        <f>IF(D12="","",VLOOKUP(D12,'Списки участников'!A:K,12,FALSE))</f>
        <v>#N/A</v>
      </c>
      <c r="F12" s="494">
        <f>'3Ф КРУГ'!B21</f>
        <v>0</v>
      </c>
      <c r="G12" s="701" t="e">
        <f>IF(F12="","",VLOOKUP(F12,'Списки участников'!A:K,12,FALSE))</f>
        <v>#N/A</v>
      </c>
      <c r="H12" s="484"/>
      <c r="I12" s="701" t="str">
        <f>IF(H12="","",VLOOKUP(H12,'Списки участников'!A:K,12,FALSE))</f>
        <v/>
      </c>
      <c r="J12" s="702"/>
      <c r="K12" s="702"/>
      <c r="L12" s="702"/>
      <c r="M12" s="702"/>
      <c r="N12" s="702"/>
      <c r="O12" s="932" t="str">
        <f t="shared" si="0"/>
        <v/>
      </c>
      <c r="P12" s="933" t="str">
        <f t="shared" si="1"/>
        <v/>
      </c>
      <c r="Q12" s="701"/>
    </row>
    <row r="13" spans="1:17" x14ac:dyDescent="0.25">
      <c r="A13" s="486">
        <v>9</v>
      </c>
      <c r="B13" s="495">
        <v>2</v>
      </c>
      <c r="C13" s="911" t="s">
        <v>2677</v>
      </c>
      <c r="D13" s="485">
        <f>'3Ф КРУГ'!B5</f>
        <v>0</v>
      </c>
      <c r="E13" s="922" t="e">
        <f>IF(D13="","",VLOOKUP(D13,'Списки участников'!A:K,12,FALSE))</f>
        <v>#N/A</v>
      </c>
      <c r="F13" s="485">
        <f>'3Ф КРУГ'!B33</f>
        <v>0</v>
      </c>
      <c r="G13" s="922" t="e">
        <f>IF(F13="","",VLOOKUP(F13,'Списки участников'!A:K,12,FALSE))</f>
        <v>#N/A</v>
      </c>
      <c r="H13" s="485"/>
      <c r="I13" s="922" t="str">
        <f>IF(H13="","",VLOOKUP(H13,'Списки участников'!A:K,12,FALSE))</f>
        <v/>
      </c>
      <c r="J13" s="915"/>
      <c r="K13" s="915"/>
      <c r="L13" s="915"/>
      <c r="M13" s="915"/>
      <c r="N13" s="915"/>
      <c r="O13" s="905" t="str">
        <f t="shared" si="0"/>
        <v/>
      </c>
      <c r="P13" s="930" t="str">
        <f t="shared" si="1"/>
        <v/>
      </c>
      <c r="Q13" s="922"/>
    </row>
    <row r="14" spans="1:17" x14ac:dyDescent="0.25">
      <c r="A14" s="486">
        <v>10</v>
      </c>
      <c r="B14" s="487">
        <v>2</v>
      </c>
      <c r="C14" s="906" t="s">
        <v>2625</v>
      </c>
      <c r="D14" s="484">
        <f>'3Ф КРУГ'!B31</f>
        <v>0</v>
      </c>
      <c r="E14" s="922" t="e">
        <f>IF(D14="","",VLOOKUP(D14,'Списки участников'!A:K,12,FALSE))</f>
        <v>#N/A</v>
      </c>
      <c r="F14" s="484">
        <f>'3Ф КРУГ'!B35</f>
        <v>0</v>
      </c>
      <c r="G14" s="922" t="e">
        <f>IF(F14="","",VLOOKUP(F14,'Списки участников'!A:K,12,FALSE))</f>
        <v>#N/A</v>
      </c>
      <c r="H14" s="484"/>
      <c r="I14" s="922" t="str">
        <f>IF(H14="","",VLOOKUP(H14,'Списки участников'!A:K,12,FALSE))</f>
        <v/>
      </c>
      <c r="J14" s="486"/>
      <c r="K14" s="486"/>
      <c r="L14" s="486"/>
      <c r="M14" s="486"/>
      <c r="N14" s="486"/>
      <c r="O14" s="905" t="str">
        <f t="shared" si="0"/>
        <v/>
      </c>
      <c r="P14" s="930" t="str">
        <f t="shared" si="1"/>
        <v/>
      </c>
      <c r="Q14" s="931"/>
    </row>
    <row r="15" spans="1:17" x14ac:dyDescent="0.25">
      <c r="A15" s="486">
        <v>11</v>
      </c>
      <c r="B15" s="487">
        <v>2</v>
      </c>
      <c r="C15" s="488" t="s">
        <v>974</v>
      </c>
      <c r="D15" s="484">
        <f>'3Ф КРУГ'!B7</f>
        <v>0</v>
      </c>
      <c r="E15" s="922" t="e">
        <f>IF(D15="","",VLOOKUP(D15,'Списки участников'!A:K,12,FALSE))</f>
        <v>#N/A</v>
      </c>
      <c r="F15" s="484">
        <f>'3Ф КРУГ'!B29</f>
        <v>0</v>
      </c>
      <c r="G15" s="922" t="e">
        <f>IF(F15="","",VLOOKUP(F15,'Списки участников'!A:K,12,FALSE))</f>
        <v>#N/A</v>
      </c>
      <c r="H15" s="484"/>
      <c r="I15" s="922" t="str">
        <f>IF(H15="","",VLOOKUP(H15,'Списки участников'!A:K,12,FALSE))</f>
        <v/>
      </c>
      <c r="J15" s="486"/>
      <c r="K15" s="486"/>
      <c r="L15" s="486"/>
      <c r="M15" s="486"/>
      <c r="N15" s="486"/>
      <c r="O15" s="905" t="str">
        <f t="shared" si="0"/>
        <v/>
      </c>
      <c r="P15" s="930" t="str">
        <f t="shared" si="1"/>
        <v/>
      </c>
      <c r="Q15" s="931"/>
    </row>
    <row r="16" spans="1:17" x14ac:dyDescent="0.25">
      <c r="A16" s="486">
        <v>12</v>
      </c>
      <c r="B16" s="487">
        <v>2</v>
      </c>
      <c r="C16" s="488" t="s">
        <v>975</v>
      </c>
      <c r="D16" s="484">
        <f>'3Ф КРУГ'!B9</f>
        <v>0</v>
      </c>
      <c r="E16" s="922" t="e">
        <f>IF(D16="","",VLOOKUP(D16,'Списки участников'!A:K,12,FALSE))</f>
        <v>#N/A</v>
      </c>
      <c r="F16" s="484">
        <f>'3Ф КРУГ'!B27</f>
        <v>0</v>
      </c>
      <c r="G16" s="922" t="e">
        <f>IF(F16="","",VLOOKUP(F16,'Списки участников'!A:K,12,FALSE))</f>
        <v>#N/A</v>
      </c>
      <c r="H16" s="484"/>
      <c r="I16" s="922" t="str">
        <f>IF(H16="","",VLOOKUP(H16,'Списки участников'!A:K,12,FALSE))</f>
        <v/>
      </c>
      <c r="J16" s="486"/>
      <c r="K16" s="486"/>
      <c r="L16" s="486"/>
      <c r="M16" s="486"/>
      <c r="N16" s="486"/>
      <c r="O16" s="905" t="str">
        <f t="shared" si="0"/>
        <v/>
      </c>
      <c r="P16" s="930" t="str">
        <f t="shared" si="1"/>
        <v/>
      </c>
      <c r="Q16" s="931"/>
    </row>
    <row r="17" spans="1:17" x14ac:dyDescent="0.25">
      <c r="A17" s="486">
        <v>13</v>
      </c>
      <c r="B17" s="489">
        <v>2</v>
      </c>
      <c r="C17" s="488" t="s">
        <v>976</v>
      </c>
      <c r="D17" s="484">
        <f>'3Ф КРУГ'!B11</f>
        <v>0</v>
      </c>
      <c r="E17" s="922" t="e">
        <f>IF(D17="","",VLOOKUP(D17,'Списки участников'!A:K,12,FALSE))</f>
        <v>#N/A</v>
      </c>
      <c r="F17" s="484">
        <f>'3Ф КРУГ'!B25</f>
        <v>0</v>
      </c>
      <c r="G17" s="922" t="e">
        <f>IF(F17="","",VLOOKUP(F17,'Списки участников'!A:K,12,FALSE))</f>
        <v>#N/A</v>
      </c>
      <c r="H17" s="484"/>
      <c r="I17" s="922" t="str">
        <f>IF(H17="","",VLOOKUP(H17,'Списки участников'!A:K,12,FALSE))</f>
        <v/>
      </c>
      <c r="J17" s="486"/>
      <c r="K17" s="486"/>
      <c r="L17" s="486"/>
      <c r="M17" s="486"/>
      <c r="N17" s="486"/>
      <c r="O17" s="905" t="str">
        <f t="shared" si="0"/>
        <v/>
      </c>
      <c r="P17" s="930" t="str">
        <f t="shared" si="1"/>
        <v/>
      </c>
      <c r="Q17" s="931"/>
    </row>
    <row r="18" spans="1:17" x14ac:dyDescent="0.25">
      <c r="A18" s="486">
        <v>14</v>
      </c>
      <c r="B18" s="487">
        <v>2</v>
      </c>
      <c r="C18" s="490" t="s">
        <v>977</v>
      </c>
      <c r="D18" s="491">
        <f>'3Ф КРУГ'!B13</f>
        <v>0</v>
      </c>
      <c r="E18" s="922" t="e">
        <f>IF(D18="","",VLOOKUP(D18,'Списки участников'!A:K,12,FALSE))</f>
        <v>#N/A</v>
      </c>
      <c r="F18" s="484">
        <f>'3Ф КРУГ'!B23</f>
        <v>0</v>
      </c>
      <c r="G18" s="922" t="e">
        <f>IF(F18="","",VLOOKUP(F18,'Списки участников'!A:K,12,FALSE))</f>
        <v>#N/A</v>
      </c>
      <c r="H18" s="491"/>
      <c r="I18" s="922" t="str">
        <f>IF(H18="","",VLOOKUP(H18,'Списки участников'!A:K,12,FALSE))</f>
        <v/>
      </c>
      <c r="J18" s="914"/>
      <c r="K18" s="914"/>
      <c r="L18" s="914"/>
      <c r="M18" s="914"/>
      <c r="N18" s="914"/>
      <c r="O18" s="905" t="str">
        <f t="shared" si="0"/>
        <v/>
      </c>
      <c r="P18" s="930" t="str">
        <f t="shared" si="1"/>
        <v/>
      </c>
      <c r="Q18" s="931"/>
    </row>
    <row r="19" spans="1:17" x14ac:dyDescent="0.25">
      <c r="A19" s="486">
        <v>15</v>
      </c>
      <c r="B19" s="487">
        <v>2</v>
      </c>
      <c r="C19" s="490" t="s">
        <v>978</v>
      </c>
      <c r="D19" s="491">
        <f>'3Ф КРУГ'!B15</f>
        <v>0</v>
      </c>
      <c r="E19" s="922" t="e">
        <f>IF(D19="","",VLOOKUP(D19,'Списки участников'!A:K,12,FALSE))</f>
        <v>#N/A</v>
      </c>
      <c r="F19" s="484">
        <f>'3Ф КРУГ'!B21</f>
        <v>0</v>
      </c>
      <c r="G19" s="922" t="e">
        <f>IF(F19="","",VLOOKUP(F19,'Списки участников'!A:K,12,FALSE))</f>
        <v>#N/A</v>
      </c>
      <c r="H19" s="491"/>
      <c r="I19" s="922" t="str">
        <f>IF(H19="","",VLOOKUP(H19,'Списки участников'!A:K,12,FALSE))</f>
        <v/>
      </c>
      <c r="J19" s="914"/>
      <c r="K19" s="914"/>
      <c r="L19" s="914"/>
      <c r="M19" s="914"/>
      <c r="N19" s="914"/>
      <c r="O19" s="905" t="str">
        <f t="shared" si="0"/>
        <v/>
      </c>
      <c r="P19" s="930" t="str">
        <f t="shared" si="1"/>
        <v/>
      </c>
      <c r="Q19" s="931"/>
    </row>
    <row r="20" spans="1:17" ht="15.75" thickBot="1" x14ac:dyDescent="0.3">
      <c r="A20" s="486">
        <v>16</v>
      </c>
      <c r="B20" s="492">
        <v>2</v>
      </c>
      <c r="C20" s="493" t="s">
        <v>979</v>
      </c>
      <c r="D20" s="494">
        <f>'3Ф КРУГ'!B17</f>
        <v>0</v>
      </c>
      <c r="E20" s="701" t="e">
        <f>IF(D20="","",VLOOKUP(D20,'Списки участников'!A:K,12,FALSE))</f>
        <v>#N/A</v>
      </c>
      <c r="F20" s="494">
        <f>'3Ф КРУГ'!B19</f>
        <v>0</v>
      </c>
      <c r="G20" s="701" t="e">
        <f>IF(F20="","",VLOOKUP(F20,'Списки участников'!A:K,12,FALSE))</f>
        <v>#N/A</v>
      </c>
      <c r="H20" s="494"/>
      <c r="I20" s="701" t="str">
        <f>IF(H20="","",VLOOKUP(H20,'Списки участников'!A:K,12,FALSE))</f>
        <v/>
      </c>
      <c r="J20" s="702"/>
      <c r="K20" s="702"/>
      <c r="L20" s="702"/>
      <c r="M20" s="702"/>
      <c r="N20" s="702"/>
      <c r="O20" s="932" t="str">
        <f t="shared" si="0"/>
        <v/>
      </c>
      <c r="P20" s="933" t="str">
        <f t="shared" si="1"/>
        <v/>
      </c>
      <c r="Q20" s="701"/>
    </row>
    <row r="21" spans="1:17" ht="15" customHeight="1" x14ac:dyDescent="0.25">
      <c r="A21" s="486">
        <v>17</v>
      </c>
      <c r="B21" s="482">
        <v>3</v>
      </c>
      <c r="C21" s="483" t="s">
        <v>980</v>
      </c>
      <c r="D21" s="485">
        <f>'3Ф КРУГ'!B5</f>
        <v>0</v>
      </c>
      <c r="E21" s="922" t="e">
        <f>IF(D21="","",VLOOKUP(D21,'Списки участников'!A:K,12,FALSE))</f>
        <v>#N/A</v>
      </c>
      <c r="F21" s="485">
        <f>'3Ф КРУГ'!B31</f>
        <v>0</v>
      </c>
      <c r="G21" s="922" t="e">
        <f>IF(F21="","",VLOOKUP(F21,'Списки участников'!A:K,12,FALSE))</f>
        <v>#N/A</v>
      </c>
      <c r="H21" s="485"/>
      <c r="I21" s="922" t="str">
        <f>IF(H21="","",VLOOKUP(H21,'Списки участников'!A:K,12,FALSE))</f>
        <v/>
      </c>
      <c r="J21" s="915"/>
      <c r="K21" s="915"/>
      <c r="L21" s="915"/>
      <c r="M21" s="915"/>
      <c r="N21" s="915"/>
      <c r="O21" s="905" t="str">
        <f t="shared" si="0"/>
        <v/>
      </c>
      <c r="P21" s="930" t="str">
        <f t="shared" si="1"/>
        <v/>
      </c>
      <c r="Q21" s="922"/>
    </row>
    <row r="22" spans="1:17" x14ac:dyDescent="0.25">
      <c r="A22" s="486">
        <v>18</v>
      </c>
      <c r="B22" s="496">
        <v>3</v>
      </c>
      <c r="C22" s="906" t="s">
        <v>2627</v>
      </c>
      <c r="D22" s="484">
        <f>'3Ф КРУГ'!B29</f>
        <v>0</v>
      </c>
      <c r="E22" s="922" t="e">
        <f>IF(D22="","",VLOOKUP(D22,'Списки участников'!A:K,12,FALSE))</f>
        <v>#N/A</v>
      </c>
      <c r="F22" s="485">
        <f>'3Ф КРУГ'!B33</f>
        <v>0</v>
      </c>
      <c r="G22" s="922" t="e">
        <f>IF(F22="","",VLOOKUP(F22,'Списки участников'!A:K,12,FALSE))</f>
        <v>#N/A</v>
      </c>
      <c r="H22" s="484"/>
      <c r="I22" s="922" t="str">
        <f>IF(H22="","",VLOOKUP(H22,'Списки участников'!A:K,12,FALSE))</f>
        <v/>
      </c>
      <c r="J22" s="915"/>
      <c r="K22" s="915"/>
      <c r="L22" s="915"/>
      <c r="M22" s="486"/>
      <c r="N22" s="486"/>
      <c r="O22" s="905" t="str">
        <f t="shared" si="0"/>
        <v/>
      </c>
      <c r="P22" s="930" t="str">
        <f t="shared" si="1"/>
        <v/>
      </c>
      <c r="Q22" s="931"/>
    </row>
    <row r="23" spans="1:17" ht="15" customHeight="1" x14ac:dyDescent="0.25">
      <c r="A23" s="486">
        <v>19</v>
      </c>
      <c r="B23" s="496">
        <v>3</v>
      </c>
      <c r="C23" s="906" t="s">
        <v>2628</v>
      </c>
      <c r="D23" s="484">
        <f>'3Ф КРУГ'!B27</f>
        <v>0</v>
      </c>
      <c r="E23" s="922" t="e">
        <f>IF(D23="","",VLOOKUP(D23,'Списки участников'!A:K,12,FALSE))</f>
        <v>#N/A</v>
      </c>
      <c r="F23" s="485">
        <f>'3Ф КРУГ'!B35</f>
        <v>0</v>
      </c>
      <c r="G23" s="922" t="e">
        <f>IF(F23="","",VLOOKUP(F23,'Списки участников'!A:K,12,FALSE))</f>
        <v>#N/A</v>
      </c>
      <c r="H23" s="484"/>
      <c r="I23" s="922" t="str">
        <f>IF(H23="","",VLOOKUP(H23,'Списки участников'!A:K,12,FALSE))</f>
        <v/>
      </c>
      <c r="J23" s="915"/>
      <c r="K23" s="915"/>
      <c r="L23" s="915"/>
      <c r="M23" s="486"/>
      <c r="N23" s="486"/>
      <c r="O23" s="905" t="str">
        <f t="shared" si="0"/>
        <v/>
      </c>
      <c r="P23" s="930" t="str">
        <f t="shared" si="1"/>
        <v/>
      </c>
      <c r="Q23" s="931"/>
    </row>
    <row r="24" spans="1:17" x14ac:dyDescent="0.25">
      <c r="A24" s="486">
        <v>20</v>
      </c>
      <c r="B24" s="496">
        <v>3</v>
      </c>
      <c r="C24" s="488" t="s">
        <v>981</v>
      </c>
      <c r="D24" s="484">
        <f>'3Ф КРУГ'!B7</f>
        <v>0</v>
      </c>
      <c r="E24" s="922" t="e">
        <f>IF(D24="","",VLOOKUP(D24,'Списки участников'!A:K,12,FALSE))</f>
        <v>#N/A</v>
      </c>
      <c r="F24" s="485">
        <f>'3Ф КРУГ'!B25</f>
        <v>0</v>
      </c>
      <c r="G24" s="922" t="e">
        <f>IF(F24="","",VLOOKUP(F24,'Списки участников'!A:K,12,FALSE))</f>
        <v>#N/A</v>
      </c>
      <c r="H24" s="484"/>
      <c r="I24" s="922" t="str">
        <f>IF(H24="","",VLOOKUP(H24,'Списки участников'!A:K,12,FALSE))</f>
        <v/>
      </c>
      <c r="J24" s="915"/>
      <c r="K24" s="915"/>
      <c r="L24" s="915"/>
      <c r="M24" s="486"/>
      <c r="N24" s="486"/>
      <c r="O24" s="905" t="str">
        <f t="shared" si="0"/>
        <v/>
      </c>
      <c r="P24" s="930" t="str">
        <f t="shared" si="1"/>
        <v/>
      </c>
      <c r="Q24" s="931"/>
    </row>
    <row r="25" spans="1:17" x14ac:dyDescent="0.25">
      <c r="A25" s="486">
        <v>21</v>
      </c>
      <c r="B25" s="489">
        <v>3</v>
      </c>
      <c r="C25" s="488" t="s">
        <v>982</v>
      </c>
      <c r="D25" s="484">
        <f>'3Ф КРУГ'!B9</f>
        <v>0</v>
      </c>
      <c r="E25" s="922" t="e">
        <f>IF(D25="","",VLOOKUP(D25,'Списки участников'!A:K,12,FALSE))</f>
        <v>#N/A</v>
      </c>
      <c r="F25" s="485">
        <f>'3Ф КРУГ'!B23</f>
        <v>0</v>
      </c>
      <c r="G25" s="922" t="e">
        <f>IF(F25="","",VLOOKUP(F25,'Списки участников'!A:K,12,FALSE))</f>
        <v>#N/A</v>
      </c>
      <c r="H25" s="484"/>
      <c r="I25" s="922" t="str">
        <f>IF(H25="","",VLOOKUP(H25,'Списки участников'!A:K,12,FALSE))</f>
        <v/>
      </c>
      <c r="J25" s="915"/>
      <c r="K25" s="915"/>
      <c r="L25" s="915"/>
      <c r="M25" s="486"/>
      <c r="N25" s="486"/>
      <c r="O25" s="905" t="str">
        <f t="shared" si="0"/>
        <v/>
      </c>
      <c r="P25" s="930" t="str">
        <f t="shared" si="1"/>
        <v/>
      </c>
      <c r="Q25" s="931"/>
    </row>
    <row r="26" spans="1:17" x14ac:dyDescent="0.25">
      <c r="A26" s="486">
        <v>22</v>
      </c>
      <c r="B26" s="496">
        <v>3</v>
      </c>
      <c r="C26" s="490" t="s">
        <v>983</v>
      </c>
      <c r="D26" s="491">
        <f>'3Ф КРУГ'!B11</f>
        <v>0</v>
      </c>
      <c r="E26" s="922" t="e">
        <f>IF(D26="","",VLOOKUP(D26,'Списки участников'!A:K,12,FALSE))</f>
        <v>#N/A</v>
      </c>
      <c r="F26" s="485">
        <f>'3Ф КРУГ'!B21</f>
        <v>0</v>
      </c>
      <c r="G26" s="922" t="e">
        <f>IF(F26="","",VLOOKUP(F26,'Списки участников'!A:K,12,FALSE))</f>
        <v>#N/A</v>
      </c>
      <c r="H26" s="491"/>
      <c r="I26" s="922" t="str">
        <f>IF(H26="","",VLOOKUP(H26,'Списки участников'!A:K,12,FALSE))</f>
        <v/>
      </c>
      <c r="J26" s="915"/>
      <c r="K26" s="915"/>
      <c r="L26" s="915"/>
      <c r="M26" s="914"/>
      <c r="N26" s="914"/>
      <c r="O26" s="905" t="str">
        <f t="shared" si="0"/>
        <v/>
      </c>
      <c r="P26" s="930" t="str">
        <f t="shared" si="1"/>
        <v/>
      </c>
      <c r="Q26" s="931"/>
    </row>
    <row r="27" spans="1:17" x14ac:dyDescent="0.25">
      <c r="A27" s="486">
        <v>23</v>
      </c>
      <c r="B27" s="496">
        <v>3</v>
      </c>
      <c r="C27" s="490" t="s">
        <v>984</v>
      </c>
      <c r="D27" s="491">
        <f>'3Ф КРУГ'!B13</f>
        <v>0</v>
      </c>
      <c r="E27" s="922" t="e">
        <f>IF(D27="","",VLOOKUP(D27,'Списки участников'!A:K,12,FALSE))</f>
        <v>#N/A</v>
      </c>
      <c r="F27" s="485">
        <f>'3Ф КРУГ'!B19</f>
        <v>0</v>
      </c>
      <c r="G27" s="922" t="e">
        <f>IF(F27="","",VLOOKUP(F27,'Списки участников'!A:K,12,FALSE))</f>
        <v>#N/A</v>
      </c>
      <c r="H27" s="491"/>
      <c r="I27" s="922" t="str">
        <f>IF(H27="","",VLOOKUP(H27,'Списки участников'!A:K,12,FALSE))</f>
        <v/>
      </c>
      <c r="J27" s="915"/>
      <c r="K27" s="915"/>
      <c r="L27" s="915"/>
      <c r="M27" s="914"/>
      <c r="N27" s="914"/>
      <c r="O27" s="905" t="str">
        <f t="shared" si="0"/>
        <v/>
      </c>
      <c r="P27" s="930" t="str">
        <f t="shared" si="1"/>
        <v/>
      </c>
      <c r="Q27" s="931"/>
    </row>
    <row r="28" spans="1:17" ht="15.75" thickBot="1" x14ac:dyDescent="0.3">
      <c r="A28" s="486">
        <v>24</v>
      </c>
      <c r="B28" s="500">
        <v>3</v>
      </c>
      <c r="C28" s="493" t="s">
        <v>985</v>
      </c>
      <c r="D28" s="494">
        <f>'3Ф КРУГ'!B15</f>
        <v>0</v>
      </c>
      <c r="E28" s="701" t="e">
        <f>IF(D28="","",VLOOKUP(D28,'Списки участников'!A:K,12,FALSE))</f>
        <v>#N/A</v>
      </c>
      <c r="F28" s="494">
        <f>'3Ф КРУГ'!B17</f>
        <v>0</v>
      </c>
      <c r="G28" s="701" t="e">
        <f>IF(F28="","",VLOOKUP(F28,'Списки участников'!A:K,12,FALSE))</f>
        <v>#N/A</v>
      </c>
      <c r="H28" s="494"/>
      <c r="I28" s="701" t="str">
        <f>IF(H28="","",VLOOKUP(H28,'Списки участников'!A:K,12,FALSE))</f>
        <v/>
      </c>
      <c r="J28" s="702"/>
      <c r="K28" s="702"/>
      <c r="L28" s="702"/>
      <c r="M28" s="702"/>
      <c r="N28" s="702"/>
      <c r="O28" s="932" t="str">
        <f t="shared" si="0"/>
        <v/>
      </c>
      <c r="P28" s="933" t="str">
        <f t="shared" si="1"/>
        <v/>
      </c>
      <c r="Q28" s="701"/>
    </row>
    <row r="29" spans="1:17" x14ac:dyDescent="0.25">
      <c r="A29" s="486">
        <v>25</v>
      </c>
      <c r="B29" s="496">
        <v>4</v>
      </c>
      <c r="C29" s="907" t="s">
        <v>2629</v>
      </c>
      <c r="D29" s="485">
        <f>'3Ф КРУГ'!B5</f>
        <v>0</v>
      </c>
      <c r="E29" s="922" t="e">
        <f>IF(D29="","",VLOOKUP(D29,'Списки участников'!A:K,12,FALSE))</f>
        <v>#N/A</v>
      </c>
      <c r="F29" s="485">
        <f>'3Ф КРУГ'!B29</f>
        <v>0</v>
      </c>
      <c r="G29" s="922" t="e">
        <f>IF(F29="","",VLOOKUP(F29,'Списки участников'!A:K,12,FALSE))</f>
        <v>#N/A</v>
      </c>
      <c r="H29" s="485"/>
      <c r="I29" s="922" t="str">
        <f>IF(H29="","",VLOOKUP(H29,'Списки участников'!A:K,12,FALSE))</f>
        <v/>
      </c>
      <c r="J29" s="915"/>
      <c r="K29" s="915"/>
      <c r="L29" s="915"/>
      <c r="M29" s="915"/>
      <c r="N29" s="915"/>
      <c r="O29" s="905" t="str">
        <f t="shared" si="0"/>
        <v/>
      </c>
      <c r="P29" s="930" t="str">
        <f t="shared" si="1"/>
        <v/>
      </c>
      <c r="Q29" s="922"/>
    </row>
    <row r="30" spans="1:17" x14ac:dyDescent="0.25">
      <c r="A30" s="486">
        <v>26</v>
      </c>
      <c r="B30" s="496">
        <v>4</v>
      </c>
      <c r="C30" s="906" t="s">
        <v>2630</v>
      </c>
      <c r="D30" s="484">
        <f>'3Ф КРУГ'!B27</f>
        <v>0</v>
      </c>
      <c r="E30" s="922" t="e">
        <f>IF(D30="","",VLOOKUP(D30,'Списки участников'!A:K,12,FALSE))</f>
        <v>#N/A</v>
      </c>
      <c r="F30" s="484">
        <f>'3Ф КРУГ'!B31</f>
        <v>0</v>
      </c>
      <c r="G30" s="922" t="e">
        <f>IF(F30="","",VLOOKUP(F30,'Списки участников'!A:K,12,FALSE))</f>
        <v>#N/A</v>
      </c>
      <c r="H30" s="484"/>
      <c r="I30" s="922" t="str">
        <f>IF(H30="","",VLOOKUP(H30,'Списки участников'!A:K,12,FALSE))</f>
        <v/>
      </c>
      <c r="J30" s="915"/>
      <c r="K30" s="915"/>
      <c r="L30" s="915"/>
      <c r="M30" s="486"/>
      <c r="N30" s="486"/>
      <c r="O30" s="905" t="str">
        <f t="shared" si="0"/>
        <v/>
      </c>
      <c r="P30" s="930" t="str">
        <f t="shared" si="1"/>
        <v/>
      </c>
      <c r="Q30" s="931"/>
    </row>
    <row r="31" spans="1:17" x14ac:dyDescent="0.25">
      <c r="A31" s="486">
        <v>27</v>
      </c>
      <c r="B31" s="498">
        <v>4</v>
      </c>
      <c r="C31" s="906" t="s">
        <v>2631</v>
      </c>
      <c r="D31" s="484">
        <f>'3Ф КРУГ'!B25</f>
        <v>0</v>
      </c>
      <c r="E31" s="922" t="e">
        <f>IF(D31="","",VLOOKUP(D31,'Списки участников'!A:K,12,FALSE))</f>
        <v>#N/A</v>
      </c>
      <c r="F31" s="484">
        <f>'3Ф КРУГ'!B33</f>
        <v>0</v>
      </c>
      <c r="G31" s="922" t="e">
        <f>IF(F31="","",VLOOKUP(F31,'Списки участников'!A:K,12,FALSE))</f>
        <v>#N/A</v>
      </c>
      <c r="H31" s="484"/>
      <c r="I31" s="922" t="str">
        <f>IF(H31="","",VLOOKUP(H31,'Списки участников'!A:K,12,FALSE))</f>
        <v/>
      </c>
      <c r="J31" s="915"/>
      <c r="K31" s="915"/>
      <c r="L31" s="915"/>
      <c r="M31" s="486"/>
      <c r="N31" s="486"/>
      <c r="O31" s="905" t="str">
        <f t="shared" si="0"/>
        <v/>
      </c>
      <c r="P31" s="930" t="str">
        <f t="shared" si="1"/>
        <v/>
      </c>
      <c r="Q31" s="931"/>
    </row>
    <row r="32" spans="1:17" x14ac:dyDescent="0.25">
      <c r="A32" s="486">
        <v>28</v>
      </c>
      <c r="B32" s="496">
        <v>4</v>
      </c>
      <c r="C32" s="906" t="s">
        <v>2632</v>
      </c>
      <c r="D32" s="484">
        <f>'3Ф КРУГ'!B23</f>
        <v>0</v>
      </c>
      <c r="E32" s="922" t="e">
        <f>IF(D32="","",VLOOKUP(D32,'Списки участников'!A:K,12,FALSE))</f>
        <v>#N/A</v>
      </c>
      <c r="F32" s="484">
        <f>'3Ф КРУГ'!B35</f>
        <v>0</v>
      </c>
      <c r="G32" s="922" t="e">
        <f>IF(F32="","",VLOOKUP(F32,'Списки участников'!A:K,12,FALSE))</f>
        <v>#N/A</v>
      </c>
      <c r="H32" s="484"/>
      <c r="I32" s="922" t="str">
        <f>IF(H32="","",VLOOKUP(H32,'Списки участников'!A:K,12,FALSE))</f>
        <v/>
      </c>
      <c r="J32" s="915"/>
      <c r="K32" s="915"/>
      <c r="L32" s="915"/>
      <c r="M32" s="486"/>
      <c r="N32" s="486"/>
      <c r="O32" s="905" t="str">
        <f t="shared" si="0"/>
        <v/>
      </c>
      <c r="P32" s="930" t="str">
        <f t="shared" si="1"/>
        <v/>
      </c>
      <c r="Q32" s="931"/>
    </row>
    <row r="33" spans="1:17" x14ac:dyDescent="0.25">
      <c r="A33" s="486">
        <v>29</v>
      </c>
      <c r="B33" s="499">
        <v>4</v>
      </c>
      <c r="C33" s="488" t="s">
        <v>986</v>
      </c>
      <c r="D33" s="484">
        <f>'3Ф КРУГ'!B7</f>
        <v>0</v>
      </c>
      <c r="E33" s="922" t="e">
        <f>IF(D33="","",VLOOKUP(D33,'Списки участников'!A:K,12,FALSE))</f>
        <v>#N/A</v>
      </c>
      <c r="F33" s="484">
        <f>'3Ф КРУГ'!B21</f>
        <v>0</v>
      </c>
      <c r="G33" s="922" t="e">
        <f>IF(F33="","",VLOOKUP(F33,'Списки участников'!A:K,12,FALSE))</f>
        <v>#N/A</v>
      </c>
      <c r="H33" s="484"/>
      <c r="I33" s="922" t="str">
        <f>IF(H33="","",VLOOKUP(H33,'Списки участников'!A:K,12,FALSE))</f>
        <v/>
      </c>
      <c r="J33" s="915"/>
      <c r="K33" s="915"/>
      <c r="L33" s="915"/>
      <c r="M33" s="486"/>
      <c r="N33" s="486"/>
      <c r="O33" s="905" t="str">
        <f t="shared" si="0"/>
        <v/>
      </c>
      <c r="P33" s="930" t="str">
        <f t="shared" si="1"/>
        <v/>
      </c>
      <c r="Q33" s="931"/>
    </row>
    <row r="34" spans="1:17" x14ac:dyDescent="0.25">
      <c r="A34" s="486">
        <v>30</v>
      </c>
      <c r="B34" s="496">
        <v>4</v>
      </c>
      <c r="C34" s="490" t="s">
        <v>987</v>
      </c>
      <c r="D34" s="491">
        <f>'3Ф КРУГ'!B9</f>
        <v>0</v>
      </c>
      <c r="E34" s="922" t="e">
        <f>IF(D34="","",VLOOKUP(D34,'Списки участников'!A:K,12,FALSE))</f>
        <v>#N/A</v>
      </c>
      <c r="F34" s="484">
        <f>'3Ф КРУГ'!B19</f>
        <v>0</v>
      </c>
      <c r="G34" s="922" t="e">
        <f>IF(F34="","",VLOOKUP(F34,'Списки участников'!A:K,12,FALSE))</f>
        <v>#N/A</v>
      </c>
      <c r="H34" s="491"/>
      <c r="I34" s="922" t="str">
        <f>IF(H34="","",VLOOKUP(H34,'Списки участников'!A:K,12,FALSE))</f>
        <v/>
      </c>
      <c r="J34" s="915"/>
      <c r="K34" s="915"/>
      <c r="L34" s="915"/>
      <c r="M34" s="914"/>
      <c r="N34" s="914"/>
      <c r="O34" s="905" t="str">
        <f t="shared" si="0"/>
        <v/>
      </c>
      <c r="P34" s="930" t="str">
        <f t="shared" si="1"/>
        <v/>
      </c>
      <c r="Q34" s="931"/>
    </row>
    <row r="35" spans="1:17" x14ac:dyDescent="0.25">
      <c r="A35" s="486">
        <v>31</v>
      </c>
      <c r="B35" s="498">
        <v>4</v>
      </c>
      <c r="C35" s="490" t="s">
        <v>988</v>
      </c>
      <c r="D35" s="491">
        <f>'3Ф КРУГ'!B11</f>
        <v>0</v>
      </c>
      <c r="E35" s="922" t="e">
        <f>IF(D35="","",VLOOKUP(D35,'Списки участников'!A:K,12,FALSE))</f>
        <v>#N/A</v>
      </c>
      <c r="F35" s="484">
        <f>'3Ф КРУГ'!B17</f>
        <v>0</v>
      </c>
      <c r="G35" s="922" t="e">
        <f>IF(F35="","",VLOOKUP(F35,'Списки участников'!A:K,12,FALSE))</f>
        <v>#N/A</v>
      </c>
      <c r="H35" s="491"/>
      <c r="I35" s="922" t="str">
        <f>IF(H35="","",VLOOKUP(H35,'Списки участников'!A:K,12,FALSE))</f>
        <v/>
      </c>
      <c r="J35" s="915"/>
      <c r="K35" s="915"/>
      <c r="L35" s="915"/>
      <c r="M35" s="914"/>
      <c r="N35" s="914"/>
      <c r="O35" s="905" t="str">
        <f t="shared" si="0"/>
        <v/>
      </c>
      <c r="P35" s="930" t="str">
        <f t="shared" si="1"/>
        <v/>
      </c>
      <c r="Q35" s="931"/>
    </row>
    <row r="36" spans="1:17" ht="15.75" thickBot="1" x14ac:dyDescent="0.3">
      <c r="A36" s="486">
        <v>32</v>
      </c>
      <c r="B36" s="500">
        <v>4</v>
      </c>
      <c r="C36" s="493" t="s">
        <v>989</v>
      </c>
      <c r="D36" s="494">
        <f>'3Ф КРУГ'!B13</f>
        <v>0</v>
      </c>
      <c r="E36" s="701" t="e">
        <f>IF(D36="","",VLOOKUP(D36,'Списки участников'!A:K,12,FALSE))</f>
        <v>#N/A</v>
      </c>
      <c r="F36" s="494">
        <f>'3Ф КРУГ'!B15</f>
        <v>0</v>
      </c>
      <c r="G36" s="701" t="e">
        <f>IF(F36="","",VLOOKUP(F36,'Списки участников'!A:K,12,FALSE))</f>
        <v>#N/A</v>
      </c>
      <c r="H36" s="494"/>
      <c r="I36" s="701" t="str">
        <f>IF(H36="","",VLOOKUP(H36,'Списки участников'!A:K,12,FALSE))</f>
        <v/>
      </c>
      <c r="J36" s="702"/>
      <c r="K36" s="702"/>
      <c r="L36" s="702"/>
      <c r="M36" s="702"/>
      <c r="N36" s="702"/>
      <c r="O36" s="932" t="str">
        <f t="shared" si="0"/>
        <v/>
      </c>
      <c r="P36" s="933" t="str">
        <f t="shared" si="1"/>
        <v/>
      </c>
      <c r="Q36" s="701"/>
    </row>
    <row r="37" spans="1:17" ht="15" customHeight="1" x14ac:dyDescent="0.25">
      <c r="A37" s="486">
        <v>33</v>
      </c>
      <c r="B37" s="496">
        <v>5</v>
      </c>
      <c r="C37" s="483" t="s">
        <v>990</v>
      </c>
      <c r="D37" s="485">
        <f>'3Ф КРУГ'!B5</f>
        <v>0</v>
      </c>
      <c r="E37" s="922" t="e">
        <f>IF(D37="","",VLOOKUP(D37,'Списки участников'!A:K,12,FALSE))</f>
        <v>#N/A</v>
      </c>
      <c r="F37" s="485">
        <f>'3Ф КРУГ'!B27</f>
        <v>0</v>
      </c>
      <c r="G37" s="922" t="e">
        <f>IF(F37="","",VLOOKUP(F37,'Списки участников'!A:K,12,FALSE))</f>
        <v>#N/A</v>
      </c>
      <c r="H37" s="485"/>
      <c r="I37" s="922" t="str">
        <f>IF(H37="","",VLOOKUP(H37,'Списки участников'!A:K,12,FALSE))</f>
        <v/>
      </c>
      <c r="J37" s="915"/>
      <c r="K37" s="915"/>
      <c r="L37" s="915"/>
      <c r="M37" s="915"/>
      <c r="N37" s="915"/>
      <c r="O37" s="905" t="str">
        <f t="shared" si="0"/>
        <v/>
      </c>
      <c r="P37" s="930" t="str">
        <f t="shared" si="1"/>
        <v/>
      </c>
      <c r="Q37" s="922"/>
    </row>
    <row r="38" spans="1:17" x14ac:dyDescent="0.25">
      <c r="A38" s="486">
        <v>34</v>
      </c>
      <c r="B38" s="496">
        <v>5</v>
      </c>
      <c r="C38" s="906" t="s">
        <v>2633</v>
      </c>
      <c r="D38" s="484">
        <f>'3Ф КРУГ'!B25</f>
        <v>0</v>
      </c>
      <c r="E38" s="922" t="e">
        <f>IF(D38="","",VLOOKUP(D38,'Списки участников'!A:K,12,FALSE))</f>
        <v>#N/A</v>
      </c>
      <c r="F38" s="485">
        <f>'3Ф КРУГ'!B29</f>
        <v>0</v>
      </c>
      <c r="G38" s="922" t="e">
        <f>IF(F38="","",VLOOKUP(F38,'Списки участников'!A:K,12,FALSE))</f>
        <v>#N/A</v>
      </c>
      <c r="H38" s="484"/>
      <c r="I38" s="922" t="str">
        <f>IF(H38="","",VLOOKUP(H38,'Списки участников'!A:K,12,FALSE))</f>
        <v/>
      </c>
      <c r="J38" s="915"/>
      <c r="K38" s="915"/>
      <c r="L38" s="915"/>
      <c r="M38" s="486"/>
      <c r="N38" s="486"/>
      <c r="O38" s="905" t="str">
        <f t="shared" si="0"/>
        <v/>
      </c>
      <c r="P38" s="930" t="str">
        <f t="shared" si="1"/>
        <v/>
      </c>
      <c r="Q38" s="931"/>
    </row>
    <row r="39" spans="1:17" x14ac:dyDescent="0.25">
      <c r="A39" s="486">
        <v>35</v>
      </c>
      <c r="B39" s="496">
        <v>5</v>
      </c>
      <c r="C39" s="906" t="s">
        <v>2634</v>
      </c>
      <c r="D39" s="484">
        <f>'3Ф КРУГ'!B23</f>
        <v>0</v>
      </c>
      <c r="E39" s="922" t="e">
        <f>IF(D39="","",VLOOKUP(D39,'Списки участников'!A:K,12,FALSE))</f>
        <v>#N/A</v>
      </c>
      <c r="F39" s="485">
        <f>'3Ф КРУГ'!B31</f>
        <v>0</v>
      </c>
      <c r="G39" s="922" t="e">
        <f>IF(F39="","",VLOOKUP(F39,'Списки участников'!A:K,12,FALSE))</f>
        <v>#N/A</v>
      </c>
      <c r="H39" s="484"/>
      <c r="I39" s="922" t="str">
        <f>IF(H39="","",VLOOKUP(H39,'Списки участников'!A:K,12,FALSE))</f>
        <v/>
      </c>
      <c r="J39" s="915"/>
      <c r="K39" s="915"/>
      <c r="L39" s="915"/>
      <c r="M39" s="486"/>
      <c r="N39" s="486"/>
      <c r="O39" s="905" t="str">
        <f t="shared" si="0"/>
        <v/>
      </c>
      <c r="P39" s="930" t="str">
        <f t="shared" si="1"/>
        <v/>
      </c>
      <c r="Q39" s="931"/>
    </row>
    <row r="40" spans="1:17" x14ac:dyDescent="0.25">
      <c r="A40" s="486">
        <v>36</v>
      </c>
      <c r="B40" s="496">
        <v>5</v>
      </c>
      <c r="C40" s="906" t="s">
        <v>2635</v>
      </c>
      <c r="D40" s="484">
        <f>'3Ф КРУГ'!B21</f>
        <v>0</v>
      </c>
      <c r="E40" s="922" t="e">
        <f>IF(D40="","",VLOOKUP(D40,'Списки участников'!A:K,12,FALSE))</f>
        <v>#N/A</v>
      </c>
      <c r="F40" s="485">
        <f>'3Ф КРУГ'!B33</f>
        <v>0</v>
      </c>
      <c r="G40" s="922" t="e">
        <f>IF(F40="","",VLOOKUP(F40,'Списки участников'!A:K,12,FALSE))</f>
        <v>#N/A</v>
      </c>
      <c r="H40" s="484"/>
      <c r="I40" s="922" t="str">
        <f>IF(H40="","",VLOOKUP(H40,'Списки участников'!A:K,12,FALSE))</f>
        <v/>
      </c>
      <c r="J40" s="915"/>
      <c r="K40" s="915"/>
      <c r="L40" s="915"/>
      <c r="M40" s="486"/>
      <c r="N40" s="486"/>
      <c r="O40" s="905" t="str">
        <f t="shared" si="0"/>
        <v/>
      </c>
      <c r="P40" s="930" t="str">
        <f t="shared" si="1"/>
        <v/>
      </c>
      <c r="Q40" s="931"/>
    </row>
    <row r="41" spans="1:17" x14ac:dyDescent="0.25">
      <c r="A41" s="486">
        <v>37</v>
      </c>
      <c r="B41" s="489">
        <v>5</v>
      </c>
      <c r="C41" s="906" t="s">
        <v>2636</v>
      </c>
      <c r="D41" s="484">
        <f>'3Ф КРУГ'!B19</f>
        <v>0</v>
      </c>
      <c r="E41" s="922" t="e">
        <f>IF(D41="","",VLOOKUP(D41,'Списки участников'!A:K,12,FALSE))</f>
        <v>#N/A</v>
      </c>
      <c r="F41" s="485">
        <f>'3Ф КРУГ'!B35</f>
        <v>0</v>
      </c>
      <c r="G41" s="922" t="e">
        <f>IF(F41="","",VLOOKUP(F41,'Списки участников'!A:K,12,FALSE))</f>
        <v>#N/A</v>
      </c>
      <c r="H41" s="484"/>
      <c r="I41" s="922" t="str">
        <f>IF(H41="","",VLOOKUP(H41,'Списки участников'!A:K,12,FALSE))</f>
        <v/>
      </c>
      <c r="J41" s="915"/>
      <c r="K41" s="915"/>
      <c r="L41" s="915"/>
      <c r="M41" s="486"/>
      <c r="N41" s="486"/>
      <c r="O41" s="905" t="str">
        <f t="shared" si="0"/>
        <v/>
      </c>
      <c r="P41" s="930" t="str">
        <f t="shared" si="1"/>
        <v/>
      </c>
      <c r="Q41" s="931"/>
    </row>
    <row r="42" spans="1:17" x14ac:dyDescent="0.25">
      <c r="A42" s="486">
        <v>38</v>
      </c>
      <c r="B42" s="496">
        <v>5</v>
      </c>
      <c r="C42" s="490" t="s">
        <v>991</v>
      </c>
      <c r="D42" s="491">
        <f>'3Ф КРУГ'!B7</f>
        <v>0</v>
      </c>
      <c r="E42" s="922" t="e">
        <f>IF(D42="","",VLOOKUP(D42,'Списки участников'!A:K,12,FALSE))</f>
        <v>#N/A</v>
      </c>
      <c r="F42" s="485">
        <f>'3Ф КРУГ'!B17</f>
        <v>0</v>
      </c>
      <c r="G42" s="922" t="e">
        <f>IF(F42="","",VLOOKUP(F42,'Списки участников'!A:K,12,FALSE))</f>
        <v>#N/A</v>
      </c>
      <c r="H42" s="491"/>
      <c r="I42" s="922" t="str">
        <f>IF(H42="","",VLOOKUP(H42,'Списки участников'!A:K,12,FALSE))</f>
        <v/>
      </c>
      <c r="J42" s="915"/>
      <c r="K42" s="915"/>
      <c r="L42" s="915"/>
      <c r="M42" s="914"/>
      <c r="N42" s="914"/>
      <c r="O42" s="905" t="str">
        <f t="shared" si="0"/>
        <v/>
      </c>
      <c r="P42" s="930" t="str">
        <f t="shared" si="1"/>
        <v/>
      </c>
      <c r="Q42" s="931"/>
    </row>
    <row r="43" spans="1:17" x14ac:dyDescent="0.25">
      <c r="A43" s="486">
        <v>39</v>
      </c>
      <c r="B43" s="496">
        <v>5</v>
      </c>
      <c r="C43" s="490" t="s">
        <v>992</v>
      </c>
      <c r="D43" s="491">
        <f>'3Ф КРУГ'!B9</f>
        <v>0</v>
      </c>
      <c r="E43" s="922" t="e">
        <f>IF(D43="","",VLOOKUP(D43,'Списки участников'!A:K,12,FALSE))</f>
        <v>#N/A</v>
      </c>
      <c r="F43" s="485">
        <f>'3Ф КРУГ'!B15</f>
        <v>0</v>
      </c>
      <c r="G43" s="922" t="e">
        <f>IF(F43="","",VLOOKUP(F43,'Списки участников'!A:K,12,FALSE))</f>
        <v>#N/A</v>
      </c>
      <c r="H43" s="491"/>
      <c r="I43" s="922" t="str">
        <f>IF(H43="","",VLOOKUP(H43,'Списки участников'!A:K,12,FALSE))</f>
        <v/>
      </c>
      <c r="J43" s="915"/>
      <c r="K43" s="915"/>
      <c r="L43" s="915"/>
      <c r="M43" s="914"/>
      <c r="N43" s="914"/>
      <c r="O43" s="905" t="str">
        <f t="shared" si="0"/>
        <v/>
      </c>
      <c r="P43" s="930" t="str">
        <f t="shared" si="1"/>
        <v/>
      </c>
      <c r="Q43" s="931"/>
    </row>
    <row r="44" spans="1:17" ht="15.75" thickBot="1" x14ac:dyDescent="0.3">
      <c r="A44" s="486">
        <v>40</v>
      </c>
      <c r="B44" s="500">
        <v>5</v>
      </c>
      <c r="C44" s="493" t="s">
        <v>993</v>
      </c>
      <c r="D44" s="494">
        <f>'3Ф КРУГ'!B11</f>
        <v>0</v>
      </c>
      <c r="E44" s="701" t="e">
        <f>IF(D44="","",VLOOKUP(D44,'Списки участников'!A:K,12,FALSE))</f>
        <v>#N/A</v>
      </c>
      <c r="F44" s="494">
        <f>'3Ф КРУГ'!B13</f>
        <v>0</v>
      </c>
      <c r="G44" s="701" t="e">
        <f>IF(F44="","",VLOOKUP(F44,'Списки участников'!A:K,12,FALSE))</f>
        <v>#N/A</v>
      </c>
      <c r="H44" s="494"/>
      <c r="I44" s="701" t="str">
        <f>IF(H44="","",VLOOKUP(H44,'Списки участников'!A:K,12,FALSE))</f>
        <v/>
      </c>
      <c r="J44" s="702"/>
      <c r="K44" s="702"/>
      <c r="L44" s="702"/>
      <c r="M44" s="702"/>
      <c r="N44" s="702"/>
      <c r="O44" s="932" t="str">
        <f t="shared" si="0"/>
        <v/>
      </c>
      <c r="P44" s="933" t="str">
        <f t="shared" si="1"/>
        <v/>
      </c>
      <c r="Q44" s="701"/>
    </row>
    <row r="45" spans="1:17" ht="15" customHeight="1" x14ac:dyDescent="0.25">
      <c r="A45" s="486">
        <v>41</v>
      </c>
      <c r="B45" s="482">
        <v>6</v>
      </c>
      <c r="C45" s="907" t="s">
        <v>2637</v>
      </c>
      <c r="D45" s="485">
        <f>'3Ф КРУГ'!B5</f>
        <v>0</v>
      </c>
      <c r="E45" s="922" t="e">
        <f>IF(D45="","",VLOOKUP(D45,'Списки участников'!A:K,12,FALSE))</f>
        <v>#N/A</v>
      </c>
      <c r="F45" s="485">
        <f>'3Ф КРУГ'!B25</f>
        <v>0</v>
      </c>
      <c r="G45" s="922" t="e">
        <f>IF(F45="","",VLOOKUP(F45,'Списки участников'!A:K,12,FALSE))</f>
        <v>#N/A</v>
      </c>
      <c r="H45" s="485"/>
      <c r="I45" s="922" t="str">
        <f>IF(H45="","",VLOOKUP(H45,'Списки участников'!A:K,12,FALSE))</f>
        <v/>
      </c>
      <c r="J45" s="915"/>
      <c r="K45" s="915"/>
      <c r="L45" s="915"/>
      <c r="M45" s="915"/>
      <c r="N45" s="915"/>
      <c r="O45" s="905" t="str">
        <f t="shared" si="0"/>
        <v/>
      </c>
      <c r="P45" s="930" t="str">
        <f t="shared" si="1"/>
        <v/>
      </c>
      <c r="Q45" s="922"/>
    </row>
    <row r="46" spans="1:17" x14ac:dyDescent="0.25">
      <c r="A46" s="486">
        <v>42</v>
      </c>
      <c r="B46" s="496">
        <v>6</v>
      </c>
      <c r="C46" s="906" t="s">
        <v>2638</v>
      </c>
      <c r="D46" s="484">
        <f>'3Ф КРУГ'!B23</f>
        <v>0</v>
      </c>
      <c r="E46" s="922" t="e">
        <f>IF(D46="","",VLOOKUP(D46,'Списки участников'!A:K,12,FALSE))</f>
        <v>#N/A</v>
      </c>
      <c r="F46" s="484">
        <f>'3Ф КРУГ'!B27</f>
        <v>0</v>
      </c>
      <c r="G46" s="922" t="e">
        <f>IF(F46="","",VLOOKUP(F46,'Списки участников'!A:K,12,FALSE))</f>
        <v>#N/A</v>
      </c>
      <c r="H46" s="484"/>
      <c r="I46" s="922" t="str">
        <f>IF(H46="","",VLOOKUP(H46,'Списки участников'!A:K,12,FALSE))</f>
        <v/>
      </c>
      <c r="J46" s="915"/>
      <c r="K46" s="915"/>
      <c r="L46" s="915"/>
      <c r="M46" s="486"/>
      <c r="N46" s="486"/>
      <c r="O46" s="905" t="str">
        <f t="shared" si="0"/>
        <v/>
      </c>
      <c r="P46" s="930" t="str">
        <f t="shared" si="1"/>
        <v/>
      </c>
      <c r="Q46" s="931"/>
    </row>
    <row r="47" spans="1:17" x14ac:dyDescent="0.25">
      <c r="A47" s="486">
        <v>43</v>
      </c>
      <c r="B47" s="496">
        <v>6</v>
      </c>
      <c r="C47" s="906" t="s">
        <v>2639</v>
      </c>
      <c r="D47" s="484">
        <f>'3Ф КРУГ'!B21</f>
        <v>0</v>
      </c>
      <c r="E47" s="922" t="e">
        <f>IF(D47="","",VLOOKUP(D47,'Списки участников'!A:K,12,FALSE))</f>
        <v>#N/A</v>
      </c>
      <c r="F47" s="484">
        <f>'3Ф КРУГ'!B29</f>
        <v>0</v>
      </c>
      <c r="G47" s="922" t="e">
        <f>IF(F47="","",VLOOKUP(F47,'Списки участников'!A:K,12,FALSE))</f>
        <v>#N/A</v>
      </c>
      <c r="H47" s="484"/>
      <c r="I47" s="922" t="str">
        <f>IF(H47="","",VLOOKUP(H47,'Списки участников'!A:K,12,FALSE))</f>
        <v/>
      </c>
      <c r="J47" s="915"/>
      <c r="K47" s="915"/>
      <c r="L47" s="915"/>
      <c r="M47" s="486"/>
      <c r="N47" s="486"/>
      <c r="O47" s="905" t="str">
        <f t="shared" si="0"/>
        <v/>
      </c>
      <c r="P47" s="930" t="str">
        <f t="shared" si="1"/>
        <v/>
      </c>
      <c r="Q47" s="931"/>
    </row>
    <row r="48" spans="1:17" x14ac:dyDescent="0.25">
      <c r="A48" s="486">
        <v>44</v>
      </c>
      <c r="B48" s="496">
        <v>6</v>
      </c>
      <c r="C48" s="906" t="s">
        <v>2640</v>
      </c>
      <c r="D48" s="484">
        <f>'3Ф КРУГ'!B19</f>
        <v>0</v>
      </c>
      <c r="E48" s="922" t="e">
        <f>IF(D48="","",VLOOKUP(D48,'Списки участников'!A:K,12,FALSE))</f>
        <v>#N/A</v>
      </c>
      <c r="F48" s="484">
        <f>'3Ф КРУГ'!B31</f>
        <v>0</v>
      </c>
      <c r="G48" s="922" t="e">
        <f>IF(F48="","",VLOOKUP(F48,'Списки участников'!A:K,12,FALSE))</f>
        <v>#N/A</v>
      </c>
      <c r="H48" s="484"/>
      <c r="I48" s="922" t="str">
        <f>IF(H48="","",VLOOKUP(H48,'Списки участников'!A:K,12,FALSE))</f>
        <v/>
      </c>
      <c r="J48" s="915"/>
      <c r="K48" s="915"/>
      <c r="L48" s="915"/>
      <c r="M48" s="486"/>
      <c r="N48" s="486"/>
      <c r="O48" s="905" t="str">
        <f t="shared" si="0"/>
        <v/>
      </c>
      <c r="P48" s="930" t="str">
        <f t="shared" si="1"/>
        <v/>
      </c>
      <c r="Q48" s="931"/>
    </row>
    <row r="49" spans="1:21" x14ac:dyDescent="0.25">
      <c r="A49" s="486">
        <v>45</v>
      </c>
      <c r="B49" s="501">
        <v>6</v>
      </c>
      <c r="C49" s="906" t="s">
        <v>2641</v>
      </c>
      <c r="D49" s="484">
        <f>'3Ф КРУГ'!B17</f>
        <v>0</v>
      </c>
      <c r="E49" s="922" t="e">
        <f>IF(D49="","",VLOOKUP(D49,'Списки участников'!A:K,12,FALSE))</f>
        <v>#N/A</v>
      </c>
      <c r="F49" s="484">
        <f>'3Ф КРУГ'!B33</f>
        <v>0</v>
      </c>
      <c r="G49" s="922" t="e">
        <f>IF(F49="","",VLOOKUP(F49,'Списки участников'!A:K,12,FALSE))</f>
        <v>#N/A</v>
      </c>
      <c r="H49" s="484"/>
      <c r="I49" s="922" t="str">
        <f>IF(H49="","",VLOOKUP(H49,'Списки участников'!A:K,12,FALSE))</f>
        <v/>
      </c>
      <c r="J49" s="915"/>
      <c r="K49" s="915"/>
      <c r="L49" s="915"/>
      <c r="M49" s="486"/>
      <c r="N49" s="486"/>
      <c r="O49" s="905" t="str">
        <f t="shared" si="0"/>
        <v/>
      </c>
      <c r="P49" s="930" t="str">
        <f t="shared" si="1"/>
        <v/>
      </c>
      <c r="Q49" s="931"/>
    </row>
    <row r="50" spans="1:21" x14ac:dyDescent="0.25">
      <c r="A50" s="486">
        <v>46</v>
      </c>
      <c r="B50" s="496">
        <v>6</v>
      </c>
      <c r="C50" s="908" t="s">
        <v>2642</v>
      </c>
      <c r="D50" s="491">
        <f>'3Ф КРУГ'!B15</f>
        <v>0</v>
      </c>
      <c r="E50" s="922" t="e">
        <f>IF(D50="","",VLOOKUP(D50,'Списки участников'!A:K,12,FALSE))</f>
        <v>#N/A</v>
      </c>
      <c r="F50" s="484">
        <f>'3Ф КРУГ'!B35</f>
        <v>0</v>
      </c>
      <c r="G50" s="922" t="e">
        <f>IF(F50="","",VLOOKUP(F50,'Списки участников'!A:K,12,FALSE))</f>
        <v>#N/A</v>
      </c>
      <c r="H50" s="491"/>
      <c r="I50" s="922" t="str">
        <f>IF(H50="","",VLOOKUP(H50,'Списки участников'!A:K,12,FALSE))</f>
        <v/>
      </c>
      <c r="J50" s="915"/>
      <c r="K50" s="915"/>
      <c r="L50" s="915"/>
      <c r="M50" s="914"/>
      <c r="N50" s="914"/>
      <c r="O50" s="905" t="str">
        <f t="shared" si="0"/>
        <v/>
      </c>
      <c r="P50" s="930" t="str">
        <f t="shared" si="1"/>
        <v/>
      </c>
      <c r="Q50" s="931"/>
    </row>
    <row r="51" spans="1:21" x14ac:dyDescent="0.25">
      <c r="A51" s="486">
        <v>47</v>
      </c>
      <c r="B51" s="496">
        <v>6</v>
      </c>
      <c r="C51" s="490" t="s">
        <v>994</v>
      </c>
      <c r="D51" s="491">
        <f>'3Ф КРУГ'!B7</f>
        <v>0</v>
      </c>
      <c r="E51" s="922" t="e">
        <f>IF(D51="","",VLOOKUP(D51,'Списки участников'!A:K,12,FALSE))</f>
        <v>#N/A</v>
      </c>
      <c r="F51" s="484">
        <f>'3Ф КРУГ'!B13</f>
        <v>0</v>
      </c>
      <c r="G51" s="922" t="e">
        <f>IF(F51="","",VLOOKUP(F51,'Списки участников'!A:K,12,FALSE))</f>
        <v>#N/A</v>
      </c>
      <c r="H51" s="491"/>
      <c r="I51" s="922" t="str">
        <f>IF(H51="","",VLOOKUP(H51,'Списки участников'!A:K,12,FALSE))</f>
        <v/>
      </c>
      <c r="J51" s="915"/>
      <c r="K51" s="915"/>
      <c r="L51" s="915"/>
      <c r="M51" s="914"/>
      <c r="N51" s="914"/>
      <c r="O51" s="905" t="str">
        <f t="shared" si="0"/>
        <v/>
      </c>
      <c r="P51" s="930" t="str">
        <f t="shared" si="1"/>
        <v/>
      </c>
      <c r="Q51" s="931"/>
    </row>
    <row r="52" spans="1:21" ht="15.75" thickBot="1" x14ac:dyDescent="0.3">
      <c r="A52" s="486">
        <v>48</v>
      </c>
      <c r="B52" s="497">
        <v>6</v>
      </c>
      <c r="C52" s="493" t="s">
        <v>995</v>
      </c>
      <c r="D52" s="494">
        <f>'3Ф КРУГ'!B9</f>
        <v>0</v>
      </c>
      <c r="E52" s="701" t="e">
        <f>IF(D52="","",VLOOKUP(D52,'Списки участников'!A:K,12,FALSE))</f>
        <v>#N/A</v>
      </c>
      <c r="F52" s="494">
        <f>'3Ф КРУГ'!B11</f>
        <v>0</v>
      </c>
      <c r="G52" s="701" t="e">
        <f>IF(F52="","",VLOOKUP(F52,'Списки участников'!A:K,12,FALSE))</f>
        <v>#N/A</v>
      </c>
      <c r="H52" s="494"/>
      <c r="I52" s="701" t="str">
        <f>IF(H52="","",VLOOKUP(H52,'Списки участников'!A:K,12,FALSE))</f>
        <v/>
      </c>
      <c r="J52" s="702"/>
      <c r="K52" s="702"/>
      <c r="L52" s="702"/>
      <c r="M52" s="702"/>
      <c r="N52" s="702"/>
      <c r="O52" s="932" t="str">
        <f t="shared" si="0"/>
        <v/>
      </c>
      <c r="P52" s="933" t="str">
        <f t="shared" si="1"/>
        <v/>
      </c>
      <c r="Q52" s="701"/>
    </row>
    <row r="53" spans="1:21" ht="15" customHeight="1" x14ac:dyDescent="0.25">
      <c r="A53" s="486">
        <v>49</v>
      </c>
      <c r="B53" s="498">
        <v>7</v>
      </c>
      <c r="C53" s="483" t="s">
        <v>996</v>
      </c>
      <c r="D53" s="485">
        <f>'3Ф КРУГ'!B5</f>
        <v>0</v>
      </c>
      <c r="E53" s="922" t="e">
        <f>IF(D53="","",VLOOKUP(D53,'Списки участников'!A:K,12,FALSE))</f>
        <v>#N/A</v>
      </c>
      <c r="F53" s="485">
        <f>'3Ф КРУГ'!B23</f>
        <v>0</v>
      </c>
      <c r="G53" s="922" t="e">
        <f>IF(F53="","",VLOOKUP(F53,'Списки участников'!A:K,12,FALSE))</f>
        <v>#N/A</v>
      </c>
      <c r="H53" s="485"/>
      <c r="I53" s="922" t="str">
        <f>IF(H53="","",VLOOKUP(H53,'Списки участников'!A:K,12,FALSE))</f>
        <v/>
      </c>
      <c r="J53" s="915"/>
      <c r="K53" s="915"/>
      <c r="L53" s="915"/>
      <c r="M53" s="915"/>
      <c r="N53" s="915"/>
      <c r="O53" s="905" t="str">
        <f t="shared" si="0"/>
        <v/>
      </c>
      <c r="P53" s="930" t="str">
        <f t="shared" si="1"/>
        <v/>
      </c>
      <c r="Q53" s="922"/>
    </row>
    <row r="54" spans="1:21" x14ac:dyDescent="0.25">
      <c r="A54" s="486">
        <v>50</v>
      </c>
      <c r="B54" s="496">
        <v>7</v>
      </c>
      <c r="C54" s="906" t="s">
        <v>2643</v>
      </c>
      <c r="D54" s="484">
        <f>'3Ф КРУГ'!B21</f>
        <v>0</v>
      </c>
      <c r="E54" s="922" t="e">
        <f>IF(D54="","",VLOOKUP(D54,'Списки участников'!A:K,12,FALSE))</f>
        <v>#N/A</v>
      </c>
      <c r="F54" s="485">
        <f>'3Ф КРУГ'!B25</f>
        <v>0</v>
      </c>
      <c r="G54" s="922" t="e">
        <f>IF(F54="","",VLOOKUP(F54,'Списки участников'!A:K,12,FALSE))</f>
        <v>#N/A</v>
      </c>
      <c r="H54" s="484"/>
      <c r="I54" s="922" t="str">
        <f>IF(H54="","",VLOOKUP(H54,'Списки участников'!A:K,12,FALSE))</f>
        <v/>
      </c>
      <c r="J54" s="915"/>
      <c r="K54" s="915"/>
      <c r="L54" s="915"/>
      <c r="M54" s="486"/>
      <c r="N54" s="486"/>
      <c r="O54" s="905" t="str">
        <f t="shared" si="0"/>
        <v/>
      </c>
      <c r="P54" s="930" t="str">
        <f t="shared" si="1"/>
        <v/>
      </c>
      <c r="Q54" s="931"/>
    </row>
    <row r="55" spans="1:21" x14ac:dyDescent="0.25">
      <c r="A55" s="486">
        <v>51</v>
      </c>
      <c r="B55" s="496">
        <v>7</v>
      </c>
      <c r="C55" s="906" t="s">
        <v>2644</v>
      </c>
      <c r="D55" s="484">
        <f>'3Ф КРУГ'!B19</f>
        <v>0</v>
      </c>
      <c r="E55" s="922" t="e">
        <f>IF(D55="","",VLOOKUP(D55,'Списки участников'!A:K,12,FALSE))</f>
        <v>#N/A</v>
      </c>
      <c r="F55" s="485">
        <f>'3Ф КРУГ'!B27</f>
        <v>0</v>
      </c>
      <c r="G55" s="922" t="e">
        <f>IF(F55="","",VLOOKUP(F55,'Списки участников'!A:K,12,FALSE))</f>
        <v>#N/A</v>
      </c>
      <c r="H55" s="484"/>
      <c r="I55" s="922" t="str">
        <f>IF(H55="","",VLOOKUP(H55,'Списки участников'!A:K,12,FALSE))</f>
        <v/>
      </c>
      <c r="J55" s="915"/>
      <c r="K55" s="915"/>
      <c r="L55" s="915"/>
      <c r="M55" s="486"/>
      <c r="N55" s="486"/>
      <c r="O55" s="905" t="str">
        <f t="shared" si="0"/>
        <v/>
      </c>
      <c r="P55" s="930" t="str">
        <f t="shared" si="1"/>
        <v/>
      </c>
      <c r="Q55" s="931"/>
    </row>
    <row r="56" spans="1:21" x14ac:dyDescent="0.25">
      <c r="A56" s="486">
        <v>52</v>
      </c>
      <c r="B56" s="496">
        <v>7</v>
      </c>
      <c r="C56" s="906" t="s">
        <v>2645</v>
      </c>
      <c r="D56" s="484">
        <f>'3Ф КРУГ'!B17</f>
        <v>0</v>
      </c>
      <c r="E56" s="922" t="e">
        <f>IF(D56="","",VLOOKUP(D56,'Списки участников'!A:K,12,FALSE))</f>
        <v>#N/A</v>
      </c>
      <c r="F56" s="485">
        <f>'3Ф КРУГ'!B29</f>
        <v>0</v>
      </c>
      <c r="G56" s="922" t="e">
        <f>IF(F56="","",VLOOKUP(F56,'Списки участников'!A:K,12,FALSE))</f>
        <v>#N/A</v>
      </c>
      <c r="H56" s="484"/>
      <c r="I56" s="922" t="str">
        <f>IF(H56="","",VLOOKUP(H56,'Списки участников'!A:K,12,FALSE))</f>
        <v/>
      </c>
      <c r="J56" s="915"/>
      <c r="K56" s="915"/>
      <c r="L56" s="915"/>
      <c r="M56" s="486"/>
      <c r="N56" s="486"/>
      <c r="O56" s="905" t="str">
        <f t="shared" si="0"/>
        <v/>
      </c>
      <c r="P56" s="930" t="str">
        <f t="shared" si="1"/>
        <v/>
      </c>
      <c r="Q56" s="931"/>
    </row>
    <row r="57" spans="1:21" x14ac:dyDescent="0.25">
      <c r="A57" s="486">
        <v>53</v>
      </c>
      <c r="B57" s="501">
        <v>7</v>
      </c>
      <c r="C57" s="906" t="s">
        <v>2646</v>
      </c>
      <c r="D57" s="484">
        <f>'3Ф КРУГ'!B15</f>
        <v>0</v>
      </c>
      <c r="E57" s="922" t="e">
        <f>IF(D57="","",VLOOKUP(D57,'Списки участников'!A:K,12,FALSE))</f>
        <v>#N/A</v>
      </c>
      <c r="F57" s="485">
        <f>'3Ф КРУГ'!B31</f>
        <v>0</v>
      </c>
      <c r="G57" s="922" t="e">
        <f>IF(F57="","",VLOOKUP(F57,'Списки участников'!A:K,12,FALSE))</f>
        <v>#N/A</v>
      </c>
      <c r="H57" s="484"/>
      <c r="I57" s="922" t="str">
        <f>IF(H57="","",VLOOKUP(H57,'Списки участников'!A:K,12,FALSE))</f>
        <v/>
      </c>
      <c r="J57" s="915"/>
      <c r="K57" s="915"/>
      <c r="L57" s="915"/>
      <c r="M57" s="486"/>
      <c r="N57" s="486"/>
      <c r="O57" s="905" t="str">
        <f t="shared" si="0"/>
        <v/>
      </c>
      <c r="P57" s="930" t="str">
        <f t="shared" si="1"/>
        <v/>
      </c>
      <c r="Q57" s="931"/>
    </row>
    <row r="58" spans="1:21" x14ac:dyDescent="0.25">
      <c r="A58" s="486">
        <v>54</v>
      </c>
      <c r="B58" s="496">
        <v>7</v>
      </c>
      <c r="C58" s="908" t="s">
        <v>2647</v>
      </c>
      <c r="D58" s="491">
        <f>'3Ф КРУГ'!B13</f>
        <v>0</v>
      </c>
      <c r="E58" s="922" t="e">
        <f>IF(D58="","",VLOOKUP(D58,'Списки участников'!A:K,12,FALSE))</f>
        <v>#N/A</v>
      </c>
      <c r="F58" s="485">
        <f>'3Ф КРУГ'!B33</f>
        <v>0</v>
      </c>
      <c r="G58" s="922" t="e">
        <f>IF(F58="","",VLOOKUP(F58,'Списки участников'!A:K,12,FALSE))</f>
        <v>#N/A</v>
      </c>
      <c r="H58" s="491"/>
      <c r="I58" s="922" t="str">
        <f>IF(H58="","",VLOOKUP(H58,'Списки участников'!A:K,12,FALSE))</f>
        <v/>
      </c>
      <c r="J58" s="915"/>
      <c r="K58" s="915"/>
      <c r="L58" s="915"/>
      <c r="M58" s="914"/>
      <c r="N58" s="914"/>
      <c r="O58" s="905" t="str">
        <f t="shared" si="0"/>
        <v/>
      </c>
      <c r="P58" s="930" t="str">
        <f t="shared" si="1"/>
        <v/>
      </c>
      <c r="Q58" s="931"/>
    </row>
    <row r="59" spans="1:21" x14ac:dyDescent="0.25">
      <c r="A59" s="486">
        <v>55</v>
      </c>
      <c r="B59" s="496">
        <v>7</v>
      </c>
      <c r="C59" s="908" t="s">
        <v>2648</v>
      </c>
      <c r="D59" s="491">
        <f>'3Ф КРУГ'!B11</f>
        <v>0</v>
      </c>
      <c r="E59" s="922" t="e">
        <f>IF(D59="","",VLOOKUP(D59,'Списки участников'!A:K,12,FALSE))</f>
        <v>#N/A</v>
      </c>
      <c r="F59" s="485">
        <f>'3Ф КРУГ'!B35</f>
        <v>0</v>
      </c>
      <c r="G59" s="922" t="e">
        <f>IF(F59="","",VLOOKUP(F59,'Списки участников'!A:K,12,FALSE))</f>
        <v>#N/A</v>
      </c>
      <c r="H59" s="491"/>
      <c r="I59" s="922" t="str">
        <f>IF(H59="","",VLOOKUP(H59,'Списки участников'!A:K,12,FALSE))</f>
        <v/>
      </c>
      <c r="J59" s="915"/>
      <c r="K59" s="915"/>
      <c r="L59" s="915"/>
      <c r="M59" s="914"/>
      <c r="N59" s="914"/>
      <c r="O59" s="905" t="str">
        <f t="shared" si="0"/>
        <v/>
      </c>
      <c r="P59" s="930" t="str">
        <f t="shared" si="1"/>
        <v/>
      </c>
      <c r="Q59" s="931"/>
      <c r="R59" s="511"/>
      <c r="S59" s="511"/>
      <c r="T59" s="511"/>
      <c r="U59" s="511"/>
    </row>
    <row r="60" spans="1:21" ht="15.75" thickBot="1" x14ac:dyDescent="0.3">
      <c r="A60" s="486">
        <v>56</v>
      </c>
      <c r="B60" s="500">
        <v>7</v>
      </c>
      <c r="C60" s="493" t="s">
        <v>997</v>
      </c>
      <c r="D60" s="494">
        <f>'3Ф КРУГ'!B7</f>
        <v>0</v>
      </c>
      <c r="E60" s="701" t="e">
        <f>IF(D60="","",VLOOKUP(D60,'Списки участников'!A:K,12,FALSE))</f>
        <v>#N/A</v>
      </c>
      <c r="F60" s="494">
        <f>'3Ф КРУГ'!B9</f>
        <v>0</v>
      </c>
      <c r="G60" s="701" t="e">
        <f>IF(F60="","",VLOOKUP(F60,'Списки участников'!A:K,12,FALSE))</f>
        <v>#N/A</v>
      </c>
      <c r="H60" s="494"/>
      <c r="I60" s="701" t="str">
        <f>IF(H60="","",VLOOKUP(H60,'Списки участников'!A:K,12,FALSE))</f>
        <v/>
      </c>
      <c r="J60" s="702"/>
      <c r="K60" s="702"/>
      <c r="L60" s="702"/>
      <c r="M60" s="702"/>
      <c r="N60" s="702"/>
      <c r="O60" s="932" t="str">
        <f t="shared" si="0"/>
        <v/>
      </c>
      <c r="P60" s="933" t="str">
        <f t="shared" si="1"/>
        <v/>
      </c>
      <c r="Q60" s="701"/>
      <c r="R60" s="511"/>
      <c r="S60" s="511"/>
      <c r="T60" s="511"/>
      <c r="U60" s="511"/>
    </row>
    <row r="61" spans="1:21" ht="15" customHeight="1" x14ac:dyDescent="0.25">
      <c r="A61" s="486">
        <v>57</v>
      </c>
      <c r="B61" s="482">
        <v>8</v>
      </c>
      <c r="C61" s="907" t="s">
        <v>2649</v>
      </c>
      <c r="D61" s="485">
        <f>'3Ф КРУГ'!B5</f>
        <v>0</v>
      </c>
      <c r="E61" s="922" t="e">
        <f>IF(D61="","",VLOOKUP(D61,'Списки участников'!A:K,12,FALSE))</f>
        <v>#N/A</v>
      </c>
      <c r="F61" s="485">
        <f>'3Ф КРУГ'!B21</f>
        <v>0</v>
      </c>
      <c r="G61" s="922" t="e">
        <f>IF(F61="","",VLOOKUP(F61,'Списки участников'!A:K,12,FALSE))</f>
        <v>#N/A</v>
      </c>
      <c r="H61" s="485"/>
      <c r="I61" s="922" t="str">
        <f>IF(H61="","",VLOOKUP(H61,'Списки участников'!A:K,12,FALSE))</f>
        <v/>
      </c>
      <c r="J61" s="915"/>
      <c r="K61" s="915"/>
      <c r="L61" s="915"/>
      <c r="M61" s="915"/>
      <c r="N61" s="915"/>
      <c r="O61" s="905" t="str">
        <f t="shared" si="0"/>
        <v/>
      </c>
      <c r="P61" s="930" t="str">
        <f t="shared" si="1"/>
        <v/>
      </c>
      <c r="Q61" s="922"/>
    </row>
    <row r="62" spans="1:21" x14ac:dyDescent="0.25">
      <c r="A62" s="486">
        <v>58</v>
      </c>
      <c r="B62" s="496">
        <v>8</v>
      </c>
      <c r="C62" s="906" t="s">
        <v>2650</v>
      </c>
      <c r="D62" s="484">
        <f>'3Ф КРУГ'!B19</f>
        <v>0</v>
      </c>
      <c r="E62" s="922" t="e">
        <f>IF(D62="","",VLOOKUP(D62,'Списки участников'!A:K,12,FALSE))</f>
        <v>#N/A</v>
      </c>
      <c r="F62" s="484">
        <f>'3Ф КРУГ'!B23</f>
        <v>0</v>
      </c>
      <c r="G62" s="922" t="e">
        <f>IF(F62="","",VLOOKUP(F62,'Списки участников'!A:K,12,FALSE))</f>
        <v>#N/A</v>
      </c>
      <c r="H62" s="484"/>
      <c r="I62" s="922" t="str">
        <f>IF(H62="","",VLOOKUP(H62,'Списки участников'!A:K,12,FALSE))</f>
        <v/>
      </c>
      <c r="J62" s="915"/>
      <c r="K62" s="915"/>
      <c r="L62" s="915"/>
      <c r="M62" s="915"/>
      <c r="N62" s="486"/>
      <c r="O62" s="905" t="str">
        <f t="shared" si="0"/>
        <v/>
      </c>
      <c r="P62" s="930" t="str">
        <f t="shared" si="1"/>
        <v/>
      </c>
      <c r="Q62" s="931"/>
    </row>
    <row r="63" spans="1:21" x14ac:dyDescent="0.25">
      <c r="A63" s="486">
        <v>59</v>
      </c>
      <c r="B63" s="496">
        <v>8</v>
      </c>
      <c r="C63" s="906" t="s">
        <v>2651</v>
      </c>
      <c r="D63" s="484">
        <f>'3Ф КРУГ'!B17</f>
        <v>0</v>
      </c>
      <c r="E63" s="922" t="e">
        <f>IF(D63="","",VLOOKUP(D63,'Списки участников'!A:K,12,FALSE))</f>
        <v>#N/A</v>
      </c>
      <c r="F63" s="484">
        <f>'3Ф КРУГ'!B25</f>
        <v>0</v>
      </c>
      <c r="G63" s="922" t="e">
        <f>IF(F63="","",VLOOKUP(F63,'Списки участников'!A:K,12,FALSE))</f>
        <v>#N/A</v>
      </c>
      <c r="H63" s="484"/>
      <c r="I63" s="922" t="str">
        <f>IF(H63="","",VLOOKUP(H63,'Списки участников'!A:K,12,FALSE))</f>
        <v/>
      </c>
      <c r="J63" s="915"/>
      <c r="K63" s="915"/>
      <c r="L63" s="915"/>
      <c r="M63" s="915"/>
      <c r="N63" s="486"/>
      <c r="O63" s="905" t="str">
        <f t="shared" si="0"/>
        <v/>
      </c>
      <c r="P63" s="930" t="str">
        <f t="shared" si="1"/>
        <v/>
      </c>
      <c r="Q63" s="931"/>
    </row>
    <row r="64" spans="1:21" x14ac:dyDescent="0.25">
      <c r="A64" s="486">
        <v>60</v>
      </c>
      <c r="B64" s="496">
        <v>8</v>
      </c>
      <c r="C64" s="906" t="s">
        <v>2652</v>
      </c>
      <c r="D64" s="484">
        <f>'3Ф КРУГ'!B15</f>
        <v>0</v>
      </c>
      <c r="E64" s="922" t="e">
        <f>IF(D64="","",VLOOKUP(D64,'Списки участников'!A:K,12,FALSE))</f>
        <v>#N/A</v>
      </c>
      <c r="F64" s="484">
        <f>'3Ф КРУГ'!B27</f>
        <v>0</v>
      </c>
      <c r="G64" s="922" t="e">
        <f>IF(F64="","",VLOOKUP(F64,'Списки участников'!A:K,12,FALSE))</f>
        <v>#N/A</v>
      </c>
      <c r="H64" s="484"/>
      <c r="I64" s="922" t="str">
        <f>IF(H64="","",VLOOKUP(H64,'Списки участников'!A:K,12,FALSE))</f>
        <v/>
      </c>
      <c r="J64" s="915"/>
      <c r="K64" s="915"/>
      <c r="L64" s="915"/>
      <c r="M64" s="915"/>
      <c r="N64" s="486"/>
      <c r="O64" s="905" t="str">
        <f t="shared" si="0"/>
        <v/>
      </c>
      <c r="P64" s="930" t="str">
        <f t="shared" si="1"/>
        <v/>
      </c>
      <c r="Q64" s="931"/>
    </row>
    <row r="65" spans="1:17" x14ac:dyDescent="0.25">
      <c r="A65" s="486">
        <v>61</v>
      </c>
      <c r="B65" s="501">
        <v>8</v>
      </c>
      <c r="C65" s="906" t="s">
        <v>2653</v>
      </c>
      <c r="D65" s="484">
        <f>'3Ф КРУГ'!B13</f>
        <v>0</v>
      </c>
      <c r="E65" s="922" t="e">
        <f>IF(D65="","",VLOOKUP(D65,'Списки участников'!A:K,12,FALSE))</f>
        <v>#N/A</v>
      </c>
      <c r="F65" s="484">
        <f>'3Ф КРУГ'!B29</f>
        <v>0</v>
      </c>
      <c r="G65" s="922" t="e">
        <f>IF(F65="","",VLOOKUP(F65,'Списки участников'!A:K,12,FALSE))</f>
        <v>#N/A</v>
      </c>
      <c r="H65" s="484"/>
      <c r="I65" s="922" t="str">
        <f>IF(H65="","",VLOOKUP(H65,'Списки участников'!A:K,12,FALSE))</f>
        <v/>
      </c>
      <c r="J65" s="915"/>
      <c r="K65" s="915"/>
      <c r="L65" s="915"/>
      <c r="M65" s="915"/>
      <c r="N65" s="486"/>
      <c r="O65" s="905" t="str">
        <f t="shared" si="0"/>
        <v/>
      </c>
      <c r="P65" s="930" t="str">
        <f t="shared" si="1"/>
        <v/>
      </c>
      <c r="Q65" s="931"/>
    </row>
    <row r="66" spans="1:17" x14ac:dyDescent="0.25">
      <c r="A66" s="486">
        <v>62</v>
      </c>
      <c r="B66" s="496">
        <v>8</v>
      </c>
      <c r="C66" s="908" t="s">
        <v>2654</v>
      </c>
      <c r="D66" s="484">
        <f>'3Ф КРУГ'!B11</f>
        <v>0</v>
      </c>
      <c r="E66" s="922" t="e">
        <f>IF(D66="","",VLOOKUP(D66,'Списки участников'!A:K,12,FALSE))</f>
        <v>#N/A</v>
      </c>
      <c r="F66" s="484">
        <f>'3Ф КРУГ'!B31</f>
        <v>0</v>
      </c>
      <c r="G66" s="922" t="e">
        <f>IF(F66="","",VLOOKUP(F66,'Списки участников'!A:K,12,FALSE))</f>
        <v>#N/A</v>
      </c>
      <c r="H66" s="491"/>
      <c r="I66" s="922" t="str">
        <f>IF(H66="","",VLOOKUP(H66,'Списки участников'!A:K,12,FALSE))</f>
        <v/>
      </c>
      <c r="J66" s="915"/>
      <c r="K66" s="915"/>
      <c r="L66" s="915"/>
      <c r="M66" s="915"/>
      <c r="N66" s="914"/>
      <c r="O66" s="905" t="str">
        <f t="shared" si="0"/>
        <v/>
      </c>
      <c r="P66" s="930" t="str">
        <f t="shared" si="1"/>
        <v/>
      </c>
      <c r="Q66" s="931"/>
    </row>
    <row r="67" spans="1:17" x14ac:dyDescent="0.25">
      <c r="A67" s="486">
        <v>63</v>
      </c>
      <c r="B67" s="496">
        <v>8</v>
      </c>
      <c r="C67" s="908" t="s">
        <v>2655</v>
      </c>
      <c r="D67" s="484">
        <f>'3Ф КРУГ'!B9</f>
        <v>0</v>
      </c>
      <c r="E67" s="922" t="e">
        <f>IF(D67="","",VLOOKUP(D67,'Списки участников'!A:K,12,FALSE))</f>
        <v>#N/A</v>
      </c>
      <c r="F67" s="484">
        <f>'3Ф КРУГ'!B33</f>
        <v>0</v>
      </c>
      <c r="G67" s="922" t="e">
        <f>IF(F67="","",VLOOKUP(F67,'Списки участников'!A:K,12,FALSE))</f>
        <v>#N/A</v>
      </c>
      <c r="H67" s="491"/>
      <c r="I67" s="922" t="str">
        <f>IF(H67="","",VLOOKUP(H67,'Списки участников'!A:K,12,FALSE))</f>
        <v/>
      </c>
      <c r="J67" s="915"/>
      <c r="K67" s="915"/>
      <c r="L67" s="915"/>
      <c r="M67" s="915"/>
      <c r="N67" s="914"/>
      <c r="O67" s="905" t="str">
        <f t="shared" si="0"/>
        <v/>
      </c>
      <c r="P67" s="930" t="str">
        <f t="shared" si="1"/>
        <v/>
      </c>
      <c r="Q67" s="931"/>
    </row>
    <row r="68" spans="1:17" ht="15.75" thickBot="1" x14ac:dyDescent="0.3">
      <c r="A68" s="486">
        <v>64</v>
      </c>
      <c r="B68" s="500">
        <v>8</v>
      </c>
      <c r="C68" s="909" t="s">
        <v>2656</v>
      </c>
      <c r="D68" s="484">
        <f>'3Ф КРУГ'!B7</f>
        <v>0</v>
      </c>
      <c r="E68" s="922" t="e">
        <f>IF(D68="","",VLOOKUP(D68,'Списки участников'!A:K,12,FALSE))</f>
        <v>#N/A</v>
      </c>
      <c r="F68" s="484">
        <f>'3Ф КРУГ'!B35</f>
        <v>0</v>
      </c>
      <c r="G68" s="922" t="e">
        <f>IF(F68="","",VLOOKUP(F68,'Списки участников'!A:K,12,FALSE))</f>
        <v>#N/A</v>
      </c>
      <c r="H68" s="494"/>
      <c r="I68" s="922" t="str">
        <f>IF(H68="","",VLOOKUP(H68,'Списки участников'!A:K,12,FALSE))</f>
        <v/>
      </c>
      <c r="J68" s="702"/>
      <c r="K68" s="702"/>
      <c r="L68" s="702"/>
      <c r="M68" s="702"/>
      <c r="N68" s="702"/>
      <c r="O68" s="932" t="str">
        <f t="shared" si="0"/>
        <v/>
      </c>
      <c r="P68" s="933" t="str">
        <f t="shared" si="1"/>
        <v/>
      </c>
      <c r="Q68" s="701"/>
    </row>
    <row r="69" spans="1:17" ht="15" customHeight="1" x14ac:dyDescent="0.25">
      <c r="A69" s="486">
        <v>65</v>
      </c>
      <c r="B69" s="482">
        <v>9</v>
      </c>
      <c r="C69" s="483" t="s">
        <v>998</v>
      </c>
      <c r="D69" s="485">
        <f>'3Ф КРУГ'!B5</f>
        <v>0</v>
      </c>
      <c r="E69" s="922" t="e">
        <f>IF(D69="","",VLOOKUP(D69,'Списки участников'!A:K,12,FALSE))</f>
        <v>#N/A</v>
      </c>
      <c r="F69" s="485">
        <f>'3Ф КРУГ'!B19</f>
        <v>0</v>
      </c>
      <c r="G69" s="922" t="e">
        <f>IF(F69="","",VLOOKUP(F69,'Списки участников'!A:K,12,FALSE))</f>
        <v>#N/A</v>
      </c>
      <c r="H69" s="485"/>
      <c r="I69" s="922" t="str">
        <f>IF(H69="","",VLOOKUP(H69,'Списки участников'!A:K,12,FALSE))</f>
        <v/>
      </c>
      <c r="J69" s="915"/>
      <c r="K69" s="915"/>
      <c r="L69" s="915"/>
      <c r="M69" s="915"/>
      <c r="N69" s="915"/>
      <c r="O69" s="905" t="str">
        <f t="shared" si="0"/>
        <v/>
      </c>
      <c r="P69" s="930" t="str">
        <f t="shared" si="1"/>
        <v/>
      </c>
      <c r="Q69" s="922"/>
    </row>
    <row r="70" spans="1:17" x14ac:dyDescent="0.25">
      <c r="A70" s="486">
        <v>66</v>
      </c>
      <c r="B70" s="496">
        <v>9</v>
      </c>
      <c r="C70" s="906" t="s">
        <v>2657</v>
      </c>
      <c r="D70" s="484">
        <f>'3Ф КРУГ'!B17</f>
        <v>0</v>
      </c>
      <c r="E70" s="922" t="e">
        <f>IF(D70="","",VLOOKUP(D70,'Списки участников'!A:K,12,FALSE))</f>
        <v>#N/A</v>
      </c>
      <c r="F70" s="485">
        <f>'3Ф КРУГ'!B21</f>
        <v>0</v>
      </c>
      <c r="G70" s="922" t="e">
        <f>IF(F70="","",VLOOKUP(F70,'Списки участников'!A:K,12,FALSE))</f>
        <v>#N/A</v>
      </c>
      <c r="H70" s="484"/>
      <c r="I70" s="922" t="str">
        <f>IF(H70="","",VLOOKUP(H70,'Списки участников'!A:K,12,FALSE))</f>
        <v/>
      </c>
      <c r="J70" s="915"/>
      <c r="K70" s="915"/>
      <c r="L70" s="915"/>
      <c r="M70" s="486"/>
      <c r="N70" s="486"/>
      <c r="O70" s="905" t="str">
        <f t="shared" ref="O70:O124" si="2">IF(H70="","",IF(J70&gt;0,1,0)+IF(K70&gt;0,1,0)+IF(L70&gt;0,1,0)+IF(M70&gt;0,1,0)+IF(N70&gt;0,1,0))</f>
        <v/>
      </c>
      <c r="P70" s="930" t="str">
        <f t="shared" ref="P70:P124" si="3">IF(H70="","",IF(J70&lt;0,1,0)+IF(K70&lt;0,1,0)+IF(L70&lt;0,1,0)+IF(M70&lt;0,1,0)+IF(N70&lt;0,1,0))</f>
        <v/>
      </c>
      <c r="Q70" s="931"/>
    </row>
    <row r="71" spans="1:17" x14ac:dyDescent="0.25">
      <c r="A71" s="486">
        <v>67</v>
      </c>
      <c r="B71" s="496">
        <v>9</v>
      </c>
      <c r="C71" s="906" t="s">
        <v>2658</v>
      </c>
      <c r="D71" s="484">
        <f>'3Ф КРУГ'!B15</f>
        <v>0</v>
      </c>
      <c r="E71" s="922" t="e">
        <f>IF(D71="","",VLOOKUP(D71,'Списки участников'!A:K,12,FALSE))</f>
        <v>#N/A</v>
      </c>
      <c r="F71" s="485">
        <f>'3Ф КРУГ'!B23</f>
        <v>0</v>
      </c>
      <c r="G71" s="922" t="e">
        <f>IF(F71="","",VLOOKUP(F71,'Списки участников'!A:K,12,FALSE))</f>
        <v>#N/A</v>
      </c>
      <c r="H71" s="484"/>
      <c r="I71" s="922" t="str">
        <f>IF(H71="","",VLOOKUP(H71,'Списки участников'!A:K,12,FALSE))</f>
        <v/>
      </c>
      <c r="J71" s="915"/>
      <c r="K71" s="915"/>
      <c r="L71" s="915"/>
      <c r="M71" s="486"/>
      <c r="N71" s="486"/>
      <c r="O71" s="905" t="str">
        <f t="shared" si="2"/>
        <v/>
      </c>
      <c r="P71" s="930" t="str">
        <f t="shared" si="3"/>
        <v/>
      </c>
      <c r="Q71" s="931"/>
    </row>
    <row r="72" spans="1:17" x14ac:dyDescent="0.25">
      <c r="A72" s="486">
        <v>68</v>
      </c>
      <c r="B72" s="496">
        <v>9</v>
      </c>
      <c r="C72" s="912" t="s">
        <v>2678</v>
      </c>
      <c r="D72" s="484">
        <f>'3Ф КРУГ'!B13</f>
        <v>0</v>
      </c>
      <c r="E72" s="922" t="e">
        <f>IF(D72="","",VLOOKUP(D72,'Списки участников'!A:K,12,FALSE))</f>
        <v>#N/A</v>
      </c>
      <c r="F72" s="485">
        <f>'3Ф КРУГ'!B25</f>
        <v>0</v>
      </c>
      <c r="G72" s="922" t="e">
        <f>IF(F72="","",VLOOKUP(F72,'Списки участников'!A:K,12,FALSE))</f>
        <v>#N/A</v>
      </c>
      <c r="H72" s="484"/>
      <c r="I72" s="922" t="str">
        <f>IF(H72="","",VLOOKUP(H72,'Списки участников'!A:K,12,FALSE))</f>
        <v/>
      </c>
      <c r="J72" s="915"/>
      <c r="K72" s="915"/>
      <c r="L72" s="915"/>
      <c r="M72" s="486"/>
      <c r="N72" s="486"/>
      <c r="O72" s="905" t="str">
        <f t="shared" si="2"/>
        <v/>
      </c>
      <c r="P72" s="930" t="str">
        <f t="shared" si="3"/>
        <v/>
      </c>
      <c r="Q72" s="931"/>
    </row>
    <row r="73" spans="1:17" x14ac:dyDescent="0.25">
      <c r="A73" s="486">
        <v>69</v>
      </c>
      <c r="B73" s="501">
        <v>9</v>
      </c>
      <c r="C73" s="906" t="s">
        <v>2659</v>
      </c>
      <c r="D73" s="484">
        <f>'3Ф КРУГ'!B11</f>
        <v>0</v>
      </c>
      <c r="E73" s="922" t="e">
        <f>IF(D73="","",VLOOKUP(D73,'Списки участников'!A:K,12,FALSE))</f>
        <v>#N/A</v>
      </c>
      <c r="F73" s="485">
        <f>'3Ф КРУГ'!B27</f>
        <v>0</v>
      </c>
      <c r="G73" s="922" t="e">
        <f>IF(F73="","",VLOOKUP(F73,'Списки участников'!A:K,12,FALSE))</f>
        <v>#N/A</v>
      </c>
      <c r="H73" s="484"/>
      <c r="I73" s="922" t="str">
        <f>IF(H73="","",VLOOKUP(H73,'Списки участников'!A:K,12,FALSE))</f>
        <v/>
      </c>
      <c r="J73" s="915"/>
      <c r="K73" s="915"/>
      <c r="L73" s="915"/>
      <c r="M73" s="486"/>
      <c r="N73" s="486"/>
      <c r="O73" s="905" t="str">
        <f t="shared" si="2"/>
        <v/>
      </c>
      <c r="P73" s="930" t="str">
        <f t="shared" si="3"/>
        <v/>
      </c>
      <c r="Q73" s="931"/>
    </row>
    <row r="74" spans="1:17" x14ac:dyDescent="0.25">
      <c r="A74" s="486">
        <v>70</v>
      </c>
      <c r="B74" s="496">
        <v>9</v>
      </c>
      <c r="C74" s="908" t="s">
        <v>2660</v>
      </c>
      <c r="D74" s="484">
        <f>'3Ф КРУГ'!B9</f>
        <v>0</v>
      </c>
      <c r="E74" s="922" t="e">
        <f>IF(D74="","",VLOOKUP(D74,'Списки участников'!A:K,12,FALSE))</f>
        <v>#N/A</v>
      </c>
      <c r="F74" s="485">
        <f>'3Ф КРУГ'!B29</f>
        <v>0</v>
      </c>
      <c r="G74" s="922" t="e">
        <f>IF(F74="","",VLOOKUP(F74,'Списки участников'!A:K,12,FALSE))</f>
        <v>#N/A</v>
      </c>
      <c r="H74" s="491"/>
      <c r="I74" s="922" t="str">
        <f>IF(H74="","",VLOOKUP(H74,'Списки участников'!A:K,12,FALSE))</f>
        <v/>
      </c>
      <c r="J74" s="915"/>
      <c r="K74" s="915"/>
      <c r="L74" s="915"/>
      <c r="M74" s="914"/>
      <c r="N74" s="914"/>
      <c r="O74" s="905" t="str">
        <f t="shared" si="2"/>
        <v/>
      </c>
      <c r="P74" s="930" t="str">
        <f t="shared" si="3"/>
        <v/>
      </c>
      <c r="Q74" s="931"/>
    </row>
    <row r="75" spans="1:17" ht="15" customHeight="1" x14ac:dyDescent="0.25">
      <c r="A75" s="486">
        <v>71</v>
      </c>
      <c r="B75" s="496">
        <v>9</v>
      </c>
      <c r="C75" s="908" t="s">
        <v>2661</v>
      </c>
      <c r="D75" s="484">
        <f>'3Ф КРУГ'!B7</f>
        <v>0</v>
      </c>
      <c r="E75" s="922" t="e">
        <f>IF(D75="","",VLOOKUP(D75,'Списки участников'!A:K,12,FALSE))</f>
        <v>#N/A</v>
      </c>
      <c r="F75" s="485">
        <f>'3Ф КРУГ'!B31</f>
        <v>0</v>
      </c>
      <c r="G75" s="922" t="e">
        <f>IF(F75="","",VLOOKUP(F75,'Списки участников'!A:K,12,FALSE))</f>
        <v>#N/A</v>
      </c>
      <c r="H75" s="491"/>
      <c r="I75" s="922" t="str">
        <f>IF(H75="","",VLOOKUP(H75,'Списки участников'!A:K,12,FALSE))</f>
        <v/>
      </c>
      <c r="J75" s="915"/>
      <c r="K75" s="915"/>
      <c r="L75" s="915"/>
      <c r="M75" s="914"/>
      <c r="N75" s="914"/>
      <c r="O75" s="905" t="str">
        <f t="shared" si="2"/>
        <v/>
      </c>
      <c r="P75" s="930" t="str">
        <f t="shared" si="3"/>
        <v/>
      </c>
      <c r="Q75" s="931"/>
    </row>
    <row r="76" spans="1:17" ht="15.75" thickBot="1" x14ac:dyDescent="0.3">
      <c r="A76" s="486">
        <v>72</v>
      </c>
      <c r="B76" s="500">
        <v>9</v>
      </c>
      <c r="C76" s="493" t="s">
        <v>999</v>
      </c>
      <c r="D76" s="494">
        <f>'3Ф КРУГ'!B33</f>
        <v>0</v>
      </c>
      <c r="E76" s="730" t="e">
        <f>IF(D76="","",VLOOKUP(D76,'Списки участников'!A:K,12,FALSE))</f>
        <v>#N/A</v>
      </c>
      <c r="F76" s="494">
        <f>'3Ф КРУГ'!B35</f>
        <v>0</v>
      </c>
      <c r="G76" s="730" t="e">
        <f>IF(F76="","",VLOOKUP(F76,'Списки участников'!A:K,12,FALSE))</f>
        <v>#N/A</v>
      </c>
      <c r="H76" s="494"/>
      <c r="I76" s="730" t="str">
        <f>IF(H76="","",VLOOKUP(H76,'Списки участников'!A:K,12,FALSE))</f>
        <v/>
      </c>
      <c r="J76" s="929"/>
      <c r="K76" s="929"/>
      <c r="L76" s="929"/>
      <c r="M76" s="702"/>
      <c r="N76" s="702"/>
      <c r="O76" s="932" t="str">
        <f t="shared" si="2"/>
        <v/>
      </c>
      <c r="P76" s="933" t="str">
        <f t="shared" si="3"/>
        <v/>
      </c>
      <c r="Q76" s="701"/>
    </row>
    <row r="77" spans="1:17" ht="15" customHeight="1" x14ac:dyDescent="0.25">
      <c r="A77" s="486">
        <v>73</v>
      </c>
      <c r="B77" s="496">
        <v>10</v>
      </c>
      <c r="C77" s="907" t="s">
        <v>2662</v>
      </c>
      <c r="D77" s="485">
        <f>'3Ф КРУГ'!B5</f>
        <v>0</v>
      </c>
      <c r="E77" s="922" t="e">
        <f>IF(D77="","",VLOOKUP(D77,'Списки участников'!A:K,12,FALSE))</f>
        <v>#N/A</v>
      </c>
      <c r="F77" s="485">
        <f>'3Ф КРУГ'!B17</f>
        <v>0</v>
      </c>
      <c r="G77" s="922" t="e">
        <f>IF(F77="","",VLOOKUP(F77,'Списки участников'!A:K,12,FALSE))</f>
        <v>#N/A</v>
      </c>
      <c r="H77" s="485"/>
      <c r="I77" s="922" t="str">
        <f>IF(H77="","",VLOOKUP(H77,'Списки участников'!A:K,12,FALSE))</f>
        <v/>
      </c>
      <c r="J77" s="915"/>
      <c r="K77" s="915"/>
      <c r="L77" s="915"/>
      <c r="M77" s="915"/>
      <c r="N77" s="915"/>
      <c r="O77" s="905" t="str">
        <f t="shared" si="2"/>
        <v/>
      </c>
      <c r="P77" s="930" t="str">
        <f t="shared" si="3"/>
        <v/>
      </c>
      <c r="Q77" s="922"/>
    </row>
    <row r="78" spans="1:17" ht="17.25" x14ac:dyDescent="0.25">
      <c r="A78" s="486">
        <v>74</v>
      </c>
      <c r="B78" s="496">
        <v>10</v>
      </c>
      <c r="C78" s="906" t="s">
        <v>2663</v>
      </c>
      <c r="D78" s="485">
        <f>'3Ф КРУГ'!B15</f>
        <v>0</v>
      </c>
      <c r="E78" s="922" t="e">
        <f>IF(D78="","",VLOOKUP(D78,'Списки участников'!A:K,12,FALSE))</f>
        <v>#N/A</v>
      </c>
      <c r="F78" s="484">
        <f>'3Ф КРУГ'!B19</f>
        <v>0</v>
      </c>
      <c r="G78" s="922" t="e">
        <f>IF(F78="","",VLOOKUP(F78,'Списки участников'!A:K,12,FALSE))</f>
        <v>#N/A</v>
      </c>
      <c r="H78" s="484"/>
      <c r="I78" s="922" t="str">
        <f>IF(H78="","",VLOOKUP(H78,'Списки участников'!A:K,12,FALSE))</f>
        <v/>
      </c>
      <c r="J78" s="915"/>
      <c r="K78" s="915"/>
      <c r="L78" s="915"/>
      <c r="M78" s="486"/>
      <c r="N78" s="486"/>
      <c r="O78" s="905" t="str">
        <f t="shared" si="2"/>
        <v/>
      </c>
      <c r="P78" s="930" t="str">
        <f t="shared" si="3"/>
        <v/>
      </c>
      <c r="Q78" s="931"/>
    </row>
    <row r="79" spans="1:17" ht="17.25" x14ac:dyDescent="0.25">
      <c r="A79" s="486">
        <v>75</v>
      </c>
      <c r="B79" s="496">
        <v>10</v>
      </c>
      <c r="C79" s="906" t="s">
        <v>2664</v>
      </c>
      <c r="D79" s="485">
        <f>'3Ф КРУГ'!B13</f>
        <v>0</v>
      </c>
      <c r="E79" s="922" t="e">
        <f>IF(D79="","",VLOOKUP(D79,'Списки участников'!A:K,12,FALSE))</f>
        <v>#N/A</v>
      </c>
      <c r="F79" s="484">
        <f>'3Ф КРУГ'!B21</f>
        <v>0</v>
      </c>
      <c r="G79" s="922" t="e">
        <f>IF(F79="","",VLOOKUP(F79,'Списки участников'!A:K,12,FALSE))</f>
        <v>#N/A</v>
      </c>
      <c r="H79" s="484"/>
      <c r="I79" s="922" t="str">
        <f>IF(H79="","",VLOOKUP(H79,'Списки участников'!A:K,12,FALSE))</f>
        <v/>
      </c>
      <c r="J79" s="915"/>
      <c r="K79" s="915"/>
      <c r="L79" s="915"/>
      <c r="M79" s="486"/>
      <c r="N79" s="486"/>
      <c r="O79" s="905" t="str">
        <f t="shared" si="2"/>
        <v/>
      </c>
      <c r="P79" s="930" t="str">
        <f t="shared" si="3"/>
        <v/>
      </c>
      <c r="Q79" s="931"/>
    </row>
    <row r="80" spans="1:17" ht="17.25" x14ac:dyDescent="0.25">
      <c r="A80" s="486">
        <v>76</v>
      </c>
      <c r="B80" s="496">
        <v>10</v>
      </c>
      <c r="C80" s="906" t="s">
        <v>2665</v>
      </c>
      <c r="D80" s="485">
        <f>'3Ф КРУГ'!B11</f>
        <v>0</v>
      </c>
      <c r="E80" s="922" t="e">
        <f>IF(D80="","",VLOOKUP(D80,'Списки участников'!A:K,12,FALSE))</f>
        <v>#N/A</v>
      </c>
      <c r="F80" s="484">
        <f>'3Ф КРУГ'!B23</f>
        <v>0</v>
      </c>
      <c r="G80" s="922" t="e">
        <f>IF(F80="","",VLOOKUP(F80,'Списки участников'!A:K,12,FALSE))</f>
        <v>#N/A</v>
      </c>
      <c r="H80" s="484"/>
      <c r="I80" s="922" t="str">
        <f>IF(H80="","",VLOOKUP(H80,'Списки участников'!A:K,12,FALSE))</f>
        <v/>
      </c>
      <c r="J80" s="915"/>
      <c r="K80" s="915"/>
      <c r="L80" s="915"/>
      <c r="M80" s="486"/>
      <c r="N80" s="486"/>
      <c r="O80" s="905" t="str">
        <f t="shared" si="2"/>
        <v/>
      </c>
      <c r="P80" s="930" t="str">
        <f t="shared" si="3"/>
        <v/>
      </c>
      <c r="Q80" s="931"/>
    </row>
    <row r="81" spans="1:17" ht="17.25" x14ac:dyDescent="0.25">
      <c r="A81" s="486">
        <v>77</v>
      </c>
      <c r="B81" s="501">
        <v>10</v>
      </c>
      <c r="C81" s="906" t="s">
        <v>2666</v>
      </c>
      <c r="D81" s="485">
        <f>'3Ф КРУГ'!B9</f>
        <v>0</v>
      </c>
      <c r="E81" s="922" t="e">
        <f>IF(D81="","",VLOOKUP(D81,'Списки участников'!A:K,12,FALSE))</f>
        <v>#N/A</v>
      </c>
      <c r="F81" s="484">
        <f>'3Ф КРУГ'!B25</f>
        <v>0</v>
      </c>
      <c r="G81" s="922" t="e">
        <f>IF(F81="","",VLOOKUP(F81,'Списки участников'!A:K,12,FALSE))</f>
        <v>#N/A</v>
      </c>
      <c r="H81" s="484"/>
      <c r="I81" s="922" t="str">
        <f>IF(H81="","",VLOOKUP(H81,'Списки участников'!A:K,12,FALSE))</f>
        <v/>
      </c>
      <c r="J81" s="915"/>
      <c r="K81" s="915"/>
      <c r="L81" s="915"/>
      <c r="M81" s="486"/>
      <c r="N81" s="486"/>
      <c r="O81" s="905" t="str">
        <f t="shared" si="2"/>
        <v/>
      </c>
      <c r="P81" s="930" t="str">
        <f t="shared" si="3"/>
        <v/>
      </c>
      <c r="Q81" s="931"/>
    </row>
    <row r="82" spans="1:17" ht="17.25" x14ac:dyDescent="0.25">
      <c r="A82" s="486">
        <v>78</v>
      </c>
      <c r="B82" s="496">
        <v>10</v>
      </c>
      <c r="C82" s="908" t="s">
        <v>2667</v>
      </c>
      <c r="D82" s="485">
        <f>'3Ф КРУГ'!B7</f>
        <v>0</v>
      </c>
      <c r="E82" s="922" t="e">
        <f>IF(D82="","",VLOOKUP(D82,'Списки участников'!A:K,12,FALSE))</f>
        <v>#N/A</v>
      </c>
      <c r="F82" s="484">
        <f>'3Ф КРУГ'!B27</f>
        <v>0</v>
      </c>
      <c r="G82" s="922" t="e">
        <f>IF(F82="","",VLOOKUP(F82,'Списки участников'!A:K,12,FALSE))</f>
        <v>#N/A</v>
      </c>
      <c r="H82" s="491"/>
      <c r="I82" s="922" t="str">
        <f>IF(H82="","",VLOOKUP(H82,'Списки участников'!A:K,12,FALSE))</f>
        <v/>
      </c>
      <c r="J82" s="915"/>
      <c r="K82" s="915"/>
      <c r="L82" s="915"/>
      <c r="M82" s="914"/>
      <c r="N82" s="914"/>
      <c r="O82" s="905" t="str">
        <f t="shared" si="2"/>
        <v/>
      </c>
      <c r="P82" s="930" t="str">
        <f t="shared" si="3"/>
        <v/>
      </c>
      <c r="Q82" s="931"/>
    </row>
    <row r="83" spans="1:17" ht="17.25" x14ac:dyDescent="0.25">
      <c r="A83" s="486">
        <v>79</v>
      </c>
      <c r="B83" s="496">
        <v>10</v>
      </c>
      <c r="C83" s="490" t="s">
        <v>1000</v>
      </c>
      <c r="D83" s="485">
        <f>'3Ф КРУГ'!B29</f>
        <v>0</v>
      </c>
      <c r="E83" s="922" t="e">
        <f>IF(D83="","",VLOOKUP(D83,'Списки участников'!A:K,12,FALSE))</f>
        <v>#N/A</v>
      </c>
      <c r="F83" s="491">
        <f>'3Ф КРУГ'!B35</f>
        <v>0</v>
      </c>
      <c r="G83" s="922" t="e">
        <f>IF(F83="","",VLOOKUP(F83,'Списки участников'!A:K,12,FALSE))</f>
        <v>#N/A</v>
      </c>
      <c r="H83" s="491"/>
      <c r="I83" s="922" t="str">
        <f>IF(H83="","",VLOOKUP(H83,'Списки участников'!A:K,12,FALSE))</f>
        <v/>
      </c>
      <c r="J83" s="915"/>
      <c r="K83" s="915"/>
      <c r="L83" s="915"/>
      <c r="M83" s="914"/>
      <c r="N83" s="914"/>
      <c r="O83" s="905" t="str">
        <f t="shared" si="2"/>
        <v/>
      </c>
      <c r="P83" s="930" t="str">
        <f t="shared" si="3"/>
        <v/>
      </c>
      <c r="Q83" s="931"/>
    </row>
    <row r="84" spans="1:17" ht="18" thickBot="1" x14ac:dyDescent="0.3">
      <c r="A84" s="486">
        <v>80</v>
      </c>
      <c r="B84" s="500">
        <v>10</v>
      </c>
      <c r="C84" s="493" t="s">
        <v>1001</v>
      </c>
      <c r="D84" s="731">
        <f>'3Ф КРУГ'!B31</f>
        <v>0</v>
      </c>
      <c r="E84" s="730" t="e">
        <f>IF(D84="","",VLOOKUP(D84,'Списки участников'!A:K,12,FALSE))</f>
        <v>#N/A</v>
      </c>
      <c r="F84" s="494">
        <f>'3Ф КРУГ'!B33</f>
        <v>0</v>
      </c>
      <c r="G84" s="730" t="e">
        <f>IF(F84="","",VLOOKUP(F84,'Списки участников'!A:K,12,FALSE))</f>
        <v>#N/A</v>
      </c>
      <c r="H84" s="494"/>
      <c r="I84" s="730" t="str">
        <f>IF(H84="","",VLOOKUP(H84,'Списки участников'!A:K,12,FALSE))</f>
        <v/>
      </c>
      <c r="J84" s="702"/>
      <c r="K84" s="702"/>
      <c r="L84" s="702"/>
      <c r="M84" s="702"/>
      <c r="N84" s="702"/>
      <c r="O84" s="932" t="str">
        <f t="shared" si="2"/>
        <v/>
      </c>
      <c r="P84" s="933" t="str">
        <f t="shared" si="3"/>
        <v/>
      </c>
      <c r="Q84" s="701"/>
    </row>
    <row r="85" spans="1:17" ht="15" customHeight="1" x14ac:dyDescent="0.25">
      <c r="A85" s="486">
        <v>81</v>
      </c>
      <c r="B85" s="496">
        <v>11</v>
      </c>
      <c r="C85" s="483" t="s">
        <v>1002</v>
      </c>
      <c r="D85" s="485">
        <f>'3Ф КРУГ'!B5</f>
        <v>0</v>
      </c>
      <c r="E85" s="922" t="e">
        <f>IF(D85="","",VLOOKUP(D85,'Списки участников'!A:K,12,FALSE))</f>
        <v>#N/A</v>
      </c>
      <c r="F85" s="485">
        <f>'3Ф КРУГ'!B15</f>
        <v>0</v>
      </c>
      <c r="G85" s="922" t="e">
        <f>IF(F85="","",VLOOKUP(F85,'Списки участников'!A:K,12,FALSE))</f>
        <v>#N/A</v>
      </c>
      <c r="H85" s="485"/>
      <c r="I85" s="922" t="str">
        <f>IF(H85="","",VLOOKUP(H85,'Списки участников'!A:K,12,FALSE))</f>
        <v/>
      </c>
      <c r="J85" s="915"/>
      <c r="K85" s="915"/>
      <c r="L85" s="915"/>
      <c r="M85" s="915"/>
      <c r="N85" s="915"/>
      <c r="O85" s="905" t="str">
        <f t="shared" si="2"/>
        <v/>
      </c>
      <c r="P85" s="930" t="str">
        <f t="shared" si="3"/>
        <v/>
      </c>
      <c r="Q85" s="922"/>
    </row>
    <row r="86" spans="1:17" ht="17.25" x14ac:dyDescent="0.25">
      <c r="A86" s="486">
        <v>82</v>
      </c>
      <c r="B86" s="496">
        <v>11</v>
      </c>
      <c r="C86" s="906" t="s">
        <v>2668</v>
      </c>
      <c r="D86" s="484">
        <f>'3Ф КРУГ'!B13</f>
        <v>0</v>
      </c>
      <c r="E86" s="922" t="e">
        <f>IF(D86="","",VLOOKUP(D86,'Списки участников'!A:K,12,FALSE))</f>
        <v>#N/A</v>
      </c>
      <c r="F86" s="485">
        <f>'3Ф КРУГ'!B17</f>
        <v>0</v>
      </c>
      <c r="G86" s="922" t="e">
        <f>IF(F86="","",VLOOKUP(F86,'Списки участников'!A:K,12,FALSE))</f>
        <v>#N/A</v>
      </c>
      <c r="H86" s="484"/>
      <c r="I86" s="922" t="str">
        <f>IF(H86="","",VLOOKUP(H86,'Списки участников'!A:K,12,FALSE))</f>
        <v/>
      </c>
      <c r="J86" s="915"/>
      <c r="K86" s="915"/>
      <c r="L86" s="915"/>
      <c r="M86" s="486"/>
      <c r="N86" s="486"/>
      <c r="O86" s="905" t="str">
        <f t="shared" si="2"/>
        <v/>
      </c>
      <c r="P86" s="930" t="str">
        <f t="shared" si="3"/>
        <v/>
      </c>
      <c r="Q86" s="931"/>
    </row>
    <row r="87" spans="1:17" ht="17.25" x14ac:dyDescent="0.25">
      <c r="A87" s="486">
        <v>83</v>
      </c>
      <c r="B87" s="496">
        <v>11</v>
      </c>
      <c r="C87" s="906" t="s">
        <v>2669</v>
      </c>
      <c r="D87" s="484">
        <f>'3Ф КРУГ'!B11</f>
        <v>0</v>
      </c>
      <c r="E87" s="922" t="e">
        <f>IF(D87="","",VLOOKUP(D87,'Списки участников'!A:K,12,FALSE))</f>
        <v>#N/A</v>
      </c>
      <c r="F87" s="485">
        <f>'3Ф КРУГ'!B19</f>
        <v>0</v>
      </c>
      <c r="G87" s="922" t="e">
        <f>IF(F87="","",VLOOKUP(F87,'Списки участников'!A:K,12,FALSE))</f>
        <v>#N/A</v>
      </c>
      <c r="H87" s="484"/>
      <c r="I87" s="922" t="str">
        <f>IF(H87="","",VLOOKUP(H87,'Списки участников'!A:K,12,FALSE))</f>
        <v/>
      </c>
      <c r="J87" s="915"/>
      <c r="K87" s="915"/>
      <c r="L87" s="915"/>
      <c r="M87" s="486"/>
      <c r="N87" s="486"/>
      <c r="O87" s="905" t="str">
        <f t="shared" si="2"/>
        <v/>
      </c>
      <c r="P87" s="930" t="str">
        <f t="shared" si="3"/>
        <v/>
      </c>
      <c r="Q87" s="931"/>
    </row>
    <row r="88" spans="1:17" ht="17.25" x14ac:dyDescent="0.25">
      <c r="A88" s="486">
        <v>84</v>
      </c>
      <c r="B88" s="496">
        <v>11</v>
      </c>
      <c r="C88" s="912" t="s">
        <v>2679</v>
      </c>
      <c r="D88" s="484">
        <f>'3Ф КРУГ'!B9</f>
        <v>0</v>
      </c>
      <c r="E88" s="922" t="e">
        <f>IF(D88="","",VLOOKUP(D88,'Списки участников'!A:K,12,FALSE))</f>
        <v>#N/A</v>
      </c>
      <c r="F88" s="485">
        <f>'3Ф КРУГ'!B21</f>
        <v>0</v>
      </c>
      <c r="G88" s="922" t="e">
        <f>IF(F88="","",VLOOKUP(F88,'Списки участников'!A:K,12,FALSE))</f>
        <v>#N/A</v>
      </c>
      <c r="H88" s="484"/>
      <c r="I88" s="922" t="str">
        <f>IF(H88="","",VLOOKUP(H88,'Списки участников'!A:K,12,FALSE))</f>
        <v/>
      </c>
      <c r="J88" s="915"/>
      <c r="K88" s="915"/>
      <c r="L88" s="915"/>
      <c r="M88" s="486"/>
      <c r="N88" s="486"/>
      <c r="O88" s="905" t="str">
        <f t="shared" si="2"/>
        <v/>
      </c>
      <c r="P88" s="930" t="str">
        <f t="shared" si="3"/>
        <v/>
      </c>
      <c r="Q88" s="931"/>
    </row>
    <row r="89" spans="1:17" ht="17.25" x14ac:dyDescent="0.25">
      <c r="A89" s="486">
        <v>85</v>
      </c>
      <c r="B89" s="496">
        <v>11</v>
      </c>
      <c r="C89" s="906" t="s">
        <v>2670</v>
      </c>
      <c r="D89" s="484">
        <f>'3Ф КРУГ'!B7</f>
        <v>0</v>
      </c>
      <c r="E89" s="922" t="e">
        <f>IF(D89="","",VLOOKUP(D89,'Списки участников'!A:K,12,FALSE))</f>
        <v>#N/A</v>
      </c>
      <c r="F89" s="485">
        <f>'3Ф КРУГ'!B23</f>
        <v>0</v>
      </c>
      <c r="G89" s="922" t="e">
        <f>IF(F89="","",VLOOKUP(F89,'Списки участников'!A:K,12,FALSE))</f>
        <v>#N/A</v>
      </c>
      <c r="H89" s="484"/>
      <c r="I89" s="922" t="str">
        <f>IF(H89="","",VLOOKUP(H89,'Списки участников'!A:K,12,FALSE))</f>
        <v/>
      </c>
      <c r="J89" s="915"/>
      <c r="K89" s="915"/>
      <c r="L89" s="915"/>
      <c r="M89" s="486"/>
      <c r="N89" s="486"/>
      <c r="O89" s="905" t="str">
        <f t="shared" si="2"/>
        <v/>
      </c>
      <c r="P89" s="930" t="str">
        <f t="shared" si="3"/>
        <v/>
      </c>
      <c r="Q89" s="931"/>
    </row>
    <row r="90" spans="1:17" ht="17.25" x14ac:dyDescent="0.25">
      <c r="A90" s="486">
        <v>86</v>
      </c>
      <c r="B90" s="496">
        <v>11</v>
      </c>
      <c r="C90" s="490" t="s">
        <v>1003</v>
      </c>
      <c r="D90" s="484">
        <f>'3Ф КРУГ'!B25</f>
        <v>0</v>
      </c>
      <c r="E90" s="922" t="e">
        <f>IF(D90="","",VLOOKUP(D90,'Списки участников'!A:K,12,FALSE))</f>
        <v>#N/A</v>
      </c>
      <c r="F90" s="491">
        <f>'3Ф КРУГ'!B35</f>
        <v>0</v>
      </c>
      <c r="G90" s="922" t="e">
        <f>IF(F90="","",VLOOKUP(F90,'Списки участников'!A:K,12,FALSE))</f>
        <v>#N/A</v>
      </c>
      <c r="H90" s="491"/>
      <c r="I90" s="922" t="str">
        <f>IF(H90="","",VLOOKUP(H90,'Списки участников'!A:K,12,FALSE))</f>
        <v/>
      </c>
      <c r="J90" s="915"/>
      <c r="K90" s="915"/>
      <c r="L90" s="915"/>
      <c r="M90" s="914"/>
      <c r="N90" s="914"/>
      <c r="O90" s="905" t="str">
        <f t="shared" si="2"/>
        <v/>
      </c>
      <c r="P90" s="930" t="str">
        <f t="shared" si="3"/>
        <v/>
      </c>
      <c r="Q90" s="931"/>
    </row>
    <row r="91" spans="1:17" ht="17.25" x14ac:dyDescent="0.25">
      <c r="A91" s="486">
        <v>87</v>
      </c>
      <c r="B91" s="496">
        <v>11</v>
      </c>
      <c r="C91" s="490" t="s">
        <v>1004</v>
      </c>
      <c r="D91" s="484">
        <f>'3Ф КРУГ'!B27</f>
        <v>0</v>
      </c>
      <c r="E91" s="922" t="e">
        <f>IF(D91="","",VLOOKUP(D91,'Списки участников'!A:K,12,FALSE))</f>
        <v>#N/A</v>
      </c>
      <c r="F91" s="491">
        <f>'3Ф КРУГ'!B33</f>
        <v>0</v>
      </c>
      <c r="G91" s="922" t="e">
        <f>IF(F91="","",VLOOKUP(F91,'Списки участников'!A:K,12,FALSE))</f>
        <v>#N/A</v>
      </c>
      <c r="H91" s="491"/>
      <c r="I91" s="922" t="str">
        <f>IF(H91="","",VLOOKUP(H91,'Списки участников'!A:K,12,FALSE))</f>
        <v/>
      </c>
      <c r="J91" s="915"/>
      <c r="K91" s="915"/>
      <c r="L91" s="915"/>
      <c r="M91" s="914"/>
      <c r="N91" s="914"/>
      <c r="O91" s="905" t="str">
        <f t="shared" si="2"/>
        <v/>
      </c>
      <c r="P91" s="930" t="str">
        <f t="shared" si="3"/>
        <v/>
      </c>
      <c r="Q91" s="931"/>
    </row>
    <row r="92" spans="1:17" ht="18" thickBot="1" x14ac:dyDescent="0.3">
      <c r="A92" s="486">
        <v>88</v>
      </c>
      <c r="B92" s="500">
        <v>11</v>
      </c>
      <c r="C92" s="493" t="s">
        <v>1005</v>
      </c>
      <c r="D92" s="494">
        <f>'3Ф КРУГ'!B29</f>
        <v>0</v>
      </c>
      <c r="E92" s="730" t="e">
        <f>IF(D92="","",VLOOKUP(D92,'Списки участников'!A:K,12,FALSE))</f>
        <v>#N/A</v>
      </c>
      <c r="F92" s="494">
        <f>'3Ф КРУГ'!B31</f>
        <v>0</v>
      </c>
      <c r="G92" s="730" t="e">
        <f>IF(F92="","",VLOOKUP(F92,'Списки участников'!A:K,12,FALSE))</f>
        <v>#N/A</v>
      </c>
      <c r="H92" s="494"/>
      <c r="I92" s="701" t="str">
        <f>IF(H92="","",VLOOKUP(H92,'Списки участников'!A:K,12,FALSE))</f>
        <v/>
      </c>
      <c r="J92" s="702"/>
      <c r="K92" s="702"/>
      <c r="L92" s="702"/>
      <c r="M92" s="702"/>
      <c r="N92" s="702"/>
      <c r="O92" s="932" t="str">
        <f t="shared" si="2"/>
        <v/>
      </c>
      <c r="P92" s="933" t="str">
        <f t="shared" si="3"/>
        <v/>
      </c>
      <c r="Q92" s="701"/>
    </row>
    <row r="93" spans="1:17" ht="15" customHeight="1" x14ac:dyDescent="0.25">
      <c r="A93" s="486">
        <v>89</v>
      </c>
      <c r="B93" s="496">
        <v>12</v>
      </c>
      <c r="C93" s="907" t="s">
        <v>2626</v>
      </c>
      <c r="D93" s="485">
        <f>'3Ф КРУГ'!B5</f>
        <v>0</v>
      </c>
      <c r="E93" s="922" t="e">
        <f>IF(D93="","",VLOOKUP(D93,'Списки участников'!A:K,12,FALSE))</f>
        <v>#N/A</v>
      </c>
      <c r="F93" s="485">
        <f>'3Ф КРУГ'!B13</f>
        <v>0</v>
      </c>
      <c r="G93" s="922" t="e">
        <f>IF(F93="","",VLOOKUP(F93,'Списки участников'!A:K,12,FALSE))</f>
        <v>#N/A</v>
      </c>
      <c r="H93" s="485"/>
      <c r="I93" s="922" t="str">
        <f>IF(H93="","",VLOOKUP(H93,'Списки участников'!A:K,12,FALSE))</f>
        <v/>
      </c>
      <c r="J93" s="915"/>
      <c r="K93" s="915"/>
      <c r="L93" s="915"/>
      <c r="M93" s="915"/>
      <c r="N93" s="915"/>
      <c r="O93" s="905" t="str">
        <f t="shared" si="2"/>
        <v/>
      </c>
      <c r="P93" s="930" t="str">
        <f t="shared" si="3"/>
        <v/>
      </c>
      <c r="Q93" s="922"/>
    </row>
    <row r="94" spans="1:17" ht="17.25" x14ac:dyDescent="0.25">
      <c r="A94" s="486">
        <v>90</v>
      </c>
      <c r="B94" s="496">
        <v>12</v>
      </c>
      <c r="C94" s="906" t="s">
        <v>2671</v>
      </c>
      <c r="D94" s="485">
        <f>'3Ф КРУГ'!B11</f>
        <v>0</v>
      </c>
      <c r="E94" s="922" t="e">
        <f>IF(D94="","",VLOOKUP(D94,'Списки участников'!A:K,12,FALSE))</f>
        <v>#N/A</v>
      </c>
      <c r="F94" s="484">
        <f>'3Ф КРУГ'!B15</f>
        <v>0</v>
      </c>
      <c r="G94" s="922" t="e">
        <f>IF(F94="","",VLOOKUP(F94,'Списки участников'!A:K,12,FALSE))</f>
        <v>#N/A</v>
      </c>
      <c r="H94" s="484"/>
      <c r="I94" s="922" t="str">
        <f>IF(H94="","",VLOOKUP(H94,'Списки участников'!A:K,12,FALSE))</f>
        <v/>
      </c>
      <c r="J94" s="915"/>
      <c r="K94" s="915"/>
      <c r="L94" s="915"/>
      <c r="M94" s="486"/>
      <c r="N94" s="486"/>
      <c r="O94" s="905" t="str">
        <f t="shared" si="2"/>
        <v/>
      </c>
      <c r="P94" s="930" t="str">
        <f t="shared" si="3"/>
        <v/>
      </c>
      <c r="Q94" s="931"/>
    </row>
    <row r="95" spans="1:17" ht="17.25" x14ac:dyDescent="0.25">
      <c r="A95" s="486">
        <v>91</v>
      </c>
      <c r="B95" s="496">
        <v>12</v>
      </c>
      <c r="C95" s="906" t="s">
        <v>2672</v>
      </c>
      <c r="D95" s="485">
        <f>'3Ф КРУГ'!B9</f>
        <v>0</v>
      </c>
      <c r="E95" s="922" t="e">
        <f>IF(D95="","",VLOOKUP(D95,'Списки участников'!A:K,12,FALSE))</f>
        <v>#N/A</v>
      </c>
      <c r="F95" s="484">
        <f>'3Ф КРУГ'!B17</f>
        <v>0</v>
      </c>
      <c r="G95" s="922" t="e">
        <f>IF(F95="","",VLOOKUP(F95,'Списки участников'!A:K,12,FALSE))</f>
        <v>#N/A</v>
      </c>
      <c r="H95" s="484"/>
      <c r="I95" s="922" t="str">
        <f>IF(H95="","",VLOOKUP(H95,'Списки участников'!A:K,12,FALSE))</f>
        <v/>
      </c>
      <c r="J95" s="915"/>
      <c r="K95" s="915"/>
      <c r="L95" s="915"/>
      <c r="M95" s="486"/>
      <c r="N95" s="486"/>
      <c r="O95" s="905" t="str">
        <f t="shared" si="2"/>
        <v/>
      </c>
      <c r="P95" s="930" t="str">
        <f t="shared" si="3"/>
        <v/>
      </c>
      <c r="Q95" s="931"/>
    </row>
    <row r="96" spans="1:17" ht="17.25" x14ac:dyDescent="0.25">
      <c r="A96" s="486">
        <v>92</v>
      </c>
      <c r="B96" s="496">
        <v>12</v>
      </c>
      <c r="C96" s="906" t="s">
        <v>2673</v>
      </c>
      <c r="D96" s="485">
        <f>'3Ф КРУГ'!B7</f>
        <v>0</v>
      </c>
      <c r="E96" s="922" t="e">
        <f>IF(D96="","",VLOOKUP(D96,'Списки участников'!A:K,12,FALSE))</f>
        <v>#N/A</v>
      </c>
      <c r="F96" s="484">
        <f>'3Ф КРУГ'!B19</f>
        <v>0</v>
      </c>
      <c r="G96" s="922" t="e">
        <f>IF(F96="","",VLOOKUP(F96,'Списки участников'!A:K,12,FALSE))</f>
        <v>#N/A</v>
      </c>
      <c r="H96" s="484"/>
      <c r="I96" s="922" t="str">
        <f>IF(H96="","",VLOOKUP(H96,'Списки участников'!A:K,12,FALSE))</f>
        <v/>
      </c>
      <c r="J96" s="915"/>
      <c r="K96" s="915"/>
      <c r="L96" s="915"/>
      <c r="M96" s="486"/>
      <c r="N96" s="486"/>
      <c r="O96" s="905" t="str">
        <f t="shared" si="2"/>
        <v/>
      </c>
      <c r="P96" s="930" t="str">
        <f t="shared" si="3"/>
        <v/>
      </c>
      <c r="Q96" s="931"/>
    </row>
    <row r="97" spans="1:17" ht="17.25" x14ac:dyDescent="0.25">
      <c r="A97" s="486">
        <v>93</v>
      </c>
      <c r="B97" s="501">
        <v>12</v>
      </c>
      <c r="C97" s="488" t="s">
        <v>1006</v>
      </c>
      <c r="D97" s="485">
        <f>'3Ф КРУГ'!B21</f>
        <v>0</v>
      </c>
      <c r="E97" s="922" t="e">
        <f>IF(D97="","",VLOOKUP(D97,'Списки участников'!A:K,12,FALSE))</f>
        <v>#N/A</v>
      </c>
      <c r="F97" s="484">
        <f>'3Ф КРУГ'!B35</f>
        <v>0</v>
      </c>
      <c r="G97" s="922" t="e">
        <f>IF(F97="","",VLOOKUP(F97,'Списки участников'!A:K,12,FALSE))</f>
        <v>#N/A</v>
      </c>
      <c r="H97" s="484"/>
      <c r="I97" s="922" t="str">
        <f>IF(H97="","",VLOOKUP(H97,'Списки участников'!A:K,12,FALSE))</f>
        <v/>
      </c>
      <c r="J97" s="915"/>
      <c r="K97" s="915"/>
      <c r="L97" s="915"/>
      <c r="M97" s="486"/>
      <c r="N97" s="486"/>
      <c r="O97" s="905" t="str">
        <f t="shared" si="2"/>
        <v/>
      </c>
      <c r="P97" s="930" t="str">
        <f t="shared" si="3"/>
        <v/>
      </c>
      <c r="Q97" s="931"/>
    </row>
    <row r="98" spans="1:17" ht="17.25" x14ac:dyDescent="0.25">
      <c r="A98" s="486">
        <v>94</v>
      </c>
      <c r="B98" s="496">
        <v>12</v>
      </c>
      <c r="C98" s="490" t="s">
        <v>1007</v>
      </c>
      <c r="D98" s="485">
        <f>'3Ф КРУГ'!B23</f>
        <v>0</v>
      </c>
      <c r="E98" s="922" t="e">
        <f>IF(D98="","",VLOOKUP(D98,'Списки участников'!A:K,12,FALSE))</f>
        <v>#N/A</v>
      </c>
      <c r="F98" s="484">
        <f>'3Ф КРУГ'!B33</f>
        <v>0</v>
      </c>
      <c r="G98" s="922" t="e">
        <f>IF(F98="","",VLOOKUP(F98,'Списки участников'!A:K,12,FALSE))</f>
        <v>#N/A</v>
      </c>
      <c r="H98" s="491"/>
      <c r="I98" s="922" t="str">
        <f>IF(H98="","",VLOOKUP(H98,'Списки участников'!A:K,12,FALSE))</f>
        <v/>
      </c>
      <c r="J98" s="915"/>
      <c r="K98" s="915"/>
      <c r="L98" s="915"/>
      <c r="M98" s="914"/>
      <c r="N98" s="914"/>
      <c r="O98" s="905" t="str">
        <f t="shared" si="2"/>
        <v/>
      </c>
      <c r="P98" s="930" t="str">
        <f t="shared" si="3"/>
        <v/>
      </c>
      <c r="Q98" s="931"/>
    </row>
    <row r="99" spans="1:17" ht="17.25" x14ac:dyDescent="0.25">
      <c r="A99" s="486">
        <v>95</v>
      </c>
      <c r="B99" s="496">
        <v>12</v>
      </c>
      <c r="C99" s="490" t="s">
        <v>1008</v>
      </c>
      <c r="D99" s="485">
        <f>'3Ф КРУГ'!B25</f>
        <v>0</v>
      </c>
      <c r="E99" s="922" t="e">
        <f>IF(D99="","",VLOOKUP(D99,'Списки участников'!A:K,12,FALSE))</f>
        <v>#N/A</v>
      </c>
      <c r="F99" s="484">
        <f>'3Ф КРУГ'!B31</f>
        <v>0</v>
      </c>
      <c r="G99" s="922" t="e">
        <f>IF(F99="","",VLOOKUP(F99,'Списки участников'!A:K,12,FALSE))</f>
        <v>#N/A</v>
      </c>
      <c r="H99" s="491"/>
      <c r="I99" s="922" t="str">
        <f>IF(H99="","",VLOOKUP(H99,'Списки участников'!A:K,12,FALSE))</f>
        <v/>
      </c>
      <c r="J99" s="915"/>
      <c r="K99" s="915"/>
      <c r="L99" s="915"/>
      <c r="M99" s="914"/>
      <c r="N99" s="914"/>
      <c r="O99" s="905" t="str">
        <f t="shared" si="2"/>
        <v/>
      </c>
      <c r="P99" s="930" t="str">
        <f t="shared" si="3"/>
        <v/>
      </c>
      <c r="Q99" s="931"/>
    </row>
    <row r="100" spans="1:17" ht="18" thickBot="1" x14ac:dyDescent="0.3">
      <c r="A100" s="486">
        <v>96</v>
      </c>
      <c r="B100" s="500">
        <v>12</v>
      </c>
      <c r="C100" s="493" t="s">
        <v>1009</v>
      </c>
      <c r="D100" s="731">
        <f>'3Ф КРУГ'!B27</f>
        <v>0</v>
      </c>
      <c r="E100" s="730" t="e">
        <f>IF(D100="","",VLOOKUP(D100,'Списки участников'!A:K,12,FALSE))</f>
        <v>#N/A</v>
      </c>
      <c r="F100" s="494">
        <f>'3Ф КРУГ'!B29</f>
        <v>0</v>
      </c>
      <c r="G100" s="730" t="e">
        <f>IF(F100="","",VLOOKUP(F100,'Списки участников'!A:K,12,FALSE))</f>
        <v>#N/A</v>
      </c>
      <c r="H100" s="494"/>
      <c r="I100" s="701" t="str">
        <f>IF(H100="","",VLOOKUP(H100,'Списки участников'!A:K,12,FALSE))</f>
        <v/>
      </c>
      <c r="J100" s="702"/>
      <c r="K100" s="702"/>
      <c r="L100" s="702"/>
      <c r="M100" s="702"/>
      <c r="N100" s="702"/>
      <c r="O100" s="932" t="str">
        <f t="shared" si="2"/>
        <v/>
      </c>
      <c r="P100" s="933" t="str">
        <f t="shared" si="3"/>
        <v/>
      </c>
      <c r="Q100" s="701"/>
    </row>
    <row r="101" spans="1:17" ht="15" customHeight="1" x14ac:dyDescent="0.25">
      <c r="A101" s="486">
        <v>97</v>
      </c>
      <c r="B101" s="496">
        <v>13</v>
      </c>
      <c r="C101" s="483" t="s">
        <v>1010</v>
      </c>
      <c r="D101" s="485">
        <f>'3Ф КРУГ'!B5</f>
        <v>0</v>
      </c>
      <c r="E101" s="922" t="e">
        <f>IF(D101="","",VLOOKUP(D101,'Списки участников'!A:K,12,FALSE))</f>
        <v>#N/A</v>
      </c>
      <c r="F101" s="485">
        <f>'3Ф КРУГ'!B11</f>
        <v>0</v>
      </c>
      <c r="G101" s="922" t="e">
        <f>IF(F101="","",VLOOKUP(F101,'Списки участников'!A:K,12,FALSE))</f>
        <v>#N/A</v>
      </c>
      <c r="H101" s="485"/>
      <c r="I101" s="922" t="str">
        <f>IF(H101="","",VLOOKUP(H101,'Списки участников'!A:K,12,FALSE))</f>
        <v/>
      </c>
      <c r="J101" s="915"/>
      <c r="K101" s="915"/>
      <c r="L101" s="915"/>
      <c r="M101" s="915"/>
      <c r="N101" s="915"/>
      <c r="O101" s="905" t="str">
        <f t="shared" si="2"/>
        <v/>
      </c>
      <c r="P101" s="930" t="str">
        <f t="shared" si="3"/>
        <v/>
      </c>
      <c r="Q101" s="922"/>
    </row>
    <row r="102" spans="1:17" ht="17.25" x14ac:dyDescent="0.25">
      <c r="A102" s="486">
        <v>98</v>
      </c>
      <c r="B102" s="496">
        <v>13</v>
      </c>
      <c r="C102" s="906" t="s">
        <v>2674</v>
      </c>
      <c r="D102" s="484">
        <f>'3Ф КРУГ'!B9</f>
        <v>0</v>
      </c>
      <c r="E102" s="922" t="e">
        <f>IF(D102="","",VLOOKUP(D102,'Списки участников'!A:K,12,FALSE))</f>
        <v>#N/A</v>
      </c>
      <c r="F102" s="485">
        <f>'3Ф КРУГ'!B13</f>
        <v>0</v>
      </c>
      <c r="G102" s="922" t="e">
        <f>IF(F102="","",VLOOKUP(F102,'Списки участников'!A:K,12,FALSE))</f>
        <v>#N/A</v>
      </c>
      <c r="H102" s="484"/>
      <c r="I102" s="922" t="str">
        <f>IF(H102="","",VLOOKUP(H102,'Списки участников'!A:K,12,FALSE))</f>
        <v/>
      </c>
      <c r="J102" s="915"/>
      <c r="K102" s="915"/>
      <c r="L102" s="915"/>
      <c r="M102" s="486"/>
      <c r="N102" s="486"/>
      <c r="O102" s="905" t="str">
        <f t="shared" si="2"/>
        <v/>
      </c>
      <c r="P102" s="930" t="str">
        <f t="shared" si="3"/>
        <v/>
      </c>
      <c r="Q102" s="931"/>
    </row>
    <row r="103" spans="1:17" ht="17.25" x14ac:dyDescent="0.25">
      <c r="A103" s="486">
        <v>99</v>
      </c>
      <c r="B103" s="496">
        <v>13</v>
      </c>
      <c r="C103" s="906" t="s">
        <v>2675</v>
      </c>
      <c r="D103" s="484">
        <f>'3Ф КРУГ'!B7</f>
        <v>0</v>
      </c>
      <c r="E103" s="922" t="e">
        <f>IF(D103="","",VLOOKUP(D103,'Списки участников'!A:K,12,FALSE))</f>
        <v>#N/A</v>
      </c>
      <c r="F103" s="485">
        <f>'3Ф КРУГ'!B15</f>
        <v>0</v>
      </c>
      <c r="G103" s="922" t="e">
        <f>IF(F103="","",VLOOKUP(F103,'Списки участников'!A:K,12,FALSE))</f>
        <v>#N/A</v>
      </c>
      <c r="H103" s="484"/>
      <c r="I103" s="922" t="str">
        <f>IF(H103="","",VLOOKUP(H103,'Списки участников'!A:K,12,FALSE))</f>
        <v/>
      </c>
      <c r="J103" s="915"/>
      <c r="K103" s="915"/>
      <c r="L103" s="915"/>
      <c r="M103" s="486"/>
      <c r="N103" s="486"/>
      <c r="O103" s="905" t="str">
        <f t="shared" si="2"/>
        <v/>
      </c>
      <c r="P103" s="930" t="str">
        <f t="shared" si="3"/>
        <v/>
      </c>
      <c r="Q103" s="931"/>
    </row>
    <row r="104" spans="1:17" ht="17.25" x14ac:dyDescent="0.25">
      <c r="A104" s="486">
        <v>100</v>
      </c>
      <c r="B104" s="496">
        <v>13</v>
      </c>
      <c r="C104" s="488" t="s">
        <v>1011</v>
      </c>
      <c r="D104" s="484">
        <f>'3Ф КРУГ'!B17</f>
        <v>0</v>
      </c>
      <c r="E104" s="922" t="e">
        <f>IF(D104="","",VLOOKUP(D104,'Списки участников'!A:K,12,FALSE))</f>
        <v>#N/A</v>
      </c>
      <c r="F104" s="484">
        <f>'3Ф КРУГ'!B35</f>
        <v>0</v>
      </c>
      <c r="G104" s="922" t="e">
        <f>IF(F104="","",VLOOKUP(F104,'Списки участников'!A:K,12,FALSE))</f>
        <v>#N/A</v>
      </c>
      <c r="H104" s="484"/>
      <c r="I104" s="922" t="str">
        <f>IF(H104="","",VLOOKUP(H104,'Списки участников'!A:K,12,FALSE))</f>
        <v/>
      </c>
      <c r="J104" s="915"/>
      <c r="K104" s="915"/>
      <c r="L104" s="915"/>
      <c r="M104" s="486"/>
      <c r="N104" s="486"/>
      <c r="O104" s="905" t="str">
        <f t="shared" si="2"/>
        <v/>
      </c>
      <c r="P104" s="930" t="str">
        <f t="shared" si="3"/>
        <v/>
      </c>
      <c r="Q104" s="931"/>
    </row>
    <row r="105" spans="1:17" ht="17.25" x14ac:dyDescent="0.25">
      <c r="A105" s="486">
        <v>101</v>
      </c>
      <c r="B105" s="501">
        <v>13</v>
      </c>
      <c r="C105" s="488" t="s">
        <v>1012</v>
      </c>
      <c r="D105" s="484">
        <f>'3Ф КРУГ'!B19</f>
        <v>0</v>
      </c>
      <c r="E105" s="922" t="e">
        <f>IF(D105="","",VLOOKUP(D105,'Списки участников'!A:K,12,FALSE))</f>
        <v>#N/A</v>
      </c>
      <c r="F105" s="484">
        <f>'3Ф КРУГ'!B33</f>
        <v>0</v>
      </c>
      <c r="G105" s="922" t="e">
        <f>IF(F105="","",VLOOKUP(F105,'Списки участников'!A:K,12,FALSE))</f>
        <v>#N/A</v>
      </c>
      <c r="H105" s="484"/>
      <c r="I105" s="922" t="str">
        <f>IF(H105="","",VLOOKUP(H105,'Списки участников'!A:K,12,FALSE))</f>
        <v/>
      </c>
      <c r="J105" s="915"/>
      <c r="K105" s="915"/>
      <c r="L105" s="915"/>
      <c r="M105" s="486"/>
      <c r="N105" s="486"/>
      <c r="O105" s="905" t="str">
        <f t="shared" si="2"/>
        <v/>
      </c>
      <c r="P105" s="930" t="str">
        <f t="shared" si="3"/>
        <v/>
      </c>
      <c r="Q105" s="931"/>
    </row>
    <row r="106" spans="1:17" ht="17.25" x14ac:dyDescent="0.25">
      <c r="A106" s="486">
        <v>102</v>
      </c>
      <c r="B106" s="496">
        <v>13</v>
      </c>
      <c r="C106" s="490" t="s">
        <v>1013</v>
      </c>
      <c r="D106" s="484">
        <f>'3Ф КРУГ'!B21</f>
        <v>0</v>
      </c>
      <c r="E106" s="922" t="e">
        <f>IF(D106="","",VLOOKUP(D106,'Списки участников'!A:K,12,FALSE))</f>
        <v>#N/A</v>
      </c>
      <c r="F106" s="484">
        <f>'3Ф КРУГ'!B31</f>
        <v>0</v>
      </c>
      <c r="G106" s="922" t="e">
        <f>IF(F106="","",VLOOKUP(F106,'Списки участников'!A:K,12,FALSE))</f>
        <v>#N/A</v>
      </c>
      <c r="H106" s="491"/>
      <c r="I106" s="922" t="str">
        <f>IF(H106="","",VLOOKUP(H106,'Списки участников'!A:K,12,FALSE))</f>
        <v/>
      </c>
      <c r="J106" s="915"/>
      <c r="K106" s="915"/>
      <c r="L106" s="915"/>
      <c r="M106" s="914"/>
      <c r="N106" s="914"/>
      <c r="O106" s="905" t="str">
        <f t="shared" si="2"/>
        <v/>
      </c>
      <c r="P106" s="930" t="str">
        <f t="shared" si="3"/>
        <v/>
      </c>
      <c r="Q106" s="931"/>
    </row>
    <row r="107" spans="1:17" ht="17.25" x14ac:dyDescent="0.25">
      <c r="A107" s="486">
        <v>103</v>
      </c>
      <c r="B107" s="496">
        <v>13</v>
      </c>
      <c r="C107" s="490" t="s">
        <v>1014</v>
      </c>
      <c r="D107" s="484">
        <f>'3Ф КРУГ'!B23</f>
        <v>0</v>
      </c>
      <c r="E107" s="922" t="e">
        <f>IF(D107="","",VLOOKUP(D107,'Списки участников'!A:K,12,FALSE))</f>
        <v>#N/A</v>
      </c>
      <c r="F107" s="484">
        <f>'3Ф КРУГ'!B29</f>
        <v>0</v>
      </c>
      <c r="G107" s="922" t="e">
        <f>IF(F107="","",VLOOKUP(F107,'Списки участников'!A:K,12,FALSE))</f>
        <v>#N/A</v>
      </c>
      <c r="H107" s="491"/>
      <c r="I107" s="922" t="str">
        <f>IF(H107="","",VLOOKUP(H107,'Списки участников'!A:K,12,FALSE))</f>
        <v/>
      </c>
      <c r="J107" s="915"/>
      <c r="K107" s="915"/>
      <c r="L107" s="915"/>
      <c r="M107" s="914"/>
      <c r="N107" s="914"/>
      <c r="O107" s="905" t="str">
        <f t="shared" si="2"/>
        <v/>
      </c>
      <c r="P107" s="930" t="str">
        <f t="shared" si="3"/>
        <v/>
      </c>
      <c r="Q107" s="931"/>
    </row>
    <row r="108" spans="1:17" ht="18" thickBot="1" x14ac:dyDescent="0.3">
      <c r="A108" s="486">
        <v>104</v>
      </c>
      <c r="B108" s="500">
        <v>13</v>
      </c>
      <c r="C108" s="493" t="s">
        <v>1015</v>
      </c>
      <c r="D108" s="494">
        <f>'3Ф КРУГ'!B25</f>
        <v>0</v>
      </c>
      <c r="E108" s="730" t="e">
        <f>IF(D108="","",VLOOKUP(D108,'Списки участников'!A:K,12,FALSE))</f>
        <v>#N/A</v>
      </c>
      <c r="F108" s="494">
        <f>'3Ф КРУГ'!B27</f>
        <v>0</v>
      </c>
      <c r="G108" s="730" t="e">
        <f>IF(F108="","",VLOOKUP(F108,'Списки участников'!A:K,12,FALSE))</f>
        <v>#N/A</v>
      </c>
      <c r="H108" s="494"/>
      <c r="I108" s="701" t="str">
        <f>IF(H108="","",VLOOKUP(H108,'Списки участников'!A:K,12,FALSE))</f>
        <v/>
      </c>
      <c r="J108" s="702"/>
      <c r="K108" s="702"/>
      <c r="L108" s="702"/>
      <c r="M108" s="702"/>
      <c r="N108" s="702"/>
      <c r="O108" s="932" t="str">
        <f t="shared" si="2"/>
        <v/>
      </c>
      <c r="P108" s="933" t="str">
        <f t="shared" si="3"/>
        <v/>
      </c>
      <c r="Q108" s="701"/>
    </row>
    <row r="109" spans="1:17" ht="15" customHeight="1" x14ac:dyDescent="0.25">
      <c r="A109" s="486">
        <v>105</v>
      </c>
      <c r="B109" s="496">
        <v>14</v>
      </c>
      <c r="C109" s="913" t="s">
        <v>2680</v>
      </c>
      <c r="D109" s="485">
        <f>'3Ф КРУГ'!B5</f>
        <v>0</v>
      </c>
      <c r="E109" s="922" t="e">
        <f>IF(D109="","",VLOOKUP(D109,'Списки участников'!A:K,12,FALSE))</f>
        <v>#N/A</v>
      </c>
      <c r="F109" s="485">
        <f>'3Ф КРУГ'!B9</f>
        <v>0</v>
      </c>
      <c r="G109" s="922" t="e">
        <f>IF(F109="","",VLOOKUP(F109,'Списки участников'!A:K,12,FALSE))</f>
        <v>#N/A</v>
      </c>
      <c r="H109" s="485"/>
      <c r="I109" s="922" t="str">
        <f>IF(H109="","",VLOOKUP(H109,'Списки участников'!A:K,12,FALSE))</f>
        <v/>
      </c>
      <c r="J109" s="915"/>
      <c r="K109" s="915"/>
      <c r="L109" s="915"/>
      <c r="M109" s="915"/>
      <c r="N109" s="915"/>
      <c r="O109" s="905" t="str">
        <f t="shared" si="2"/>
        <v/>
      </c>
      <c r="P109" s="930" t="str">
        <f t="shared" si="3"/>
        <v/>
      </c>
      <c r="Q109" s="922"/>
    </row>
    <row r="110" spans="1:17" ht="17.25" x14ac:dyDescent="0.25">
      <c r="A110" s="486">
        <v>106</v>
      </c>
      <c r="B110" s="496">
        <v>14</v>
      </c>
      <c r="C110" s="906" t="s">
        <v>2676</v>
      </c>
      <c r="D110" s="485">
        <f>'3Ф КРУГ'!B7</f>
        <v>0</v>
      </c>
      <c r="E110" s="922" t="e">
        <f>IF(D110="","",VLOOKUP(D110,'Списки участников'!A:K,12,FALSE))</f>
        <v>#N/A</v>
      </c>
      <c r="F110" s="484">
        <f>'3Ф КРУГ'!B11</f>
        <v>0</v>
      </c>
      <c r="G110" s="922" t="e">
        <f>IF(F110="","",VLOOKUP(F110,'Списки участников'!A:K,12,FALSE))</f>
        <v>#N/A</v>
      </c>
      <c r="H110" s="484"/>
      <c r="I110" s="922" t="str">
        <f>IF(H110="","",VLOOKUP(H110,'Списки участников'!A:K,12,FALSE))</f>
        <v/>
      </c>
      <c r="J110" s="915"/>
      <c r="K110" s="915"/>
      <c r="L110" s="915"/>
      <c r="M110" s="486"/>
      <c r="N110" s="486"/>
      <c r="O110" s="905" t="str">
        <f t="shared" si="2"/>
        <v/>
      </c>
      <c r="P110" s="930" t="str">
        <f t="shared" si="3"/>
        <v/>
      </c>
      <c r="Q110" s="931"/>
    </row>
    <row r="111" spans="1:17" ht="17.25" x14ac:dyDescent="0.25">
      <c r="A111" s="486">
        <v>107</v>
      </c>
      <c r="B111" s="496">
        <v>14</v>
      </c>
      <c r="C111" s="488" t="s">
        <v>1016</v>
      </c>
      <c r="D111" s="485">
        <f>'3Ф КРУГ'!B13</f>
        <v>0</v>
      </c>
      <c r="E111" s="922" t="e">
        <f>IF(D111="","",VLOOKUP(D111,'Списки участников'!A:K,12,FALSE))</f>
        <v>#N/A</v>
      </c>
      <c r="F111" s="484">
        <f>'3Ф КРУГ'!B35</f>
        <v>0</v>
      </c>
      <c r="G111" s="922" t="e">
        <f>IF(F111="","",VLOOKUP(F111,'Списки участников'!A:K,12,FALSE))</f>
        <v>#N/A</v>
      </c>
      <c r="H111" s="484"/>
      <c r="I111" s="922" t="str">
        <f>IF(H111="","",VLOOKUP(H111,'Списки участников'!A:K,12,FALSE))</f>
        <v/>
      </c>
      <c r="J111" s="915"/>
      <c r="K111" s="915"/>
      <c r="L111" s="915"/>
      <c r="M111" s="486"/>
      <c r="N111" s="486"/>
      <c r="O111" s="905" t="str">
        <f t="shared" si="2"/>
        <v/>
      </c>
      <c r="P111" s="930" t="str">
        <f t="shared" si="3"/>
        <v/>
      </c>
      <c r="Q111" s="931"/>
    </row>
    <row r="112" spans="1:17" ht="17.25" x14ac:dyDescent="0.25">
      <c r="A112" s="486">
        <v>108</v>
      </c>
      <c r="B112" s="496">
        <v>14</v>
      </c>
      <c r="C112" s="488" t="s">
        <v>1017</v>
      </c>
      <c r="D112" s="485">
        <f>'3Ф КРУГ'!B15</f>
        <v>0</v>
      </c>
      <c r="E112" s="922" t="e">
        <f>IF(D112="","",VLOOKUP(D112,'Списки участников'!A:K,12,FALSE))</f>
        <v>#N/A</v>
      </c>
      <c r="F112" s="484">
        <f>'3Ф КРУГ'!B33</f>
        <v>0</v>
      </c>
      <c r="G112" s="922" t="e">
        <f>IF(F112="","",VLOOKUP(F112,'Списки участников'!A:K,12,FALSE))</f>
        <v>#N/A</v>
      </c>
      <c r="H112" s="484"/>
      <c r="I112" s="922" t="str">
        <f>IF(H112="","",VLOOKUP(H112,'Списки участников'!A:K,12,FALSE))</f>
        <v/>
      </c>
      <c r="J112" s="915"/>
      <c r="K112" s="915"/>
      <c r="L112" s="915"/>
      <c r="M112" s="486"/>
      <c r="N112" s="486"/>
      <c r="O112" s="905" t="str">
        <f t="shared" si="2"/>
        <v/>
      </c>
      <c r="P112" s="930" t="str">
        <f t="shared" si="3"/>
        <v/>
      </c>
      <c r="Q112" s="931"/>
    </row>
    <row r="113" spans="1:17" ht="17.25" x14ac:dyDescent="0.25">
      <c r="A113" s="486">
        <v>109</v>
      </c>
      <c r="B113" s="501">
        <v>14</v>
      </c>
      <c r="C113" s="488" t="s">
        <v>1018</v>
      </c>
      <c r="D113" s="485">
        <f>'3Ф КРУГ'!B17</f>
        <v>0</v>
      </c>
      <c r="E113" s="922" t="e">
        <f>IF(D113="","",VLOOKUP(D113,'Списки участников'!A:K,12,FALSE))</f>
        <v>#N/A</v>
      </c>
      <c r="F113" s="484">
        <f>'3Ф КРУГ'!B31</f>
        <v>0</v>
      </c>
      <c r="G113" s="922" t="e">
        <f>IF(F113="","",VLOOKUP(F113,'Списки участников'!A:K,12,FALSE))</f>
        <v>#N/A</v>
      </c>
      <c r="H113" s="484"/>
      <c r="I113" s="922" t="str">
        <f>IF(H113="","",VLOOKUP(H113,'Списки участников'!A:K,12,FALSE))</f>
        <v/>
      </c>
      <c r="J113" s="915"/>
      <c r="K113" s="915"/>
      <c r="L113" s="915"/>
      <c r="M113" s="486"/>
      <c r="N113" s="486"/>
      <c r="O113" s="905" t="str">
        <f t="shared" si="2"/>
        <v/>
      </c>
      <c r="P113" s="930" t="str">
        <f t="shared" si="3"/>
        <v/>
      </c>
      <c r="Q113" s="931"/>
    </row>
    <row r="114" spans="1:17" ht="17.25" x14ac:dyDescent="0.25">
      <c r="A114" s="486">
        <v>110</v>
      </c>
      <c r="B114" s="496">
        <v>14</v>
      </c>
      <c r="C114" s="490" t="s">
        <v>1019</v>
      </c>
      <c r="D114" s="485">
        <f>'3Ф КРУГ'!B19</f>
        <v>0</v>
      </c>
      <c r="E114" s="922" t="e">
        <f>IF(D114="","",VLOOKUP(D114,'Списки участников'!A:K,12,FALSE))</f>
        <v>#N/A</v>
      </c>
      <c r="F114" s="484">
        <f>'3Ф КРУГ'!B29</f>
        <v>0</v>
      </c>
      <c r="G114" s="922" t="e">
        <f>IF(F114="","",VLOOKUP(F114,'Списки участников'!A:K,12,FALSE))</f>
        <v>#N/A</v>
      </c>
      <c r="H114" s="491"/>
      <c r="I114" s="922" t="str">
        <f>IF(H114="","",VLOOKUP(H114,'Списки участников'!A:K,12,FALSE))</f>
        <v/>
      </c>
      <c r="J114" s="915"/>
      <c r="K114" s="915"/>
      <c r="L114" s="915"/>
      <c r="M114" s="914"/>
      <c r="N114" s="914"/>
      <c r="O114" s="905" t="str">
        <f t="shared" si="2"/>
        <v/>
      </c>
      <c r="P114" s="930" t="str">
        <f t="shared" si="3"/>
        <v/>
      </c>
      <c r="Q114" s="931"/>
    </row>
    <row r="115" spans="1:17" ht="17.25" x14ac:dyDescent="0.25">
      <c r="A115" s="486">
        <v>111</v>
      </c>
      <c r="B115" s="496">
        <v>14</v>
      </c>
      <c r="C115" s="490" t="s">
        <v>1020</v>
      </c>
      <c r="D115" s="485">
        <f>'3Ф КРУГ'!B21</f>
        <v>0</v>
      </c>
      <c r="E115" s="922" t="e">
        <f>IF(D115="","",VLOOKUP(D115,'Списки участников'!A:K,12,FALSE))</f>
        <v>#N/A</v>
      </c>
      <c r="F115" s="484">
        <f>'3Ф КРУГ'!B27</f>
        <v>0</v>
      </c>
      <c r="G115" s="922" t="e">
        <f>IF(F115="","",VLOOKUP(F115,'Списки участников'!A:K,12,FALSE))</f>
        <v>#N/A</v>
      </c>
      <c r="H115" s="491"/>
      <c r="I115" s="922" t="str">
        <f>IF(H115="","",VLOOKUP(H115,'Списки участников'!A:K,12,FALSE))</f>
        <v/>
      </c>
      <c r="J115" s="915"/>
      <c r="K115" s="915"/>
      <c r="L115" s="915"/>
      <c r="M115" s="914"/>
      <c r="N115" s="914"/>
      <c r="O115" s="905" t="str">
        <f t="shared" si="2"/>
        <v/>
      </c>
      <c r="P115" s="930" t="str">
        <f t="shared" si="3"/>
        <v/>
      </c>
      <c r="Q115" s="931"/>
    </row>
    <row r="116" spans="1:17" ht="18" thickBot="1" x14ac:dyDescent="0.3">
      <c r="A116" s="486">
        <v>112</v>
      </c>
      <c r="B116" s="500">
        <v>14</v>
      </c>
      <c r="C116" s="493" t="s">
        <v>1021</v>
      </c>
      <c r="D116" s="494">
        <f>'3Ф КРУГ'!B23</f>
        <v>0</v>
      </c>
      <c r="E116" s="701" t="e">
        <f>IF(D116="","",VLOOKUP(D116,'Списки участников'!A:K,12,FALSE))</f>
        <v>#N/A</v>
      </c>
      <c r="F116" s="494">
        <f>'3Ф КРУГ'!B25</f>
        <v>0</v>
      </c>
      <c r="G116" s="701" t="e">
        <f>IF(F116="","",VLOOKUP(F116,'Списки участников'!A:K,12,FALSE))</f>
        <v>#N/A</v>
      </c>
      <c r="H116" s="494"/>
      <c r="I116" s="701" t="str">
        <f>IF(H116="","",VLOOKUP(H116,'Списки участников'!A:K,12,FALSE))</f>
        <v/>
      </c>
      <c r="J116" s="702"/>
      <c r="K116" s="702"/>
      <c r="L116" s="702"/>
      <c r="M116" s="702"/>
      <c r="N116" s="702"/>
      <c r="O116" s="932" t="str">
        <f t="shared" si="2"/>
        <v/>
      </c>
      <c r="P116" s="933" t="str">
        <f t="shared" si="3"/>
        <v/>
      </c>
      <c r="Q116" s="701"/>
    </row>
    <row r="117" spans="1:17" ht="15" customHeight="1" x14ac:dyDescent="0.25">
      <c r="A117" s="486">
        <v>113</v>
      </c>
      <c r="B117" s="482">
        <v>15</v>
      </c>
      <c r="C117" s="483" t="s">
        <v>1022</v>
      </c>
      <c r="D117" s="485">
        <f>'3Ф КРУГ'!B5</f>
        <v>0</v>
      </c>
      <c r="E117" s="922" t="e">
        <f>IF(D117="","",VLOOKUP(D117,'Списки участников'!A:K,12,FALSE))</f>
        <v>#N/A</v>
      </c>
      <c r="F117" s="485">
        <f>'3Ф КРУГ'!B7</f>
        <v>0</v>
      </c>
      <c r="G117" s="922" t="e">
        <f>IF(F117="","",VLOOKUP(F117,'Списки участников'!A:K,12,FALSE))</f>
        <v>#N/A</v>
      </c>
      <c r="H117" s="485"/>
      <c r="I117" s="922" t="str">
        <f>IF(H117="","",VLOOKUP(H117,'Списки участников'!A:K,12,FALSE))</f>
        <v/>
      </c>
      <c r="J117" s="915"/>
      <c r="K117" s="915"/>
      <c r="L117" s="915"/>
      <c r="M117" s="915"/>
      <c r="N117" s="915"/>
      <c r="O117" s="905" t="str">
        <f t="shared" si="2"/>
        <v/>
      </c>
      <c r="P117" s="930" t="str">
        <f t="shared" si="3"/>
        <v/>
      </c>
      <c r="Q117" s="922"/>
    </row>
    <row r="118" spans="1:17" ht="17.25" x14ac:dyDescent="0.25">
      <c r="A118" s="486">
        <v>114</v>
      </c>
      <c r="B118" s="496">
        <v>15</v>
      </c>
      <c r="C118" s="488" t="s">
        <v>1023</v>
      </c>
      <c r="D118" s="484">
        <f>'3Ф КРУГ'!B9</f>
        <v>0</v>
      </c>
      <c r="E118" s="922" t="e">
        <f>IF(D118="","",VLOOKUP(D118,'Списки участников'!A:K,12,FALSE))</f>
        <v>#N/A</v>
      </c>
      <c r="F118" s="484">
        <f>'3Ф КРУГ'!B35</f>
        <v>0</v>
      </c>
      <c r="G118" s="922" t="e">
        <f>IF(F118="","",VLOOKUP(F118,'Списки участников'!A:K,12,FALSE))</f>
        <v>#N/A</v>
      </c>
      <c r="H118" s="484"/>
      <c r="I118" s="922" t="str">
        <f>IF(H118="","",VLOOKUP(H118,'Списки участников'!A:K,12,FALSE))</f>
        <v/>
      </c>
      <c r="J118" s="915"/>
      <c r="K118" s="915"/>
      <c r="L118" s="915"/>
      <c r="M118" s="915"/>
      <c r="N118" s="915"/>
      <c r="O118" s="905" t="str">
        <f t="shared" si="2"/>
        <v/>
      </c>
      <c r="P118" s="930" t="str">
        <f t="shared" si="3"/>
        <v/>
      </c>
      <c r="Q118" s="931"/>
    </row>
    <row r="119" spans="1:17" ht="17.25" x14ac:dyDescent="0.25">
      <c r="A119" s="486">
        <v>115</v>
      </c>
      <c r="B119" s="496">
        <v>15</v>
      </c>
      <c r="C119" s="488" t="s">
        <v>1024</v>
      </c>
      <c r="D119" s="484">
        <f>'3Ф КРУГ'!B11</f>
        <v>0</v>
      </c>
      <c r="E119" s="922" t="e">
        <f>IF(D119="","",VLOOKUP(D119,'Списки участников'!A:K,12,FALSE))</f>
        <v>#N/A</v>
      </c>
      <c r="F119" s="484">
        <f>'3Ф КРУГ'!B33</f>
        <v>0</v>
      </c>
      <c r="G119" s="922" t="e">
        <f>IF(F119="","",VLOOKUP(F119,'Списки участников'!A:K,12,FALSE))</f>
        <v>#N/A</v>
      </c>
      <c r="H119" s="484"/>
      <c r="I119" s="922" t="str">
        <f>IF(H119="","",VLOOKUP(H119,'Списки участников'!A:K,12,FALSE))</f>
        <v/>
      </c>
      <c r="J119" s="915"/>
      <c r="K119" s="915"/>
      <c r="L119" s="915"/>
      <c r="M119" s="915"/>
      <c r="N119" s="915"/>
      <c r="O119" s="905" t="str">
        <f t="shared" si="2"/>
        <v/>
      </c>
      <c r="P119" s="930" t="str">
        <f t="shared" si="3"/>
        <v/>
      </c>
      <c r="Q119" s="931"/>
    </row>
    <row r="120" spans="1:17" ht="17.25" x14ac:dyDescent="0.25">
      <c r="A120" s="486">
        <v>116</v>
      </c>
      <c r="B120" s="496">
        <v>15</v>
      </c>
      <c r="C120" s="488" t="s">
        <v>1025</v>
      </c>
      <c r="D120" s="484">
        <f>'3Ф КРУГ'!B13</f>
        <v>0</v>
      </c>
      <c r="E120" s="922" t="e">
        <f>IF(D120="","",VLOOKUP(D120,'Списки участников'!A:K,12,FALSE))</f>
        <v>#N/A</v>
      </c>
      <c r="F120" s="484">
        <f>'3Ф КРУГ'!B31</f>
        <v>0</v>
      </c>
      <c r="G120" s="922" t="e">
        <f>IF(F120="","",VLOOKUP(F120,'Списки участников'!A:K,12,FALSE))</f>
        <v>#N/A</v>
      </c>
      <c r="H120" s="484"/>
      <c r="I120" s="922" t="str">
        <f>IF(H120="","",VLOOKUP(H120,'Списки участников'!A:K,12,FALSE))</f>
        <v/>
      </c>
      <c r="J120" s="915"/>
      <c r="K120" s="915"/>
      <c r="L120" s="915"/>
      <c r="M120" s="915"/>
      <c r="N120" s="915"/>
      <c r="O120" s="905" t="str">
        <f t="shared" si="2"/>
        <v/>
      </c>
      <c r="P120" s="930" t="str">
        <f t="shared" si="3"/>
        <v/>
      </c>
      <c r="Q120" s="931"/>
    </row>
    <row r="121" spans="1:17" ht="17.25" x14ac:dyDescent="0.25">
      <c r="A121" s="486">
        <v>117</v>
      </c>
      <c r="B121" s="501">
        <v>15</v>
      </c>
      <c r="C121" s="488" t="s">
        <v>1026</v>
      </c>
      <c r="D121" s="484">
        <f>'3Ф КРУГ'!B15</f>
        <v>0</v>
      </c>
      <c r="E121" s="922" t="e">
        <f>IF(D121="","",VLOOKUP(D121,'Списки участников'!A:K,12,FALSE))</f>
        <v>#N/A</v>
      </c>
      <c r="F121" s="484">
        <f>'3Ф КРУГ'!B29</f>
        <v>0</v>
      </c>
      <c r="G121" s="922" t="e">
        <f>IF(F121="","",VLOOKUP(F121,'Списки участников'!A:K,12,FALSE))</f>
        <v>#N/A</v>
      </c>
      <c r="H121" s="484"/>
      <c r="I121" s="922" t="str">
        <f>IF(H121="","",VLOOKUP(H121,'Списки участников'!A:K,12,FALSE))</f>
        <v/>
      </c>
      <c r="J121" s="915"/>
      <c r="K121" s="915"/>
      <c r="L121" s="915"/>
      <c r="M121" s="915"/>
      <c r="N121" s="915"/>
      <c r="O121" s="905" t="str">
        <f t="shared" si="2"/>
        <v/>
      </c>
      <c r="P121" s="930" t="str">
        <f t="shared" si="3"/>
        <v/>
      </c>
      <c r="Q121" s="931"/>
    </row>
    <row r="122" spans="1:17" ht="17.25" x14ac:dyDescent="0.25">
      <c r="A122" s="486">
        <v>118</v>
      </c>
      <c r="B122" s="496">
        <v>15</v>
      </c>
      <c r="C122" s="490" t="s">
        <v>1027</v>
      </c>
      <c r="D122" s="484">
        <f>'3Ф КРУГ'!B17</f>
        <v>0</v>
      </c>
      <c r="E122" s="922" t="e">
        <f>IF(D122="","",VLOOKUP(D122,'Списки участников'!A:K,12,FALSE))</f>
        <v>#N/A</v>
      </c>
      <c r="F122" s="484">
        <f>'3Ф КРУГ'!B27</f>
        <v>0</v>
      </c>
      <c r="G122" s="922" t="e">
        <f>IF(F122="","",VLOOKUP(F122,'Списки участников'!A:K,12,FALSE))</f>
        <v>#N/A</v>
      </c>
      <c r="H122" s="491"/>
      <c r="I122" s="922" t="str">
        <f>IF(H122="","",VLOOKUP(H122,'Списки участников'!A:K,12,FALSE))</f>
        <v/>
      </c>
      <c r="J122" s="915"/>
      <c r="K122" s="915"/>
      <c r="L122" s="915"/>
      <c r="M122" s="915"/>
      <c r="N122" s="915"/>
      <c r="O122" s="905" t="str">
        <f t="shared" si="2"/>
        <v/>
      </c>
      <c r="P122" s="930" t="str">
        <f t="shared" si="3"/>
        <v/>
      </c>
      <c r="Q122" s="931"/>
    </row>
    <row r="123" spans="1:17" ht="17.25" x14ac:dyDescent="0.25">
      <c r="A123" s="486">
        <v>119</v>
      </c>
      <c r="B123" s="496">
        <v>15</v>
      </c>
      <c r="C123" s="490" t="s">
        <v>1028</v>
      </c>
      <c r="D123" s="484">
        <f>'3Ф КРУГ'!B19</f>
        <v>0</v>
      </c>
      <c r="E123" s="922" t="e">
        <f>IF(D123="","",VLOOKUP(D123,'Списки участников'!A:K,12,FALSE))</f>
        <v>#N/A</v>
      </c>
      <c r="F123" s="484">
        <f>'3Ф КРУГ'!B25</f>
        <v>0</v>
      </c>
      <c r="G123" s="922" t="e">
        <f>IF(F123="","",VLOOKUP(F123,'Списки участников'!A:K,12,FALSE))</f>
        <v>#N/A</v>
      </c>
      <c r="H123" s="491"/>
      <c r="I123" s="922" t="str">
        <f>IF(H123="","",VLOOKUP(H123,'Списки участников'!A:K,12,FALSE))</f>
        <v/>
      </c>
      <c r="J123" s="915"/>
      <c r="K123" s="915"/>
      <c r="L123" s="915"/>
      <c r="M123" s="915"/>
      <c r="N123" s="915"/>
      <c r="O123" s="905" t="str">
        <f t="shared" si="2"/>
        <v/>
      </c>
      <c r="P123" s="930" t="str">
        <f t="shared" si="3"/>
        <v/>
      </c>
      <c r="Q123" s="931"/>
    </row>
    <row r="124" spans="1:17" ht="18" thickBot="1" x14ac:dyDescent="0.3">
      <c r="A124" s="486">
        <v>120</v>
      </c>
      <c r="B124" s="500">
        <v>15</v>
      </c>
      <c r="C124" s="493" t="s">
        <v>1029</v>
      </c>
      <c r="D124" s="484">
        <f>'3Ф КРУГ'!B21</f>
        <v>0</v>
      </c>
      <c r="E124" s="922" t="e">
        <f>IF(D124="","",VLOOKUP(D124,'Списки участников'!A:K,12,FALSE))</f>
        <v>#N/A</v>
      </c>
      <c r="F124" s="484">
        <f>'3Ф КРУГ'!B23</f>
        <v>0</v>
      </c>
      <c r="G124" s="922" t="e">
        <f>IF(F124="","",VLOOKUP(F124,'Списки участников'!A:K,12,FALSE))</f>
        <v>#N/A</v>
      </c>
      <c r="H124" s="494"/>
      <c r="I124" s="922" t="str">
        <f>IF(H124="","",VLOOKUP(H124,'Списки участников'!A:K,12,FALSE))</f>
        <v/>
      </c>
      <c r="J124" s="915"/>
      <c r="K124" s="915"/>
      <c r="L124" s="915"/>
      <c r="M124" s="702"/>
      <c r="N124" s="702"/>
      <c r="O124" s="932" t="str">
        <f t="shared" si="2"/>
        <v/>
      </c>
      <c r="P124" s="933" t="str">
        <f t="shared" si="3"/>
        <v/>
      </c>
      <c r="Q124" s="701"/>
    </row>
  </sheetData>
  <mergeCells count="12">
    <mergeCell ref="J3:N3"/>
    <mergeCell ref="O3:P4"/>
    <mergeCell ref="C1:N1"/>
    <mergeCell ref="G2:M2"/>
    <mergeCell ref="N2:O2"/>
    <mergeCell ref="G3:G4"/>
    <mergeCell ref="I3:I4"/>
    <mergeCell ref="A3:A4"/>
    <mergeCell ref="B3:B4"/>
    <mergeCell ref="C3:C4"/>
    <mergeCell ref="D3:D4"/>
    <mergeCell ref="E3:E4"/>
  </mergeCells>
  <pageMargins left="0.51181102362204722" right="0.51181102362204722" top="0.55118110236220474" bottom="0.55118110236220474" header="0.31496062992125984" footer="0.31496062992125984"/>
  <pageSetup paperSize="9" scale="68" orientation="portrait" verticalDpi="0" r:id="rId1"/>
  <rowBreaks count="1" manualBreakCount="1">
    <brk id="68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124"/>
  <sheetViews>
    <sheetView view="pageBreakPreview" topLeftCell="A2" zoomScaleNormal="100" zoomScaleSheetLayoutView="100" workbookViewId="0">
      <selection activeCell="J28" sqref="J28"/>
    </sheetView>
  </sheetViews>
  <sheetFormatPr defaultRowHeight="15" outlineLevelCol="1" x14ac:dyDescent="0.25"/>
  <cols>
    <col min="1" max="1" width="9.33203125" style="128"/>
    <col min="2" max="2" width="5.33203125" style="128" customWidth="1"/>
    <col min="3" max="3" width="11.5" style="128" customWidth="1"/>
    <col min="4" max="4" width="6" style="128" hidden="1" customWidth="1" outlineLevel="1"/>
    <col min="5" max="5" width="25" style="128" customWidth="1" collapsed="1"/>
    <col min="6" max="6" width="5.5" style="128" hidden="1" customWidth="1" outlineLevel="1"/>
    <col min="7" max="7" width="25" style="128" customWidth="1" collapsed="1"/>
    <col min="8" max="8" width="5.83203125" style="128" hidden="1" customWidth="1" outlineLevel="1"/>
    <col min="9" max="9" width="25" style="128" customWidth="1" collapsed="1"/>
    <col min="10" max="14" width="6.6640625" style="128" customWidth="1"/>
    <col min="15" max="15" width="8.33203125" style="128" customWidth="1"/>
    <col min="16" max="16" width="8.5" style="128" customWidth="1"/>
    <col min="17" max="16384" width="9.33203125" style="128"/>
  </cols>
  <sheetData>
    <row r="1" spans="1:17" ht="18.75" x14ac:dyDescent="0.3">
      <c r="C1" s="1278" t="s">
        <v>2815</v>
      </c>
      <c r="D1" s="1278"/>
      <c r="E1" s="1278"/>
      <c r="F1" s="1278"/>
      <c r="G1" s="1278"/>
      <c r="H1" s="1278"/>
      <c r="I1" s="1278"/>
      <c r="J1" s="1278"/>
      <c r="K1" s="1278"/>
      <c r="L1" s="1278"/>
      <c r="M1" s="1278"/>
      <c r="N1" s="1278"/>
    </row>
    <row r="2" spans="1:17" ht="19.5" thickBot="1" x14ac:dyDescent="0.35">
      <c r="E2" s="920" t="str">
        <f>'Списки участников'!C3</f>
        <v>22 октября 2016 г.</v>
      </c>
      <c r="F2" s="920"/>
      <c r="G2" s="1218" t="s">
        <v>2684</v>
      </c>
      <c r="H2" s="1218"/>
      <c r="I2" s="1218"/>
      <c r="J2" s="1218"/>
      <c r="K2" s="1218"/>
      <c r="L2" s="1218"/>
      <c r="M2" s="1218"/>
      <c r="N2" s="1279">
        <f>'Списки участников'!H3</f>
        <v>0</v>
      </c>
      <c r="O2" s="1279"/>
    </row>
    <row r="3" spans="1:17" ht="19.5" customHeight="1" thickBot="1" x14ac:dyDescent="0.35">
      <c r="A3" s="1284" t="s">
        <v>1041</v>
      </c>
      <c r="B3" s="1286" t="s">
        <v>964</v>
      </c>
      <c r="C3" s="1288" t="s">
        <v>3</v>
      </c>
      <c r="D3" s="1290"/>
      <c r="E3" s="1274" t="s">
        <v>4</v>
      </c>
      <c r="F3" s="697"/>
      <c r="G3" s="1274" t="s">
        <v>4</v>
      </c>
      <c r="H3" s="697"/>
      <c r="I3" s="1274" t="s">
        <v>764</v>
      </c>
      <c r="J3" s="1276" t="s">
        <v>965</v>
      </c>
      <c r="K3" s="1277"/>
      <c r="L3" s="1277"/>
      <c r="M3" s="1277"/>
      <c r="N3" s="1277"/>
      <c r="O3" s="1280" t="s">
        <v>1042</v>
      </c>
      <c r="P3" s="1281"/>
      <c r="Q3" s="934" t="s">
        <v>2681</v>
      </c>
    </row>
    <row r="4" spans="1:17" ht="19.5" thickBot="1" x14ac:dyDescent="0.3">
      <c r="A4" s="1285"/>
      <c r="B4" s="1287"/>
      <c r="C4" s="1289"/>
      <c r="D4" s="1291"/>
      <c r="E4" s="1275"/>
      <c r="F4" s="698"/>
      <c r="G4" s="1275"/>
      <c r="H4" s="699"/>
      <c r="I4" s="1275"/>
      <c r="J4" s="700">
        <v>1</v>
      </c>
      <c r="K4" s="700">
        <v>2</v>
      </c>
      <c r="L4" s="700">
        <v>3</v>
      </c>
      <c r="M4" s="700">
        <v>4</v>
      </c>
      <c r="N4" s="904">
        <v>5</v>
      </c>
      <c r="O4" s="1282"/>
      <c r="P4" s="1283"/>
      <c r="Q4" s="934" t="s">
        <v>2682</v>
      </c>
    </row>
    <row r="5" spans="1:17" x14ac:dyDescent="0.25">
      <c r="A5" s="915">
        <v>1</v>
      </c>
      <c r="B5" s="482">
        <v>1</v>
      </c>
      <c r="C5" s="483" t="s">
        <v>966</v>
      </c>
      <c r="D5" s="484">
        <f>'4Ф КРУГ'!B5</f>
        <v>0</v>
      </c>
      <c r="E5" s="922" t="e">
        <f>IF(D5="","",VLOOKUP(D5,'Списки участников'!A:K,12,FALSE))</f>
        <v>#N/A</v>
      </c>
      <c r="F5" s="485">
        <f>'4Ф КРУГ'!B35</f>
        <v>0</v>
      </c>
      <c r="G5" s="922" t="e">
        <f>IF(F5="","",VLOOKUP(F5,'Списки участников'!A:K,12,FALSE))</f>
        <v>#N/A</v>
      </c>
      <c r="H5" s="485"/>
      <c r="I5" s="922" t="str">
        <f>IF(H5="","",VLOOKUP(H5,'Списки участников'!A:K,12,FALSE))</f>
        <v/>
      </c>
      <c r="J5" s="915"/>
      <c r="K5" s="915"/>
      <c r="L5" s="915"/>
      <c r="M5" s="915"/>
      <c r="N5" s="915"/>
      <c r="O5" s="905" t="str">
        <f t="shared" ref="O5:O69" si="0">IF(H5="","",IF(J5&gt;0,1,0)+IF(K5&gt;0,1,0)+IF(L5&gt;0,1,0)+IF(M5&gt;0,1,0)+IF(N5&gt;0,1,0))</f>
        <v/>
      </c>
      <c r="P5" s="930" t="str">
        <f t="shared" ref="P5:P69" si="1">IF(H5="","",IF(J5&lt;0,1,0)+IF(K5&lt;0,1,0)+IF(L5&lt;0,1,0)+IF(M5&lt;0,1,0)+IF(N5&lt;0,1,0))</f>
        <v/>
      </c>
      <c r="Q5" s="931"/>
    </row>
    <row r="6" spans="1:17" x14ac:dyDescent="0.25">
      <c r="A6" s="486">
        <v>2</v>
      </c>
      <c r="B6" s="487">
        <v>1</v>
      </c>
      <c r="C6" s="488" t="s">
        <v>967</v>
      </c>
      <c r="D6" s="484">
        <f>'4Ф КРУГ'!B7</f>
        <v>0</v>
      </c>
      <c r="E6" s="922" t="e">
        <f>IF(D6="","",VLOOKUP(D6,'Списки участников'!A:K,12,FALSE))</f>
        <v>#N/A</v>
      </c>
      <c r="F6" s="484">
        <f>'4Ф КРУГ'!B33</f>
        <v>0</v>
      </c>
      <c r="G6" s="922" t="e">
        <f>IF(F6="","",VLOOKUP(F6,'Списки участников'!A:K,12,FALSE))</f>
        <v>#N/A</v>
      </c>
      <c r="H6" s="484"/>
      <c r="I6" s="922" t="str">
        <f>IF(H6="","",VLOOKUP(H6,'Списки участников'!A:K,12,FALSE))</f>
        <v/>
      </c>
      <c r="J6" s="486"/>
      <c r="K6" s="486"/>
      <c r="L6" s="486"/>
      <c r="M6" s="486"/>
      <c r="N6" s="486"/>
      <c r="O6" s="905" t="str">
        <f t="shared" si="0"/>
        <v/>
      </c>
      <c r="P6" s="930" t="str">
        <f t="shared" si="1"/>
        <v/>
      </c>
      <c r="Q6" s="931"/>
    </row>
    <row r="7" spans="1:17" x14ac:dyDescent="0.25">
      <c r="A7" s="486">
        <v>3</v>
      </c>
      <c r="B7" s="487">
        <v>1</v>
      </c>
      <c r="C7" s="488" t="s">
        <v>968</v>
      </c>
      <c r="D7" s="484">
        <f>'4Ф КРУГ'!B9</f>
        <v>0</v>
      </c>
      <c r="E7" s="922" t="e">
        <f>IF(D7="","",VLOOKUP(D7,'Списки участников'!A:K,12,FALSE))</f>
        <v>#N/A</v>
      </c>
      <c r="F7" s="484">
        <f>'4Ф КРУГ'!B31</f>
        <v>0</v>
      </c>
      <c r="G7" s="922" t="e">
        <f>IF(F7="","",VLOOKUP(F7,'Списки участников'!A:K,12,FALSE))</f>
        <v>#N/A</v>
      </c>
      <c r="H7" s="484"/>
      <c r="I7" s="922" t="str">
        <f>IF(H7="","",VLOOKUP(H7,'Списки участников'!A:K,12,FALSE))</f>
        <v/>
      </c>
      <c r="J7" s="915"/>
      <c r="K7" s="915"/>
      <c r="L7" s="915"/>
      <c r="M7" s="486"/>
      <c r="N7" s="486"/>
      <c r="O7" s="905" t="str">
        <f t="shared" si="0"/>
        <v/>
      </c>
      <c r="P7" s="930" t="str">
        <f t="shared" si="1"/>
        <v/>
      </c>
      <c r="Q7" s="931"/>
    </row>
    <row r="8" spans="1:17" x14ac:dyDescent="0.25">
      <c r="A8" s="486">
        <v>4</v>
      </c>
      <c r="B8" s="487">
        <v>1</v>
      </c>
      <c r="C8" s="488" t="s">
        <v>969</v>
      </c>
      <c r="D8" s="484">
        <f>'4Ф КРУГ'!B11</f>
        <v>0</v>
      </c>
      <c r="E8" s="922" t="e">
        <f>IF(D8="","",VLOOKUP(D8,'Списки участников'!A:K,12,FALSE))</f>
        <v>#N/A</v>
      </c>
      <c r="F8" s="484">
        <f>'4Ф КРУГ'!B29</f>
        <v>0</v>
      </c>
      <c r="G8" s="922" t="e">
        <f>IF(F8="","",VLOOKUP(F8,'Списки участников'!A:K,12,FALSE))</f>
        <v>#N/A</v>
      </c>
      <c r="H8" s="485"/>
      <c r="I8" s="922" t="str">
        <f>IF(H8="","",VLOOKUP(H8,'Списки участников'!A:K,12,FALSE))</f>
        <v/>
      </c>
      <c r="J8" s="486"/>
      <c r="K8" s="486"/>
      <c r="L8" s="486"/>
      <c r="M8" s="486"/>
      <c r="N8" s="486"/>
      <c r="O8" s="905" t="str">
        <f t="shared" si="0"/>
        <v/>
      </c>
      <c r="P8" s="930" t="str">
        <f t="shared" si="1"/>
        <v/>
      </c>
      <c r="Q8" s="931"/>
    </row>
    <row r="9" spans="1:17" x14ac:dyDescent="0.25">
      <c r="A9" s="486">
        <v>5</v>
      </c>
      <c r="B9" s="489">
        <v>1</v>
      </c>
      <c r="C9" s="488" t="s">
        <v>970</v>
      </c>
      <c r="D9" s="484">
        <f>'4Ф КРУГ'!B13</f>
        <v>0</v>
      </c>
      <c r="E9" s="922" t="e">
        <f>IF(D9="","",VLOOKUP(D9,'Списки участников'!A:K,12,FALSE))</f>
        <v>#N/A</v>
      </c>
      <c r="F9" s="484">
        <f>'4Ф КРУГ'!B27</f>
        <v>0</v>
      </c>
      <c r="G9" s="922" t="e">
        <f>IF(F9="","",VLOOKUP(F9,'Списки участников'!A:K,12,FALSE))</f>
        <v>#N/A</v>
      </c>
      <c r="H9" s="484"/>
      <c r="I9" s="922" t="str">
        <f>IF(H9="","",VLOOKUP(H9,'Списки участников'!A:K,12,FALSE))</f>
        <v/>
      </c>
      <c r="J9" s="915"/>
      <c r="K9" s="915"/>
      <c r="L9" s="915"/>
      <c r="M9" s="486"/>
      <c r="N9" s="486"/>
      <c r="O9" s="905" t="str">
        <f t="shared" si="0"/>
        <v/>
      </c>
      <c r="P9" s="930" t="str">
        <f t="shared" si="1"/>
        <v/>
      </c>
      <c r="Q9" s="931"/>
    </row>
    <row r="10" spans="1:17" x14ac:dyDescent="0.25">
      <c r="A10" s="486">
        <v>6</v>
      </c>
      <c r="B10" s="487">
        <v>1</v>
      </c>
      <c r="C10" s="490" t="s">
        <v>971</v>
      </c>
      <c r="D10" s="491">
        <f>'4Ф КРУГ'!B15</f>
        <v>0</v>
      </c>
      <c r="E10" s="922" t="e">
        <f>IF(D10="","",VLOOKUP(D10,'Списки участников'!A:K,12,FALSE))</f>
        <v>#N/A</v>
      </c>
      <c r="F10" s="491">
        <f>'4Ф КРУГ'!B25</f>
        <v>0</v>
      </c>
      <c r="G10" s="922" t="e">
        <f>IF(F10="","",VLOOKUP(F10,'Списки участников'!A:K,12,FALSE))</f>
        <v>#N/A</v>
      </c>
      <c r="H10" s="484"/>
      <c r="I10" s="922" t="str">
        <f>IF(H10="","",VLOOKUP(H10,'Списки участников'!A:K,12,FALSE))</f>
        <v/>
      </c>
      <c r="J10" s="486"/>
      <c r="K10" s="486"/>
      <c r="L10" s="486"/>
      <c r="M10" s="914"/>
      <c r="N10" s="914"/>
      <c r="O10" s="905" t="str">
        <f t="shared" si="0"/>
        <v/>
      </c>
      <c r="P10" s="930" t="str">
        <f t="shared" si="1"/>
        <v/>
      </c>
      <c r="Q10" s="931"/>
    </row>
    <row r="11" spans="1:17" x14ac:dyDescent="0.25">
      <c r="A11" s="486">
        <v>7</v>
      </c>
      <c r="B11" s="487">
        <v>1</v>
      </c>
      <c r="C11" s="490" t="s">
        <v>972</v>
      </c>
      <c r="D11" s="491">
        <f>'4Ф КРУГ'!B17</f>
        <v>0</v>
      </c>
      <c r="E11" s="922" t="e">
        <f>IF(D11="","",VLOOKUP(D11,'Списки участников'!A:K,12,FALSE))</f>
        <v>#N/A</v>
      </c>
      <c r="F11" s="491">
        <f>'4Ф КРУГ'!B23</f>
        <v>0</v>
      </c>
      <c r="G11" s="922" t="e">
        <f>IF(F11="","",VLOOKUP(F11,'Списки участников'!A:K,12,FALSE))</f>
        <v>#N/A</v>
      </c>
      <c r="H11" s="485"/>
      <c r="I11" s="922" t="str">
        <f>IF(H11="","",VLOOKUP(H11,'Списки участников'!A:K,12,FALSE))</f>
        <v/>
      </c>
      <c r="J11" s="915"/>
      <c r="K11" s="915"/>
      <c r="L11" s="915"/>
      <c r="M11" s="914"/>
      <c r="N11" s="914"/>
      <c r="O11" s="905" t="str">
        <f t="shared" si="0"/>
        <v/>
      </c>
      <c r="P11" s="930" t="str">
        <f t="shared" si="1"/>
        <v/>
      </c>
      <c r="Q11" s="931"/>
    </row>
    <row r="12" spans="1:17" ht="15.75" thickBot="1" x14ac:dyDescent="0.3">
      <c r="A12" s="486">
        <v>8</v>
      </c>
      <c r="B12" s="492">
        <v>1</v>
      </c>
      <c r="C12" s="493" t="s">
        <v>973</v>
      </c>
      <c r="D12" s="494">
        <f>'4Ф КРУГ'!B19</f>
        <v>0</v>
      </c>
      <c r="E12" s="701" t="e">
        <f>IF(D12="","",VLOOKUP(D12,'Списки участников'!A:K,12,FALSE))</f>
        <v>#N/A</v>
      </c>
      <c r="F12" s="494">
        <f>'4Ф КРУГ'!B21</f>
        <v>0</v>
      </c>
      <c r="G12" s="701" t="e">
        <f>IF(F12="","",VLOOKUP(F12,'Списки участников'!A:K,12,FALSE))</f>
        <v>#N/A</v>
      </c>
      <c r="H12" s="484"/>
      <c r="I12" s="701" t="str">
        <f>IF(H12="","",VLOOKUP(H12,'Списки участников'!A:K,12,FALSE))</f>
        <v/>
      </c>
      <c r="J12" s="702"/>
      <c r="K12" s="702"/>
      <c r="L12" s="702"/>
      <c r="M12" s="702"/>
      <c r="N12" s="702"/>
      <c r="O12" s="932" t="str">
        <f t="shared" si="0"/>
        <v/>
      </c>
      <c r="P12" s="933" t="str">
        <f t="shared" si="1"/>
        <v/>
      </c>
      <c r="Q12" s="701"/>
    </row>
    <row r="13" spans="1:17" x14ac:dyDescent="0.25">
      <c r="A13" s="486">
        <v>9</v>
      </c>
      <c r="B13" s="495">
        <v>2</v>
      </c>
      <c r="C13" s="911" t="s">
        <v>2677</v>
      </c>
      <c r="D13" s="485">
        <f>'4Ф КРУГ'!B5</f>
        <v>0</v>
      </c>
      <c r="E13" s="922" t="e">
        <f>IF(D13="","",VLOOKUP(D13,'Списки участников'!A:K,12,FALSE))</f>
        <v>#N/A</v>
      </c>
      <c r="F13" s="485">
        <f>'4Ф КРУГ'!B33</f>
        <v>0</v>
      </c>
      <c r="G13" s="922" t="e">
        <f>IF(F13="","",VLOOKUP(F13,'Списки участников'!A:K,12,FALSE))</f>
        <v>#N/A</v>
      </c>
      <c r="H13" s="485"/>
      <c r="I13" s="922" t="str">
        <f>IF(H13="","",VLOOKUP(H13,'Списки участников'!A:K,12,FALSE))</f>
        <v/>
      </c>
      <c r="J13" s="915"/>
      <c r="K13" s="915"/>
      <c r="L13" s="915"/>
      <c r="M13" s="915"/>
      <c r="N13" s="915"/>
      <c r="O13" s="905" t="str">
        <f t="shared" si="0"/>
        <v/>
      </c>
      <c r="P13" s="930" t="str">
        <f t="shared" si="1"/>
        <v/>
      </c>
      <c r="Q13" s="922"/>
    </row>
    <row r="14" spans="1:17" x14ac:dyDescent="0.25">
      <c r="A14" s="486">
        <v>10</v>
      </c>
      <c r="B14" s="487">
        <v>2</v>
      </c>
      <c r="C14" s="906" t="s">
        <v>2625</v>
      </c>
      <c r="D14" s="484">
        <f>'4Ф КРУГ'!B31</f>
        <v>0</v>
      </c>
      <c r="E14" s="922" t="e">
        <f>IF(D14="","",VLOOKUP(D14,'Списки участников'!A:K,12,FALSE))</f>
        <v>#N/A</v>
      </c>
      <c r="F14" s="484">
        <f>'4Ф КРУГ'!B35</f>
        <v>0</v>
      </c>
      <c r="G14" s="922" t="e">
        <f>IF(F14="","",VLOOKUP(F14,'Списки участников'!A:K,12,FALSE))</f>
        <v>#N/A</v>
      </c>
      <c r="H14" s="484"/>
      <c r="I14" s="922" t="str">
        <f>IF(H14="","",VLOOKUP(H14,'Списки участников'!A:K,12,FALSE))</f>
        <v/>
      </c>
      <c r="J14" s="486"/>
      <c r="K14" s="486"/>
      <c r="L14" s="486"/>
      <c r="M14" s="486"/>
      <c r="N14" s="486"/>
      <c r="O14" s="905" t="str">
        <f t="shared" si="0"/>
        <v/>
      </c>
      <c r="P14" s="930" t="str">
        <f t="shared" si="1"/>
        <v/>
      </c>
      <c r="Q14" s="931"/>
    </row>
    <row r="15" spans="1:17" x14ac:dyDescent="0.25">
      <c r="A15" s="486">
        <v>11</v>
      </c>
      <c r="B15" s="487">
        <v>2</v>
      </c>
      <c r="C15" s="488" t="s">
        <v>974</v>
      </c>
      <c r="D15" s="484">
        <f>'4Ф КРУГ'!B7</f>
        <v>0</v>
      </c>
      <c r="E15" s="922" t="e">
        <f>IF(D15="","",VLOOKUP(D15,'Списки участников'!A:K,12,FALSE))</f>
        <v>#N/A</v>
      </c>
      <c r="F15" s="484">
        <f>'4Ф КРУГ'!B29</f>
        <v>0</v>
      </c>
      <c r="G15" s="922" t="e">
        <f>IF(F15="","",VLOOKUP(F15,'Списки участников'!A:K,12,FALSE))</f>
        <v>#N/A</v>
      </c>
      <c r="H15" s="484"/>
      <c r="I15" s="922" t="str">
        <f>IF(H15="","",VLOOKUP(H15,'Списки участников'!A:K,12,FALSE))</f>
        <v/>
      </c>
      <c r="J15" s="486"/>
      <c r="K15" s="486"/>
      <c r="L15" s="486"/>
      <c r="M15" s="486"/>
      <c r="N15" s="486"/>
      <c r="O15" s="905" t="str">
        <f t="shared" si="0"/>
        <v/>
      </c>
      <c r="P15" s="930" t="str">
        <f t="shared" si="1"/>
        <v/>
      </c>
      <c r="Q15" s="931"/>
    </row>
    <row r="16" spans="1:17" x14ac:dyDescent="0.25">
      <c r="A16" s="486">
        <v>12</v>
      </c>
      <c r="B16" s="487">
        <v>2</v>
      </c>
      <c r="C16" s="488" t="s">
        <v>975</v>
      </c>
      <c r="D16" s="484">
        <f>'4Ф КРУГ'!B9</f>
        <v>0</v>
      </c>
      <c r="E16" s="922" t="e">
        <f>IF(D16="","",VLOOKUP(D16,'Списки участников'!A:K,12,FALSE))</f>
        <v>#N/A</v>
      </c>
      <c r="F16" s="484">
        <f>'4Ф КРУГ'!B27</f>
        <v>0</v>
      </c>
      <c r="G16" s="922" t="e">
        <f>IF(F16="","",VLOOKUP(F16,'Списки участников'!A:K,12,FALSE))</f>
        <v>#N/A</v>
      </c>
      <c r="H16" s="484"/>
      <c r="I16" s="922" t="str">
        <f>IF(H16="","",VLOOKUP(H16,'Списки участников'!A:K,12,FALSE))</f>
        <v/>
      </c>
      <c r="J16" s="486"/>
      <c r="K16" s="486"/>
      <c r="L16" s="486"/>
      <c r="M16" s="486"/>
      <c r="N16" s="486"/>
      <c r="O16" s="905" t="str">
        <f t="shared" si="0"/>
        <v/>
      </c>
      <c r="P16" s="930" t="str">
        <f t="shared" si="1"/>
        <v/>
      </c>
      <c r="Q16" s="931"/>
    </row>
    <row r="17" spans="1:17" x14ac:dyDescent="0.25">
      <c r="A17" s="486">
        <v>13</v>
      </c>
      <c r="B17" s="489">
        <v>2</v>
      </c>
      <c r="C17" s="488" t="s">
        <v>976</v>
      </c>
      <c r="D17" s="484">
        <f>'4Ф КРУГ'!B11</f>
        <v>0</v>
      </c>
      <c r="E17" s="922" t="e">
        <f>IF(D17="","",VLOOKUP(D17,'Списки участников'!A:K,12,FALSE))</f>
        <v>#N/A</v>
      </c>
      <c r="F17" s="484">
        <f>'4Ф КРУГ'!B25</f>
        <v>0</v>
      </c>
      <c r="G17" s="922" t="e">
        <f>IF(F17="","",VLOOKUP(F17,'Списки участников'!A:K,12,FALSE))</f>
        <v>#N/A</v>
      </c>
      <c r="H17" s="484"/>
      <c r="I17" s="922" t="str">
        <f>IF(H17="","",VLOOKUP(H17,'Списки участников'!A:K,12,FALSE))</f>
        <v/>
      </c>
      <c r="J17" s="486"/>
      <c r="K17" s="486"/>
      <c r="L17" s="486"/>
      <c r="M17" s="486"/>
      <c r="N17" s="486"/>
      <c r="O17" s="905" t="str">
        <f t="shared" si="0"/>
        <v/>
      </c>
      <c r="P17" s="930" t="str">
        <f t="shared" si="1"/>
        <v/>
      </c>
      <c r="Q17" s="931"/>
    </row>
    <row r="18" spans="1:17" x14ac:dyDescent="0.25">
      <c r="A18" s="486">
        <v>14</v>
      </c>
      <c r="B18" s="487">
        <v>2</v>
      </c>
      <c r="C18" s="490" t="s">
        <v>977</v>
      </c>
      <c r="D18" s="491">
        <f>'4Ф КРУГ'!B13</f>
        <v>0</v>
      </c>
      <c r="E18" s="922" t="e">
        <f>IF(D18="","",VLOOKUP(D18,'Списки участников'!A:K,12,FALSE))</f>
        <v>#N/A</v>
      </c>
      <c r="F18" s="484">
        <f>'4Ф КРУГ'!B23</f>
        <v>0</v>
      </c>
      <c r="G18" s="922" t="e">
        <f>IF(F18="","",VLOOKUP(F18,'Списки участников'!A:K,12,FALSE))</f>
        <v>#N/A</v>
      </c>
      <c r="H18" s="491"/>
      <c r="I18" s="922" t="str">
        <f>IF(H18="","",VLOOKUP(H18,'Списки участников'!A:K,12,FALSE))</f>
        <v/>
      </c>
      <c r="J18" s="914"/>
      <c r="K18" s="914"/>
      <c r="L18" s="914"/>
      <c r="M18" s="914"/>
      <c r="N18" s="914"/>
      <c r="O18" s="905" t="str">
        <f t="shared" si="0"/>
        <v/>
      </c>
      <c r="P18" s="930" t="str">
        <f t="shared" si="1"/>
        <v/>
      </c>
      <c r="Q18" s="931"/>
    </row>
    <row r="19" spans="1:17" x14ac:dyDescent="0.25">
      <c r="A19" s="486">
        <v>15</v>
      </c>
      <c r="B19" s="487">
        <v>2</v>
      </c>
      <c r="C19" s="490" t="s">
        <v>978</v>
      </c>
      <c r="D19" s="491">
        <f>'4Ф КРУГ'!B15</f>
        <v>0</v>
      </c>
      <c r="E19" s="922" t="e">
        <f>IF(D19="","",VLOOKUP(D19,'Списки участников'!A:K,12,FALSE))</f>
        <v>#N/A</v>
      </c>
      <c r="F19" s="484">
        <f>'4Ф КРУГ'!B21</f>
        <v>0</v>
      </c>
      <c r="G19" s="922" t="e">
        <f>IF(F19="","",VLOOKUP(F19,'Списки участников'!A:K,12,FALSE))</f>
        <v>#N/A</v>
      </c>
      <c r="H19" s="491"/>
      <c r="I19" s="922" t="str">
        <f>IF(H19="","",VLOOKUP(H19,'Списки участников'!A:K,12,FALSE))</f>
        <v/>
      </c>
      <c r="J19" s="914"/>
      <c r="K19" s="914"/>
      <c r="L19" s="914"/>
      <c r="M19" s="914"/>
      <c r="N19" s="914"/>
      <c r="O19" s="905" t="str">
        <f t="shared" si="0"/>
        <v/>
      </c>
      <c r="P19" s="930" t="str">
        <f t="shared" si="1"/>
        <v/>
      </c>
      <c r="Q19" s="931"/>
    </row>
    <row r="20" spans="1:17" ht="15.75" thickBot="1" x14ac:dyDescent="0.3">
      <c r="A20" s="486">
        <v>16</v>
      </c>
      <c r="B20" s="492">
        <v>2</v>
      </c>
      <c r="C20" s="493" t="s">
        <v>979</v>
      </c>
      <c r="D20" s="494">
        <f>'4Ф КРУГ'!B17</f>
        <v>0</v>
      </c>
      <c r="E20" s="701" t="e">
        <f>IF(D20="","",VLOOKUP(D20,'Списки участников'!A:K,12,FALSE))</f>
        <v>#N/A</v>
      </c>
      <c r="F20" s="494">
        <f>'4Ф КРУГ'!B19</f>
        <v>0</v>
      </c>
      <c r="G20" s="701" t="e">
        <f>IF(F20="","",VLOOKUP(F20,'Списки участников'!A:K,12,FALSE))</f>
        <v>#N/A</v>
      </c>
      <c r="H20" s="494"/>
      <c r="I20" s="701" t="str">
        <f>IF(H20="","",VLOOKUP(H20,'Списки участников'!A:K,12,FALSE))</f>
        <v/>
      </c>
      <c r="J20" s="702"/>
      <c r="K20" s="702"/>
      <c r="L20" s="702"/>
      <c r="M20" s="702"/>
      <c r="N20" s="702"/>
      <c r="O20" s="932" t="str">
        <f t="shared" si="0"/>
        <v/>
      </c>
      <c r="P20" s="933" t="str">
        <f t="shared" si="1"/>
        <v/>
      </c>
      <c r="Q20" s="701"/>
    </row>
    <row r="21" spans="1:17" ht="15" customHeight="1" x14ac:dyDescent="0.25">
      <c r="A21" s="486">
        <v>17</v>
      </c>
      <c r="B21" s="482">
        <v>3</v>
      </c>
      <c r="C21" s="483" t="s">
        <v>980</v>
      </c>
      <c r="D21" s="485">
        <f>'4Ф КРУГ'!B5</f>
        <v>0</v>
      </c>
      <c r="E21" s="922" t="e">
        <f>IF(D21="","",VLOOKUP(D21,'Списки участников'!A:K,12,FALSE))</f>
        <v>#N/A</v>
      </c>
      <c r="F21" s="485">
        <f>'4Ф КРУГ'!B31</f>
        <v>0</v>
      </c>
      <c r="G21" s="922" t="e">
        <f>IF(F21="","",VLOOKUP(F21,'Списки участников'!A:K,12,FALSE))</f>
        <v>#N/A</v>
      </c>
      <c r="H21" s="485"/>
      <c r="I21" s="922" t="str">
        <f>IF(H21="","",VLOOKUP(H21,'Списки участников'!A:K,12,FALSE))</f>
        <v/>
      </c>
      <c r="J21" s="915"/>
      <c r="K21" s="915"/>
      <c r="L21" s="915"/>
      <c r="M21" s="915"/>
      <c r="N21" s="915"/>
      <c r="O21" s="905" t="str">
        <f t="shared" si="0"/>
        <v/>
      </c>
      <c r="P21" s="930" t="str">
        <f t="shared" si="1"/>
        <v/>
      </c>
      <c r="Q21" s="922"/>
    </row>
    <row r="22" spans="1:17" x14ac:dyDescent="0.25">
      <c r="A22" s="486">
        <v>18</v>
      </c>
      <c r="B22" s="496">
        <v>3</v>
      </c>
      <c r="C22" s="906" t="s">
        <v>2627</v>
      </c>
      <c r="D22" s="484">
        <f>'4Ф КРУГ'!B29</f>
        <v>0</v>
      </c>
      <c r="E22" s="922" t="e">
        <f>IF(D22="","",VLOOKUP(D22,'Списки участников'!A:K,12,FALSE))</f>
        <v>#N/A</v>
      </c>
      <c r="F22" s="485">
        <f>'4Ф КРУГ'!B33</f>
        <v>0</v>
      </c>
      <c r="G22" s="922" t="e">
        <f>IF(F22="","",VLOOKUP(F22,'Списки участников'!A:K,12,FALSE))</f>
        <v>#N/A</v>
      </c>
      <c r="H22" s="484"/>
      <c r="I22" s="922" t="str">
        <f>IF(H22="","",VLOOKUP(H22,'Списки участников'!A:K,12,FALSE))</f>
        <v/>
      </c>
      <c r="J22" s="915"/>
      <c r="K22" s="915"/>
      <c r="L22" s="915"/>
      <c r="M22" s="486"/>
      <c r="N22" s="486"/>
      <c r="O22" s="905" t="str">
        <f t="shared" si="0"/>
        <v/>
      </c>
      <c r="P22" s="930" t="str">
        <f t="shared" si="1"/>
        <v/>
      </c>
      <c r="Q22" s="931"/>
    </row>
    <row r="23" spans="1:17" ht="15" customHeight="1" x14ac:dyDescent="0.25">
      <c r="A23" s="486">
        <v>19</v>
      </c>
      <c r="B23" s="496">
        <v>3</v>
      </c>
      <c r="C23" s="906" t="s">
        <v>2628</v>
      </c>
      <c r="D23" s="484">
        <f>'4Ф КРУГ'!B27</f>
        <v>0</v>
      </c>
      <c r="E23" s="922" t="e">
        <f>IF(D23="","",VLOOKUP(D23,'Списки участников'!A:K,12,FALSE))</f>
        <v>#N/A</v>
      </c>
      <c r="F23" s="485">
        <f>'4Ф КРУГ'!B35</f>
        <v>0</v>
      </c>
      <c r="G23" s="922" t="e">
        <f>IF(F23="","",VLOOKUP(F23,'Списки участников'!A:K,12,FALSE))</f>
        <v>#N/A</v>
      </c>
      <c r="H23" s="484"/>
      <c r="I23" s="922" t="str">
        <f>IF(H23="","",VLOOKUP(H23,'Списки участников'!A:K,12,FALSE))</f>
        <v/>
      </c>
      <c r="J23" s="915"/>
      <c r="K23" s="915"/>
      <c r="L23" s="915"/>
      <c r="M23" s="486"/>
      <c r="N23" s="486"/>
      <c r="O23" s="905" t="str">
        <f t="shared" si="0"/>
        <v/>
      </c>
      <c r="P23" s="930" t="str">
        <f t="shared" si="1"/>
        <v/>
      </c>
      <c r="Q23" s="931"/>
    </row>
    <row r="24" spans="1:17" x14ac:dyDescent="0.25">
      <c r="A24" s="486">
        <v>20</v>
      </c>
      <c r="B24" s="496">
        <v>3</v>
      </c>
      <c r="C24" s="488" t="s">
        <v>981</v>
      </c>
      <c r="D24" s="484">
        <f>'4Ф КРУГ'!B7</f>
        <v>0</v>
      </c>
      <c r="E24" s="922" t="e">
        <f>IF(D24="","",VLOOKUP(D24,'Списки участников'!A:K,12,FALSE))</f>
        <v>#N/A</v>
      </c>
      <c r="F24" s="485">
        <f>'4Ф КРУГ'!B25</f>
        <v>0</v>
      </c>
      <c r="G24" s="922" t="e">
        <f>IF(F24="","",VLOOKUP(F24,'Списки участников'!A:K,12,FALSE))</f>
        <v>#N/A</v>
      </c>
      <c r="H24" s="484"/>
      <c r="I24" s="922" t="str">
        <f>IF(H24="","",VLOOKUP(H24,'Списки участников'!A:K,12,FALSE))</f>
        <v/>
      </c>
      <c r="J24" s="915"/>
      <c r="K24" s="915"/>
      <c r="L24" s="915"/>
      <c r="M24" s="486"/>
      <c r="N24" s="486"/>
      <c r="O24" s="905" t="str">
        <f t="shared" si="0"/>
        <v/>
      </c>
      <c r="P24" s="930" t="str">
        <f t="shared" si="1"/>
        <v/>
      </c>
      <c r="Q24" s="931"/>
    </row>
    <row r="25" spans="1:17" x14ac:dyDescent="0.25">
      <c r="A25" s="486">
        <v>21</v>
      </c>
      <c r="B25" s="489">
        <v>3</v>
      </c>
      <c r="C25" s="488" t="s">
        <v>982</v>
      </c>
      <c r="D25" s="484">
        <f>'4Ф КРУГ'!B9</f>
        <v>0</v>
      </c>
      <c r="E25" s="922" t="e">
        <f>IF(D25="","",VLOOKUP(D25,'Списки участников'!A:K,12,FALSE))</f>
        <v>#N/A</v>
      </c>
      <c r="F25" s="485">
        <f>'4Ф КРУГ'!B23</f>
        <v>0</v>
      </c>
      <c r="G25" s="922" t="e">
        <f>IF(F25="","",VLOOKUP(F25,'Списки участников'!A:K,12,FALSE))</f>
        <v>#N/A</v>
      </c>
      <c r="H25" s="484"/>
      <c r="I25" s="922" t="str">
        <f>IF(H25="","",VLOOKUP(H25,'Списки участников'!A:K,12,FALSE))</f>
        <v/>
      </c>
      <c r="J25" s="915"/>
      <c r="K25" s="915"/>
      <c r="L25" s="915"/>
      <c r="M25" s="486"/>
      <c r="N25" s="486"/>
      <c r="O25" s="905" t="str">
        <f t="shared" si="0"/>
        <v/>
      </c>
      <c r="P25" s="930" t="str">
        <f t="shared" si="1"/>
        <v/>
      </c>
      <c r="Q25" s="931"/>
    </row>
    <row r="26" spans="1:17" x14ac:dyDescent="0.25">
      <c r="A26" s="486">
        <v>22</v>
      </c>
      <c r="B26" s="496">
        <v>3</v>
      </c>
      <c r="C26" s="490" t="s">
        <v>983</v>
      </c>
      <c r="D26" s="491">
        <f>'4Ф КРУГ'!B11</f>
        <v>0</v>
      </c>
      <c r="E26" s="922" t="e">
        <f>IF(D26="","",VLOOKUP(D26,'Списки участников'!A:K,12,FALSE))</f>
        <v>#N/A</v>
      </c>
      <c r="F26" s="485">
        <f>'4Ф КРУГ'!B21</f>
        <v>0</v>
      </c>
      <c r="G26" s="922" t="e">
        <f>IF(F26="","",VLOOKUP(F26,'Списки участников'!A:K,12,FALSE))</f>
        <v>#N/A</v>
      </c>
      <c r="H26" s="491"/>
      <c r="I26" s="922" t="str">
        <f>IF(H26="","",VLOOKUP(H26,'Списки участников'!A:K,12,FALSE))</f>
        <v/>
      </c>
      <c r="J26" s="915"/>
      <c r="K26" s="915"/>
      <c r="L26" s="915"/>
      <c r="M26" s="914"/>
      <c r="N26" s="914"/>
      <c r="O26" s="905" t="str">
        <f t="shared" si="0"/>
        <v/>
      </c>
      <c r="P26" s="930" t="str">
        <f t="shared" si="1"/>
        <v/>
      </c>
      <c r="Q26" s="931"/>
    </row>
    <row r="27" spans="1:17" x14ac:dyDescent="0.25">
      <c r="A27" s="486">
        <v>23</v>
      </c>
      <c r="B27" s="496">
        <v>3</v>
      </c>
      <c r="C27" s="490" t="s">
        <v>984</v>
      </c>
      <c r="D27" s="491">
        <f>'4Ф КРУГ'!B13</f>
        <v>0</v>
      </c>
      <c r="E27" s="922" t="e">
        <f>IF(D27="","",VLOOKUP(D27,'Списки участников'!A:K,12,FALSE))</f>
        <v>#N/A</v>
      </c>
      <c r="F27" s="485">
        <f>'4Ф КРУГ'!B19</f>
        <v>0</v>
      </c>
      <c r="G27" s="922" t="e">
        <f>IF(F27="","",VLOOKUP(F27,'Списки участников'!A:K,12,FALSE))</f>
        <v>#N/A</v>
      </c>
      <c r="H27" s="491"/>
      <c r="I27" s="922" t="str">
        <f>IF(H27="","",VLOOKUP(H27,'Списки участников'!A:K,12,FALSE))</f>
        <v/>
      </c>
      <c r="J27" s="915"/>
      <c r="K27" s="915"/>
      <c r="L27" s="915"/>
      <c r="M27" s="914"/>
      <c r="N27" s="914"/>
      <c r="O27" s="905" t="str">
        <f t="shared" si="0"/>
        <v/>
      </c>
      <c r="P27" s="930" t="str">
        <f t="shared" si="1"/>
        <v/>
      </c>
      <c r="Q27" s="931"/>
    </row>
    <row r="28" spans="1:17" ht="15.75" thickBot="1" x14ac:dyDescent="0.3">
      <c r="A28" s="486">
        <v>24</v>
      </c>
      <c r="B28" s="500">
        <v>3</v>
      </c>
      <c r="C28" s="493" t="s">
        <v>985</v>
      </c>
      <c r="D28" s="494">
        <f>'4Ф КРУГ'!B15</f>
        <v>0</v>
      </c>
      <c r="E28" s="701" t="e">
        <f>IF(D28="","",VLOOKUP(D28,'Списки участников'!A:K,12,FALSE))</f>
        <v>#N/A</v>
      </c>
      <c r="F28" s="494">
        <f>'4Ф КРУГ'!B17</f>
        <v>0</v>
      </c>
      <c r="G28" s="701" t="e">
        <f>IF(F28="","",VLOOKUP(F28,'Списки участников'!A:K,12,FALSE))</f>
        <v>#N/A</v>
      </c>
      <c r="H28" s="494"/>
      <c r="I28" s="701" t="str">
        <f>IF(H28="","",VLOOKUP(H28,'Списки участников'!A:K,12,FALSE))</f>
        <v/>
      </c>
      <c r="J28" s="702"/>
      <c r="K28" s="702"/>
      <c r="L28" s="702"/>
      <c r="M28" s="702"/>
      <c r="N28" s="702"/>
      <c r="O28" s="932" t="str">
        <f t="shared" si="0"/>
        <v/>
      </c>
      <c r="P28" s="933" t="str">
        <f t="shared" si="1"/>
        <v/>
      </c>
      <c r="Q28" s="701"/>
    </row>
    <row r="29" spans="1:17" x14ac:dyDescent="0.25">
      <c r="A29" s="486">
        <v>25</v>
      </c>
      <c r="B29" s="496">
        <v>4</v>
      </c>
      <c r="C29" s="907" t="s">
        <v>2629</v>
      </c>
      <c r="D29" s="485">
        <f>'4Ф КРУГ'!B5</f>
        <v>0</v>
      </c>
      <c r="E29" s="922" t="e">
        <f>IF(D29="","",VLOOKUP(D29,'Списки участников'!A:K,12,FALSE))</f>
        <v>#N/A</v>
      </c>
      <c r="F29" s="485">
        <f>'4Ф КРУГ'!B29</f>
        <v>0</v>
      </c>
      <c r="G29" s="922" t="e">
        <f>IF(F29="","",VLOOKUP(F29,'Списки участников'!A:K,12,FALSE))</f>
        <v>#N/A</v>
      </c>
      <c r="H29" s="485"/>
      <c r="I29" s="922" t="str">
        <f>IF(H29="","",VLOOKUP(H29,'Списки участников'!A:K,12,FALSE))</f>
        <v/>
      </c>
      <c r="J29" s="915"/>
      <c r="K29" s="915"/>
      <c r="L29" s="915"/>
      <c r="M29" s="915"/>
      <c r="N29" s="915"/>
      <c r="O29" s="905" t="str">
        <f t="shared" si="0"/>
        <v/>
      </c>
      <c r="P29" s="930" t="str">
        <f t="shared" si="1"/>
        <v/>
      </c>
      <c r="Q29" s="922"/>
    </row>
    <row r="30" spans="1:17" x14ac:dyDescent="0.25">
      <c r="A30" s="486">
        <v>26</v>
      </c>
      <c r="B30" s="496">
        <v>4</v>
      </c>
      <c r="C30" s="906" t="s">
        <v>2630</v>
      </c>
      <c r="D30" s="484">
        <f>'4Ф КРУГ'!B27</f>
        <v>0</v>
      </c>
      <c r="E30" s="922" t="e">
        <f>IF(D30="","",VLOOKUP(D30,'Списки участников'!A:K,12,FALSE))</f>
        <v>#N/A</v>
      </c>
      <c r="F30" s="484">
        <f>'4Ф КРУГ'!B31</f>
        <v>0</v>
      </c>
      <c r="G30" s="922" t="e">
        <f>IF(F30="","",VLOOKUP(F30,'Списки участников'!A:K,12,FALSE))</f>
        <v>#N/A</v>
      </c>
      <c r="H30" s="484"/>
      <c r="I30" s="922" t="str">
        <f>IF(H30="","",VLOOKUP(H30,'Списки участников'!A:K,12,FALSE))</f>
        <v/>
      </c>
      <c r="J30" s="915"/>
      <c r="K30" s="915"/>
      <c r="L30" s="915"/>
      <c r="M30" s="486"/>
      <c r="N30" s="486"/>
      <c r="O30" s="905" t="str">
        <f t="shared" si="0"/>
        <v/>
      </c>
      <c r="P30" s="930" t="str">
        <f t="shared" si="1"/>
        <v/>
      </c>
      <c r="Q30" s="931"/>
    </row>
    <row r="31" spans="1:17" x14ac:dyDescent="0.25">
      <c r="A31" s="486">
        <v>27</v>
      </c>
      <c r="B31" s="498">
        <v>4</v>
      </c>
      <c r="C31" s="906" t="s">
        <v>2631</v>
      </c>
      <c r="D31" s="484">
        <f>'4Ф КРУГ'!B25</f>
        <v>0</v>
      </c>
      <c r="E31" s="922" t="e">
        <f>IF(D31="","",VLOOKUP(D31,'Списки участников'!A:K,12,FALSE))</f>
        <v>#N/A</v>
      </c>
      <c r="F31" s="484">
        <f>'4Ф КРУГ'!B33</f>
        <v>0</v>
      </c>
      <c r="G31" s="922" t="e">
        <f>IF(F31="","",VLOOKUP(F31,'Списки участников'!A:K,12,FALSE))</f>
        <v>#N/A</v>
      </c>
      <c r="H31" s="484"/>
      <c r="I31" s="922" t="str">
        <f>IF(H31="","",VLOOKUP(H31,'Списки участников'!A:K,12,FALSE))</f>
        <v/>
      </c>
      <c r="J31" s="915"/>
      <c r="K31" s="915"/>
      <c r="L31" s="915"/>
      <c r="M31" s="486"/>
      <c r="N31" s="486"/>
      <c r="O31" s="905" t="str">
        <f t="shared" si="0"/>
        <v/>
      </c>
      <c r="P31" s="930" t="str">
        <f t="shared" si="1"/>
        <v/>
      </c>
      <c r="Q31" s="931"/>
    </row>
    <row r="32" spans="1:17" x14ac:dyDescent="0.25">
      <c r="A32" s="486">
        <v>28</v>
      </c>
      <c r="B32" s="496">
        <v>4</v>
      </c>
      <c r="C32" s="906" t="s">
        <v>2632</v>
      </c>
      <c r="D32" s="484">
        <f>'4Ф КРУГ'!B23</f>
        <v>0</v>
      </c>
      <c r="E32" s="922" t="e">
        <f>IF(D32="","",VLOOKUP(D32,'Списки участников'!A:K,12,FALSE))</f>
        <v>#N/A</v>
      </c>
      <c r="F32" s="484">
        <f>'4Ф КРУГ'!B35</f>
        <v>0</v>
      </c>
      <c r="G32" s="922" t="e">
        <f>IF(F32="","",VLOOKUP(F32,'Списки участников'!A:K,12,FALSE))</f>
        <v>#N/A</v>
      </c>
      <c r="H32" s="484"/>
      <c r="I32" s="922" t="str">
        <f>IF(H32="","",VLOOKUP(H32,'Списки участников'!A:K,12,FALSE))</f>
        <v/>
      </c>
      <c r="J32" s="915"/>
      <c r="K32" s="915"/>
      <c r="L32" s="915"/>
      <c r="M32" s="486"/>
      <c r="N32" s="486"/>
      <c r="O32" s="905" t="str">
        <f t="shared" si="0"/>
        <v/>
      </c>
      <c r="P32" s="930" t="str">
        <f t="shared" si="1"/>
        <v/>
      </c>
      <c r="Q32" s="931"/>
    </row>
    <row r="33" spans="1:17" x14ac:dyDescent="0.25">
      <c r="A33" s="486">
        <v>29</v>
      </c>
      <c r="B33" s="499">
        <v>4</v>
      </c>
      <c r="C33" s="488" t="s">
        <v>986</v>
      </c>
      <c r="D33" s="484">
        <f>'4Ф КРУГ'!B7</f>
        <v>0</v>
      </c>
      <c r="E33" s="922" t="e">
        <f>IF(D33="","",VLOOKUP(D33,'Списки участников'!A:K,12,FALSE))</f>
        <v>#N/A</v>
      </c>
      <c r="F33" s="484">
        <f>'4Ф КРУГ'!B21</f>
        <v>0</v>
      </c>
      <c r="G33" s="922" t="e">
        <f>IF(F33="","",VLOOKUP(F33,'Списки участников'!A:K,12,FALSE))</f>
        <v>#N/A</v>
      </c>
      <c r="H33" s="484"/>
      <c r="I33" s="922" t="str">
        <f>IF(H33="","",VLOOKUP(H33,'Списки участников'!A:K,12,FALSE))</f>
        <v/>
      </c>
      <c r="J33" s="915"/>
      <c r="K33" s="915"/>
      <c r="L33" s="915"/>
      <c r="M33" s="486"/>
      <c r="N33" s="486"/>
      <c r="O33" s="905" t="str">
        <f t="shared" si="0"/>
        <v/>
      </c>
      <c r="P33" s="930" t="str">
        <f t="shared" si="1"/>
        <v/>
      </c>
      <c r="Q33" s="931"/>
    </row>
    <row r="34" spans="1:17" x14ac:dyDescent="0.25">
      <c r="A34" s="486">
        <v>30</v>
      </c>
      <c r="B34" s="496">
        <v>4</v>
      </c>
      <c r="C34" s="490" t="s">
        <v>987</v>
      </c>
      <c r="D34" s="491">
        <f>'4Ф КРУГ'!B9</f>
        <v>0</v>
      </c>
      <c r="E34" s="922" t="e">
        <f>IF(D34="","",VLOOKUP(D34,'Списки участников'!A:K,12,FALSE))</f>
        <v>#N/A</v>
      </c>
      <c r="F34" s="484">
        <f>'4Ф КРУГ'!B19</f>
        <v>0</v>
      </c>
      <c r="G34" s="922" t="e">
        <f>IF(F34="","",VLOOKUP(F34,'Списки участников'!A:K,12,FALSE))</f>
        <v>#N/A</v>
      </c>
      <c r="H34" s="491"/>
      <c r="I34" s="922" t="str">
        <f>IF(H34="","",VLOOKUP(H34,'Списки участников'!A:K,12,FALSE))</f>
        <v/>
      </c>
      <c r="J34" s="915"/>
      <c r="K34" s="915"/>
      <c r="L34" s="915"/>
      <c r="M34" s="914"/>
      <c r="N34" s="914"/>
      <c r="O34" s="905" t="str">
        <f t="shared" si="0"/>
        <v/>
      </c>
      <c r="P34" s="930" t="str">
        <f t="shared" si="1"/>
        <v/>
      </c>
      <c r="Q34" s="931"/>
    </row>
    <row r="35" spans="1:17" x14ac:dyDescent="0.25">
      <c r="A35" s="486">
        <v>31</v>
      </c>
      <c r="B35" s="498">
        <v>4</v>
      </c>
      <c r="C35" s="490" t="s">
        <v>988</v>
      </c>
      <c r="D35" s="491">
        <f>'4Ф КРУГ'!B11</f>
        <v>0</v>
      </c>
      <c r="E35" s="922" t="e">
        <f>IF(D35="","",VLOOKUP(D35,'Списки участников'!A:K,12,FALSE))</f>
        <v>#N/A</v>
      </c>
      <c r="F35" s="484">
        <f>'4Ф КРУГ'!B17</f>
        <v>0</v>
      </c>
      <c r="G35" s="922" t="e">
        <f>IF(F35="","",VLOOKUP(F35,'Списки участников'!A:K,12,FALSE))</f>
        <v>#N/A</v>
      </c>
      <c r="H35" s="491"/>
      <c r="I35" s="922" t="str">
        <f>IF(H35="","",VLOOKUP(H35,'Списки участников'!A:K,12,FALSE))</f>
        <v/>
      </c>
      <c r="J35" s="915"/>
      <c r="K35" s="915"/>
      <c r="L35" s="915"/>
      <c r="M35" s="914"/>
      <c r="N35" s="914"/>
      <c r="O35" s="905" t="str">
        <f t="shared" si="0"/>
        <v/>
      </c>
      <c r="P35" s="930" t="str">
        <f t="shared" si="1"/>
        <v/>
      </c>
      <c r="Q35" s="931"/>
    </row>
    <row r="36" spans="1:17" ht="15.75" thickBot="1" x14ac:dyDescent="0.3">
      <c r="A36" s="486">
        <v>32</v>
      </c>
      <c r="B36" s="500">
        <v>4</v>
      </c>
      <c r="C36" s="493" t="s">
        <v>989</v>
      </c>
      <c r="D36" s="494">
        <f>'4Ф КРУГ'!B13</f>
        <v>0</v>
      </c>
      <c r="E36" s="701" t="e">
        <f>IF(D36="","",VLOOKUP(D36,'Списки участников'!A:K,12,FALSE))</f>
        <v>#N/A</v>
      </c>
      <c r="F36" s="494">
        <f>'4Ф КРУГ'!B15</f>
        <v>0</v>
      </c>
      <c r="G36" s="701" t="e">
        <f>IF(F36="","",VLOOKUP(F36,'Списки участников'!A:K,12,FALSE))</f>
        <v>#N/A</v>
      </c>
      <c r="H36" s="494"/>
      <c r="I36" s="701" t="str">
        <f>IF(H36="","",VLOOKUP(H36,'Списки участников'!A:K,12,FALSE))</f>
        <v/>
      </c>
      <c r="J36" s="702"/>
      <c r="K36" s="702"/>
      <c r="L36" s="702"/>
      <c r="M36" s="702"/>
      <c r="N36" s="702"/>
      <c r="O36" s="932" t="str">
        <f t="shared" si="0"/>
        <v/>
      </c>
      <c r="P36" s="933" t="str">
        <f t="shared" si="1"/>
        <v/>
      </c>
      <c r="Q36" s="701"/>
    </row>
    <row r="37" spans="1:17" ht="15" customHeight="1" x14ac:dyDescent="0.25">
      <c r="A37" s="486">
        <v>33</v>
      </c>
      <c r="B37" s="496">
        <v>5</v>
      </c>
      <c r="C37" s="483" t="s">
        <v>990</v>
      </c>
      <c r="D37" s="485">
        <f>'4Ф КРУГ'!B5</f>
        <v>0</v>
      </c>
      <c r="E37" s="922" t="e">
        <f>IF(D37="","",VLOOKUP(D37,'Списки участников'!A:K,12,FALSE))</f>
        <v>#N/A</v>
      </c>
      <c r="F37" s="485">
        <f>'4Ф КРУГ'!B27</f>
        <v>0</v>
      </c>
      <c r="G37" s="922" t="e">
        <f>IF(F37="","",VLOOKUP(F37,'Списки участников'!A:K,12,FALSE))</f>
        <v>#N/A</v>
      </c>
      <c r="H37" s="485"/>
      <c r="I37" s="922" t="str">
        <f>IF(H37="","",VLOOKUP(H37,'Списки участников'!A:K,12,FALSE))</f>
        <v/>
      </c>
      <c r="J37" s="915"/>
      <c r="K37" s="915"/>
      <c r="L37" s="915"/>
      <c r="M37" s="915"/>
      <c r="N37" s="915"/>
      <c r="O37" s="905" t="str">
        <f t="shared" si="0"/>
        <v/>
      </c>
      <c r="P37" s="930" t="str">
        <f t="shared" si="1"/>
        <v/>
      </c>
      <c r="Q37" s="922"/>
    </row>
    <row r="38" spans="1:17" x14ac:dyDescent="0.25">
      <c r="A38" s="486">
        <v>34</v>
      </c>
      <c r="B38" s="496">
        <v>5</v>
      </c>
      <c r="C38" s="906" t="s">
        <v>2633</v>
      </c>
      <c r="D38" s="484">
        <f>'4Ф КРУГ'!B25</f>
        <v>0</v>
      </c>
      <c r="E38" s="922" t="e">
        <f>IF(D38="","",VLOOKUP(D38,'Списки участников'!A:K,12,FALSE))</f>
        <v>#N/A</v>
      </c>
      <c r="F38" s="485">
        <f>'4Ф КРУГ'!B29</f>
        <v>0</v>
      </c>
      <c r="G38" s="922" t="e">
        <f>IF(F38="","",VLOOKUP(F38,'Списки участников'!A:K,12,FALSE))</f>
        <v>#N/A</v>
      </c>
      <c r="H38" s="484"/>
      <c r="I38" s="922" t="str">
        <f>IF(H38="","",VLOOKUP(H38,'Списки участников'!A:K,12,FALSE))</f>
        <v/>
      </c>
      <c r="J38" s="915"/>
      <c r="K38" s="915"/>
      <c r="L38" s="915"/>
      <c r="M38" s="486"/>
      <c r="N38" s="486"/>
      <c r="O38" s="905" t="str">
        <f t="shared" si="0"/>
        <v/>
      </c>
      <c r="P38" s="930" t="str">
        <f t="shared" si="1"/>
        <v/>
      </c>
      <c r="Q38" s="931"/>
    </row>
    <row r="39" spans="1:17" x14ac:dyDescent="0.25">
      <c r="A39" s="486">
        <v>35</v>
      </c>
      <c r="B39" s="496">
        <v>5</v>
      </c>
      <c r="C39" s="906" t="s">
        <v>2634</v>
      </c>
      <c r="D39" s="484">
        <f>'4Ф КРУГ'!B23</f>
        <v>0</v>
      </c>
      <c r="E39" s="922" t="e">
        <f>IF(D39="","",VLOOKUP(D39,'Списки участников'!A:K,12,FALSE))</f>
        <v>#N/A</v>
      </c>
      <c r="F39" s="485">
        <f>'4Ф КРУГ'!B31</f>
        <v>0</v>
      </c>
      <c r="G39" s="922" t="e">
        <f>IF(F39="","",VLOOKUP(F39,'Списки участников'!A:K,12,FALSE))</f>
        <v>#N/A</v>
      </c>
      <c r="H39" s="484"/>
      <c r="I39" s="922" t="str">
        <f>IF(H39="","",VLOOKUP(H39,'Списки участников'!A:K,12,FALSE))</f>
        <v/>
      </c>
      <c r="J39" s="915"/>
      <c r="K39" s="915"/>
      <c r="L39" s="915"/>
      <c r="M39" s="486"/>
      <c r="N39" s="486"/>
      <c r="O39" s="905" t="str">
        <f t="shared" si="0"/>
        <v/>
      </c>
      <c r="P39" s="930" t="str">
        <f t="shared" si="1"/>
        <v/>
      </c>
      <c r="Q39" s="931"/>
    </row>
    <row r="40" spans="1:17" x14ac:dyDescent="0.25">
      <c r="A40" s="486">
        <v>36</v>
      </c>
      <c r="B40" s="496">
        <v>5</v>
      </c>
      <c r="C40" s="906" t="s">
        <v>2635</v>
      </c>
      <c r="D40" s="484">
        <f>'4Ф КРУГ'!B21</f>
        <v>0</v>
      </c>
      <c r="E40" s="922" t="e">
        <f>IF(D40="","",VLOOKUP(D40,'Списки участников'!A:K,12,FALSE))</f>
        <v>#N/A</v>
      </c>
      <c r="F40" s="485">
        <f>'4Ф КРУГ'!B33</f>
        <v>0</v>
      </c>
      <c r="G40" s="922" t="e">
        <f>IF(F40="","",VLOOKUP(F40,'Списки участников'!A:K,12,FALSE))</f>
        <v>#N/A</v>
      </c>
      <c r="H40" s="484"/>
      <c r="I40" s="922" t="str">
        <f>IF(H40="","",VLOOKUP(H40,'Списки участников'!A:K,12,FALSE))</f>
        <v/>
      </c>
      <c r="J40" s="915"/>
      <c r="K40" s="915"/>
      <c r="L40" s="915"/>
      <c r="M40" s="486"/>
      <c r="N40" s="486"/>
      <c r="O40" s="905" t="str">
        <f t="shared" si="0"/>
        <v/>
      </c>
      <c r="P40" s="930" t="str">
        <f t="shared" si="1"/>
        <v/>
      </c>
      <c r="Q40" s="931"/>
    </row>
    <row r="41" spans="1:17" x14ac:dyDescent="0.25">
      <c r="A41" s="486">
        <v>37</v>
      </c>
      <c r="B41" s="489">
        <v>5</v>
      </c>
      <c r="C41" s="906" t="s">
        <v>2636</v>
      </c>
      <c r="D41" s="484">
        <f>'4Ф КРУГ'!B19</f>
        <v>0</v>
      </c>
      <c r="E41" s="922" t="e">
        <f>IF(D41="","",VLOOKUP(D41,'Списки участников'!A:K,12,FALSE))</f>
        <v>#N/A</v>
      </c>
      <c r="F41" s="485">
        <f>'4Ф КРУГ'!B35</f>
        <v>0</v>
      </c>
      <c r="G41" s="922" t="e">
        <f>IF(F41="","",VLOOKUP(F41,'Списки участников'!A:K,12,FALSE))</f>
        <v>#N/A</v>
      </c>
      <c r="H41" s="484"/>
      <c r="I41" s="922" t="str">
        <f>IF(H41="","",VLOOKUP(H41,'Списки участников'!A:K,12,FALSE))</f>
        <v/>
      </c>
      <c r="J41" s="915"/>
      <c r="K41" s="915"/>
      <c r="L41" s="915"/>
      <c r="M41" s="486"/>
      <c r="N41" s="486"/>
      <c r="O41" s="905" t="str">
        <f t="shared" si="0"/>
        <v/>
      </c>
      <c r="P41" s="930" t="str">
        <f t="shared" si="1"/>
        <v/>
      </c>
      <c r="Q41" s="931"/>
    </row>
    <row r="42" spans="1:17" x14ac:dyDescent="0.25">
      <c r="A42" s="486">
        <v>38</v>
      </c>
      <c r="B42" s="496">
        <v>5</v>
      </c>
      <c r="C42" s="490" t="s">
        <v>991</v>
      </c>
      <c r="D42" s="491">
        <f>'4Ф КРУГ'!B7</f>
        <v>0</v>
      </c>
      <c r="E42" s="922" t="e">
        <f>IF(D42="","",VLOOKUP(D42,'Списки участников'!A:K,12,FALSE))</f>
        <v>#N/A</v>
      </c>
      <c r="F42" s="485">
        <f>'4Ф КРУГ'!B17</f>
        <v>0</v>
      </c>
      <c r="G42" s="922" t="e">
        <f>IF(F42="","",VLOOKUP(F42,'Списки участников'!A:K,12,FALSE))</f>
        <v>#N/A</v>
      </c>
      <c r="H42" s="491"/>
      <c r="I42" s="922" t="str">
        <f>IF(H42="","",VLOOKUP(H42,'Списки участников'!A:K,12,FALSE))</f>
        <v/>
      </c>
      <c r="J42" s="915"/>
      <c r="K42" s="915"/>
      <c r="L42" s="915"/>
      <c r="M42" s="914"/>
      <c r="N42" s="914"/>
      <c r="O42" s="905" t="str">
        <f t="shared" si="0"/>
        <v/>
      </c>
      <c r="P42" s="930" t="str">
        <f t="shared" si="1"/>
        <v/>
      </c>
      <c r="Q42" s="931"/>
    </row>
    <row r="43" spans="1:17" x14ac:dyDescent="0.25">
      <c r="A43" s="486">
        <v>39</v>
      </c>
      <c r="B43" s="496">
        <v>5</v>
      </c>
      <c r="C43" s="490" t="s">
        <v>992</v>
      </c>
      <c r="D43" s="491">
        <f>'4Ф КРУГ'!B9</f>
        <v>0</v>
      </c>
      <c r="E43" s="922" t="e">
        <f>IF(D43="","",VLOOKUP(D43,'Списки участников'!A:K,12,FALSE))</f>
        <v>#N/A</v>
      </c>
      <c r="F43" s="485">
        <f>'4Ф КРУГ'!B15</f>
        <v>0</v>
      </c>
      <c r="G43" s="922" t="e">
        <f>IF(F43="","",VLOOKUP(F43,'Списки участников'!A:K,12,FALSE))</f>
        <v>#N/A</v>
      </c>
      <c r="H43" s="491"/>
      <c r="I43" s="922" t="str">
        <f>IF(H43="","",VLOOKUP(H43,'Списки участников'!A:K,12,FALSE))</f>
        <v/>
      </c>
      <c r="J43" s="915"/>
      <c r="K43" s="915"/>
      <c r="L43" s="915"/>
      <c r="M43" s="914"/>
      <c r="N43" s="914"/>
      <c r="O43" s="905" t="str">
        <f t="shared" si="0"/>
        <v/>
      </c>
      <c r="P43" s="930" t="str">
        <f t="shared" si="1"/>
        <v/>
      </c>
      <c r="Q43" s="931"/>
    </row>
    <row r="44" spans="1:17" ht="15.75" thickBot="1" x14ac:dyDescent="0.3">
      <c r="A44" s="486">
        <v>40</v>
      </c>
      <c r="B44" s="500">
        <v>5</v>
      </c>
      <c r="C44" s="493" t="s">
        <v>993</v>
      </c>
      <c r="D44" s="494">
        <f>'4Ф КРУГ'!B11</f>
        <v>0</v>
      </c>
      <c r="E44" s="701" t="e">
        <f>IF(D44="","",VLOOKUP(D44,'Списки участников'!A:K,12,FALSE))</f>
        <v>#N/A</v>
      </c>
      <c r="F44" s="494">
        <f>'4Ф КРУГ'!B13</f>
        <v>0</v>
      </c>
      <c r="G44" s="701" t="e">
        <f>IF(F44="","",VLOOKUP(F44,'Списки участников'!A:K,12,FALSE))</f>
        <v>#N/A</v>
      </c>
      <c r="H44" s="494"/>
      <c r="I44" s="701" t="str">
        <f>IF(H44="","",VLOOKUP(H44,'Списки участников'!A:K,12,FALSE))</f>
        <v/>
      </c>
      <c r="J44" s="702"/>
      <c r="K44" s="702"/>
      <c r="L44" s="702"/>
      <c r="M44" s="702"/>
      <c r="N44" s="702"/>
      <c r="O44" s="932" t="str">
        <f t="shared" si="0"/>
        <v/>
      </c>
      <c r="P44" s="933" t="str">
        <f t="shared" si="1"/>
        <v/>
      </c>
      <c r="Q44" s="701"/>
    </row>
    <row r="45" spans="1:17" ht="15" customHeight="1" x14ac:dyDescent="0.25">
      <c r="A45" s="486">
        <v>41</v>
      </c>
      <c r="B45" s="482">
        <v>6</v>
      </c>
      <c r="C45" s="907" t="s">
        <v>2637</v>
      </c>
      <c r="D45" s="485">
        <f>'4Ф КРУГ'!B5</f>
        <v>0</v>
      </c>
      <c r="E45" s="922" t="e">
        <f>IF(D45="","",VLOOKUP(D45,'Списки участников'!A:K,12,FALSE))</f>
        <v>#N/A</v>
      </c>
      <c r="F45" s="485">
        <f>'4Ф КРУГ'!B25</f>
        <v>0</v>
      </c>
      <c r="G45" s="922" t="e">
        <f>IF(F45="","",VLOOKUP(F45,'Списки участников'!A:K,12,FALSE))</f>
        <v>#N/A</v>
      </c>
      <c r="H45" s="485"/>
      <c r="I45" s="922" t="str">
        <f>IF(H45="","",VLOOKUP(H45,'Списки участников'!A:K,12,FALSE))</f>
        <v/>
      </c>
      <c r="J45" s="915"/>
      <c r="K45" s="915"/>
      <c r="L45" s="915"/>
      <c r="M45" s="915"/>
      <c r="N45" s="915"/>
      <c r="O45" s="905" t="str">
        <f t="shared" si="0"/>
        <v/>
      </c>
      <c r="P45" s="930" t="str">
        <f t="shared" si="1"/>
        <v/>
      </c>
      <c r="Q45" s="922"/>
    </row>
    <row r="46" spans="1:17" x14ac:dyDescent="0.25">
      <c r="A46" s="486">
        <v>42</v>
      </c>
      <c r="B46" s="496">
        <v>6</v>
      </c>
      <c r="C46" s="906" t="s">
        <v>2638</v>
      </c>
      <c r="D46" s="484">
        <f>'4Ф КРУГ'!B23</f>
        <v>0</v>
      </c>
      <c r="E46" s="922" t="e">
        <f>IF(D46="","",VLOOKUP(D46,'Списки участников'!A:K,12,FALSE))</f>
        <v>#N/A</v>
      </c>
      <c r="F46" s="484">
        <f>'4Ф КРУГ'!B27</f>
        <v>0</v>
      </c>
      <c r="G46" s="922" t="e">
        <f>IF(F46="","",VLOOKUP(F46,'Списки участников'!A:K,12,FALSE))</f>
        <v>#N/A</v>
      </c>
      <c r="H46" s="484"/>
      <c r="I46" s="922" t="str">
        <f>IF(H46="","",VLOOKUP(H46,'Списки участников'!A:K,12,FALSE))</f>
        <v/>
      </c>
      <c r="J46" s="915"/>
      <c r="K46" s="915"/>
      <c r="L46" s="915"/>
      <c r="M46" s="486"/>
      <c r="N46" s="486"/>
      <c r="O46" s="905" t="str">
        <f t="shared" si="0"/>
        <v/>
      </c>
      <c r="P46" s="930" t="str">
        <f t="shared" si="1"/>
        <v/>
      </c>
      <c r="Q46" s="931"/>
    </row>
    <row r="47" spans="1:17" x14ac:dyDescent="0.25">
      <c r="A47" s="486">
        <v>43</v>
      </c>
      <c r="B47" s="496">
        <v>6</v>
      </c>
      <c r="C47" s="906" t="s">
        <v>2639</v>
      </c>
      <c r="D47" s="484">
        <f>'4Ф КРУГ'!B21</f>
        <v>0</v>
      </c>
      <c r="E47" s="922" t="e">
        <f>IF(D47="","",VLOOKUP(D47,'Списки участников'!A:K,12,FALSE))</f>
        <v>#N/A</v>
      </c>
      <c r="F47" s="484">
        <f>'4Ф КРУГ'!B29</f>
        <v>0</v>
      </c>
      <c r="G47" s="922" t="e">
        <f>IF(F47="","",VLOOKUP(F47,'Списки участников'!A:K,12,FALSE))</f>
        <v>#N/A</v>
      </c>
      <c r="H47" s="484"/>
      <c r="I47" s="922" t="str">
        <f>IF(H47="","",VLOOKUP(H47,'Списки участников'!A:K,12,FALSE))</f>
        <v/>
      </c>
      <c r="J47" s="915"/>
      <c r="K47" s="915"/>
      <c r="L47" s="915"/>
      <c r="M47" s="486"/>
      <c r="N47" s="486"/>
      <c r="O47" s="905" t="str">
        <f t="shared" si="0"/>
        <v/>
      </c>
      <c r="P47" s="930" t="str">
        <f t="shared" si="1"/>
        <v/>
      </c>
      <c r="Q47" s="931"/>
    </row>
    <row r="48" spans="1:17" x14ac:dyDescent="0.25">
      <c r="A48" s="486">
        <v>44</v>
      </c>
      <c r="B48" s="496">
        <v>6</v>
      </c>
      <c r="C48" s="906" t="s">
        <v>2640</v>
      </c>
      <c r="D48" s="484">
        <f>'4Ф КРУГ'!B19</f>
        <v>0</v>
      </c>
      <c r="E48" s="922" t="e">
        <f>IF(D48="","",VLOOKUP(D48,'Списки участников'!A:K,12,FALSE))</f>
        <v>#N/A</v>
      </c>
      <c r="F48" s="484">
        <f>'4Ф КРУГ'!B31</f>
        <v>0</v>
      </c>
      <c r="G48" s="922" t="e">
        <f>IF(F48="","",VLOOKUP(F48,'Списки участников'!A:K,12,FALSE))</f>
        <v>#N/A</v>
      </c>
      <c r="H48" s="484"/>
      <c r="I48" s="922" t="str">
        <f>IF(H48="","",VLOOKUP(H48,'Списки участников'!A:K,12,FALSE))</f>
        <v/>
      </c>
      <c r="J48" s="915"/>
      <c r="K48" s="915"/>
      <c r="L48" s="915"/>
      <c r="M48" s="486"/>
      <c r="N48" s="486"/>
      <c r="O48" s="905" t="str">
        <f t="shared" si="0"/>
        <v/>
      </c>
      <c r="P48" s="930" t="str">
        <f t="shared" si="1"/>
        <v/>
      </c>
      <c r="Q48" s="931"/>
    </row>
    <row r="49" spans="1:21" x14ac:dyDescent="0.25">
      <c r="A49" s="486">
        <v>45</v>
      </c>
      <c r="B49" s="501">
        <v>6</v>
      </c>
      <c r="C49" s="906" t="s">
        <v>2641</v>
      </c>
      <c r="D49" s="484">
        <f>'4Ф КРУГ'!B17</f>
        <v>0</v>
      </c>
      <c r="E49" s="922" t="e">
        <f>IF(D49="","",VLOOKUP(D49,'Списки участников'!A:K,12,FALSE))</f>
        <v>#N/A</v>
      </c>
      <c r="F49" s="484">
        <f>'4Ф КРУГ'!B33</f>
        <v>0</v>
      </c>
      <c r="G49" s="922" t="e">
        <f>IF(F49="","",VLOOKUP(F49,'Списки участников'!A:K,12,FALSE))</f>
        <v>#N/A</v>
      </c>
      <c r="H49" s="484"/>
      <c r="I49" s="922" t="str">
        <f>IF(H49="","",VLOOKUP(H49,'Списки участников'!A:K,12,FALSE))</f>
        <v/>
      </c>
      <c r="J49" s="915"/>
      <c r="K49" s="915"/>
      <c r="L49" s="915"/>
      <c r="M49" s="486"/>
      <c r="N49" s="486"/>
      <c r="O49" s="905" t="str">
        <f t="shared" si="0"/>
        <v/>
      </c>
      <c r="P49" s="930" t="str">
        <f t="shared" si="1"/>
        <v/>
      </c>
      <c r="Q49" s="931"/>
    </row>
    <row r="50" spans="1:21" x14ac:dyDescent="0.25">
      <c r="A50" s="486">
        <v>46</v>
      </c>
      <c r="B50" s="496">
        <v>6</v>
      </c>
      <c r="C50" s="908" t="s">
        <v>2642</v>
      </c>
      <c r="D50" s="491">
        <f>'4Ф КРУГ'!B15</f>
        <v>0</v>
      </c>
      <c r="E50" s="922" t="e">
        <f>IF(D50="","",VLOOKUP(D50,'Списки участников'!A:K,12,FALSE))</f>
        <v>#N/A</v>
      </c>
      <c r="F50" s="484">
        <f>'4Ф КРУГ'!B35</f>
        <v>0</v>
      </c>
      <c r="G50" s="922" t="e">
        <f>IF(F50="","",VLOOKUP(F50,'Списки участников'!A:K,12,FALSE))</f>
        <v>#N/A</v>
      </c>
      <c r="H50" s="491"/>
      <c r="I50" s="922" t="str">
        <f>IF(H50="","",VLOOKUP(H50,'Списки участников'!A:K,12,FALSE))</f>
        <v/>
      </c>
      <c r="J50" s="915"/>
      <c r="K50" s="915"/>
      <c r="L50" s="915"/>
      <c r="M50" s="914"/>
      <c r="N50" s="914"/>
      <c r="O50" s="905" t="str">
        <f t="shared" si="0"/>
        <v/>
      </c>
      <c r="P50" s="930" t="str">
        <f t="shared" si="1"/>
        <v/>
      </c>
      <c r="Q50" s="931"/>
    </row>
    <row r="51" spans="1:21" x14ac:dyDescent="0.25">
      <c r="A51" s="486">
        <v>47</v>
      </c>
      <c r="B51" s="496">
        <v>6</v>
      </c>
      <c r="C51" s="490" t="s">
        <v>994</v>
      </c>
      <c r="D51" s="491">
        <f>'4Ф КРУГ'!B7</f>
        <v>0</v>
      </c>
      <c r="E51" s="922" t="e">
        <f>IF(D51="","",VLOOKUP(D51,'Списки участников'!A:K,12,FALSE))</f>
        <v>#N/A</v>
      </c>
      <c r="F51" s="484">
        <f>'4Ф КРУГ'!B13</f>
        <v>0</v>
      </c>
      <c r="G51" s="922" t="e">
        <f>IF(F51="","",VLOOKUP(F51,'Списки участников'!A:K,12,FALSE))</f>
        <v>#N/A</v>
      </c>
      <c r="H51" s="491"/>
      <c r="I51" s="922" t="str">
        <f>IF(H51="","",VLOOKUP(H51,'Списки участников'!A:K,12,FALSE))</f>
        <v/>
      </c>
      <c r="J51" s="915"/>
      <c r="K51" s="915"/>
      <c r="L51" s="915"/>
      <c r="M51" s="914"/>
      <c r="N51" s="914"/>
      <c r="O51" s="905" t="str">
        <f t="shared" si="0"/>
        <v/>
      </c>
      <c r="P51" s="930" t="str">
        <f t="shared" si="1"/>
        <v/>
      </c>
      <c r="Q51" s="931"/>
    </row>
    <row r="52" spans="1:21" ht="15.75" thickBot="1" x14ac:dyDescent="0.3">
      <c r="A52" s="486">
        <v>48</v>
      </c>
      <c r="B52" s="497">
        <v>6</v>
      </c>
      <c r="C52" s="493" t="s">
        <v>995</v>
      </c>
      <c r="D52" s="494">
        <f>'4Ф КРУГ'!B9</f>
        <v>0</v>
      </c>
      <c r="E52" s="701" t="e">
        <f>IF(D52="","",VLOOKUP(D52,'Списки участников'!A:K,12,FALSE))</f>
        <v>#N/A</v>
      </c>
      <c r="F52" s="494">
        <f>'4Ф КРУГ'!B11</f>
        <v>0</v>
      </c>
      <c r="G52" s="701" t="e">
        <f>IF(F52="","",VLOOKUP(F52,'Списки участников'!A:K,12,FALSE))</f>
        <v>#N/A</v>
      </c>
      <c r="H52" s="494"/>
      <c r="I52" s="701" t="str">
        <f>IF(H52="","",VLOOKUP(H52,'Списки участников'!A:K,12,FALSE))</f>
        <v/>
      </c>
      <c r="J52" s="702"/>
      <c r="K52" s="702"/>
      <c r="L52" s="702"/>
      <c r="M52" s="702"/>
      <c r="N52" s="702"/>
      <c r="O52" s="932" t="str">
        <f t="shared" si="0"/>
        <v/>
      </c>
      <c r="P52" s="933" t="str">
        <f t="shared" si="1"/>
        <v/>
      </c>
      <c r="Q52" s="701"/>
    </row>
    <row r="53" spans="1:21" ht="15" customHeight="1" x14ac:dyDescent="0.25">
      <c r="A53" s="486">
        <v>49</v>
      </c>
      <c r="B53" s="498">
        <v>7</v>
      </c>
      <c r="C53" s="483" t="s">
        <v>996</v>
      </c>
      <c r="D53" s="485">
        <f>'4Ф КРУГ'!B5</f>
        <v>0</v>
      </c>
      <c r="E53" s="922" t="e">
        <f>IF(D53="","",VLOOKUP(D53,'Списки участников'!A:K,12,FALSE))</f>
        <v>#N/A</v>
      </c>
      <c r="F53" s="485">
        <f>'4Ф КРУГ'!B23</f>
        <v>0</v>
      </c>
      <c r="G53" s="922" t="e">
        <f>IF(F53="","",VLOOKUP(F53,'Списки участников'!A:K,12,FALSE))</f>
        <v>#N/A</v>
      </c>
      <c r="H53" s="485"/>
      <c r="I53" s="922" t="str">
        <f>IF(H53="","",VLOOKUP(H53,'Списки участников'!A:K,12,FALSE))</f>
        <v/>
      </c>
      <c r="J53" s="915"/>
      <c r="K53" s="915"/>
      <c r="L53" s="915"/>
      <c r="M53" s="915"/>
      <c r="N53" s="915"/>
      <c r="O53" s="905" t="str">
        <f t="shared" si="0"/>
        <v/>
      </c>
      <c r="P53" s="930" t="str">
        <f t="shared" si="1"/>
        <v/>
      </c>
      <c r="Q53" s="922"/>
    </row>
    <row r="54" spans="1:21" x14ac:dyDescent="0.25">
      <c r="A54" s="486">
        <v>50</v>
      </c>
      <c r="B54" s="496">
        <v>7</v>
      </c>
      <c r="C54" s="906" t="s">
        <v>2643</v>
      </c>
      <c r="D54" s="484">
        <f>'4Ф КРУГ'!B21</f>
        <v>0</v>
      </c>
      <c r="E54" s="922" t="e">
        <f>IF(D54="","",VLOOKUP(D54,'Списки участников'!A:K,12,FALSE))</f>
        <v>#N/A</v>
      </c>
      <c r="F54" s="485">
        <f>'4Ф КРУГ'!B25</f>
        <v>0</v>
      </c>
      <c r="G54" s="922" t="e">
        <f>IF(F54="","",VLOOKUP(F54,'Списки участников'!A:K,12,FALSE))</f>
        <v>#N/A</v>
      </c>
      <c r="H54" s="484"/>
      <c r="I54" s="922" t="str">
        <f>IF(H54="","",VLOOKUP(H54,'Списки участников'!A:K,12,FALSE))</f>
        <v/>
      </c>
      <c r="J54" s="915"/>
      <c r="K54" s="915"/>
      <c r="L54" s="915"/>
      <c r="M54" s="486"/>
      <c r="N54" s="486"/>
      <c r="O54" s="905" t="str">
        <f t="shared" si="0"/>
        <v/>
      </c>
      <c r="P54" s="930" t="str">
        <f t="shared" si="1"/>
        <v/>
      </c>
      <c r="Q54" s="931"/>
    </row>
    <row r="55" spans="1:21" x14ac:dyDescent="0.25">
      <c r="A55" s="486">
        <v>51</v>
      </c>
      <c r="B55" s="496">
        <v>7</v>
      </c>
      <c r="C55" s="906" t="s">
        <v>2644</v>
      </c>
      <c r="D55" s="484">
        <f>'4Ф КРУГ'!B19</f>
        <v>0</v>
      </c>
      <c r="E55" s="922" t="e">
        <f>IF(D55="","",VLOOKUP(D55,'Списки участников'!A:K,12,FALSE))</f>
        <v>#N/A</v>
      </c>
      <c r="F55" s="485">
        <f>'4Ф КРУГ'!B27</f>
        <v>0</v>
      </c>
      <c r="G55" s="922" t="e">
        <f>IF(F55="","",VLOOKUP(F55,'Списки участников'!A:K,12,FALSE))</f>
        <v>#N/A</v>
      </c>
      <c r="H55" s="484"/>
      <c r="I55" s="922" t="str">
        <f>IF(H55="","",VLOOKUP(H55,'Списки участников'!A:K,12,FALSE))</f>
        <v/>
      </c>
      <c r="J55" s="915"/>
      <c r="K55" s="915"/>
      <c r="L55" s="915"/>
      <c r="M55" s="486"/>
      <c r="N55" s="486"/>
      <c r="O55" s="905" t="str">
        <f t="shared" si="0"/>
        <v/>
      </c>
      <c r="P55" s="930" t="str">
        <f t="shared" si="1"/>
        <v/>
      </c>
      <c r="Q55" s="931"/>
    </row>
    <row r="56" spans="1:21" x14ac:dyDescent="0.25">
      <c r="A56" s="486">
        <v>52</v>
      </c>
      <c r="B56" s="496">
        <v>7</v>
      </c>
      <c r="C56" s="906" t="s">
        <v>2645</v>
      </c>
      <c r="D56" s="484">
        <f>'4Ф КРУГ'!B17</f>
        <v>0</v>
      </c>
      <c r="E56" s="922" t="e">
        <f>IF(D56="","",VLOOKUP(D56,'Списки участников'!A:K,12,FALSE))</f>
        <v>#N/A</v>
      </c>
      <c r="F56" s="485">
        <f>'4Ф КРУГ'!B29</f>
        <v>0</v>
      </c>
      <c r="G56" s="922" t="e">
        <f>IF(F56="","",VLOOKUP(F56,'Списки участников'!A:K,12,FALSE))</f>
        <v>#N/A</v>
      </c>
      <c r="H56" s="484"/>
      <c r="I56" s="922" t="str">
        <f>IF(H56="","",VLOOKUP(H56,'Списки участников'!A:K,12,FALSE))</f>
        <v/>
      </c>
      <c r="J56" s="915"/>
      <c r="K56" s="915"/>
      <c r="L56" s="915"/>
      <c r="M56" s="486"/>
      <c r="N56" s="486"/>
      <c r="O56" s="905" t="str">
        <f t="shared" si="0"/>
        <v/>
      </c>
      <c r="P56" s="930" t="str">
        <f t="shared" si="1"/>
        <v/>
      </c>
      <c r="Q56" s="931"/>
    </row>
    <row r="57" spans="1:21" x14ac:dyDescent="0.25">
      <c r="A57" s="486">
        <v>53</v>
      </c>
      <c r="B57" s="501">
        <v>7</v>
      </c>
      <c r="C57" s="906" t="s">
        <v>2646</v>
      </c>
      <c r="D57" s="484">
        <f>'4Ф КРУГ'!B15</f>
        <v>0</v>
      </c>
      <c r="E57" s="922" t="e">
        <f>IF(D57="","",VLOOKUP(D57,'Списки участников'!A:K,12,FALSE))</f>
        <v>#N/A</v>
      </c>
      <c r="F57" s="485">
        <f>'4Ф КРУГ'!B31</f>
        <v>0</v>
      </c>
      <c r="G57" s="922" t="e">
        <f>IF(F57="","",VLOOKUP(F57,'Списки участников'!A:K,12,FALSE))</f>
        <v>#N/A</v>
      </c>
      <c r="H57" s="484"/>
      <c r="I57" s="922" t="str">
        <f>IF(H57="","",VLOOKUP(H57,'Списки участников'!A:K,12,FALSE))</f>
        <v/>
      </c>
      <c r="J57" s="915"/>
      <c r="K57" s="915"/>
      <c r="L57" s="915"/>
      <c r="M57" s="486"/>
      <c r="N57" s="486"/>
      <c r="O57" s="905" t="str">
        <f t="shared" si="0"/>
        <v/>
      </c>
      <c r="P57" s="930" t="str">
        <f t="shared" si="1"/>
        <v/>
      </c>
      <c r="Q57" s="931"/>
    </row>
    <row r="58" spans="1:21" x14ac:dyDescent="0.25">
      <c r="A58" s="486">
        <v>54</v>
      </c>
      <c r="B58" s="496">
        <v>7</v>
      </c>
      <c r="C58" s="908" t="s">
        <v>2647</v>
      </c>
      <c r="D58" s="491">
        <f>'4Ф КРУГ'!B13</f>
        <v>0</v>
      </c>
      <c r="E58" s="922" t="e">
        <f>IF(D58="","",VLOOKUP(D58,'Списки участников'!A:K,12,FALSE))</f>
        <v>#N/A</v>
      </c>
      <c r="F58" s="485">
        <f>'4Ф КРУГ'!B33</f>
        <v>0</v>
      </c>
      <c r="G58" s="922" t="e">
        <f>IF(F58="","",VLOOKUP(F58,'Списки участников'!A:K,12,FALSE))</f>
        <v>#N/A</v>
      </c>
      <c r="H58" s="491"/>
      <c r="I58" s="922" t="str">
        <f>IF(H58="","",VLOOKUP(H58,'Списки участников'!A:K,12,FALSE))</f>
        <v/>
      </c>
      <c r="J58" s="915"/>
      <c r="K58" s="915"/>
      <c r="L58" s="915"/>
      <c r="M58" s="914"/>
      <c r="N58" s="914"/>
      <c r="O58" s="905" t="str">
        <f t="shared" si="0"/>
        <v/>
      </c>
      <c r="P58" s="930" t="str">
        <f t="shared" si="1"/>
        <v/>
      </c>
      <c r="Q58" s="931"/>
    </row>
    <row r="59" spans="1:21" x14ac:dyDescent="0.25">
      <c r="A59" s="486">
        <v>55</v>
      </c>
      <c r="B59" s="496">
        <v>7</v>
      </c>
      <c r="C59" s="908" t="s">
        <v>2648</v>
      </c>
      <c r="D59" s="491">
        <f>'4Ф КРУГ'!B11</f>
        <v>0</v>
      </c>
      <c r="E59" s="922" t="e">
        <f>IF(D59="","",VLOOKUP(D59,'Списки участников'!A:K,12,FALSE))</f>
        <v>#N/A</v>
      </c>
      <c r="F59" s="485">
        <f>'4Ф КРУГ'!B35</f>
        <v>0</v>
      </c>
      <c r="G59" s="922" t="e">
        <f>IF(F59="","",VLOOKUP(F59,'Списки участников'!A:K,12,FALSE))</f>
        <v>#N/A</v>
      </c>
      <c r="H59" s="491"/>
      <c r="I59" s="922" t="str">
        <f>IF(H59="","",VLOOKUP(H59,'Списки участников'!A:K,12,FALSE))</f>
        <v/>
      </c>
      <c r="J59" s="915"/>
      <c r="K59" s="915"/>
      <c r="L59" s="915"/>
      <c r="M59" s="914"/>
      <c r="N59" s="914"/>
      <c r="O59" s="905" t="str">
        <f t="shared" si="0"/>
        <v/>
      </c>
      <c r="P59" s="930" t="str">
        <f t="shared" si="1"/>
        <v/>
      </c>
      <c r="Q59" s="931"/>
      <c r="R59" s="511"/>
      <c r="S59" s="511"/>
      <c r="T59" s="511"/>
      <c r="U59" s="511"/>
    </row>
    <row r="60" spans="1:21" ht="15.75" thickBot="1" x14ac:dyDescent="0.3">
      <c r="A60" s="486">
        <v>56</v>
      </c>
      <c r="B60" s="500">
        <v>7</v>
      </c>
      <c r="C60" s="493" t="s">
        <v>997</v>
      </c>
      <c r="D60" s="494">
        <f>'4Ф КРУГ'!B7</f>
        <v>0</v>
      </c>
      <c r="E60" s="701" t="e">
        <f>IF(D60="","",VLOOKUP(D60,'Списки участников'!A:K,12,FALSE))</f>
        <v>#N/A</v>
      </c>
      <c r="F60" s="494">
        <f>'4Ф КРУГ'!B9</f>
        <v>0</v>
      </c>
      <c r="G60" s="701" t="e">
        <f>IF(F60="","",VLOOKUP(F60,'Списки участников'!A:K,12,FALSE))</f>
        <v>#N/A</v>
      </c>
      <c r="H60" s="494"/>
      <c r="I60" s="701" t="str">
        <f>IF(H60="","",VLOOKUP(H60,'Списки участников'!A:K,12,FALSE))</f>
        <v/>
      </c>
      <c r="J60" s="702"/>
      <c r="K60" s="702"/>
      <c r="L60" s="702"/>
      <c r="M60" s="702"/>
      <c r="N60" s="702"/>
      <c r="O60" s="932" t="str">
        <f t="shared" si="0"/>
        <v/>
      </c>
      <c r="P60" s="933" t="str">
        <f t="shared" si="1"/>
        <v/>
      </c>
      <c r="Q60" s="701"/>
      <c r="R60" s="511"/>
      <c r="S60" s="511"/>
      <c r="T60" s="511"/>
      <c r="U60" s="511"/>
    </row>
    <row r="61" spans="1:21" ht="15" customHeight="1" x14ac:dyDescent="0.25">
      <c r="A61" s="486">
        <v>57</v>
      </c>
      <c r="B61" s="482">
        <v>8</v>
      </c>
      <c r="C61" s="907" t="s">
        <v>2649</v>
      </c>
      <c r="D61" s="485">
        <f>'4Ф КРУГ'!B5</f>
        <v>0</v>
      </c>
      <c r="E61" s="922" t="e">
        <f>IF(D61="","",VLOOKUP(D61,'Списки участников'!A:K,12,FALSE))</f>
        <v>#N/A</v>
      </c>
      <c r="F61" s="485">
        <f>'4Ф КРУГ'!B21</f>
        <v>0</v>
      </c>
      <c r="G61" s="922" t="e">
        <f>IF(F61="","",VLOOKUP(F61,'Списки участников'!A:K,12,FALSE))</f>
        <v>#N/A</v>
      </c>
      <c r="H61" s="485"/>
      <c r="I61" s="922" t="str">
        <f>IF(H61="","",VLOOKUP(H61,'Списки участников'!A:K,12,FALSE))</f>
        <v/>
      </c>
      <c r="J61" s="915"/>
      <c r="K61" s="915"/>
      <c r="L61" s="915"/>
      <c r="M61" s="915"/>
      <c r="N61" s="915"/>
      <c r="O61" s="905" t="str">
        <f t="shared" si="0"/>
        <v/>
      </c>
      <c r="P61" s="930" t="str">
        <f t="shared" si="1"/>
        <v/>
      </c>
      <c r="Q61" s="922"/>
    </row>
    <row r="62" spans="1:21" x14ac:dyDescent="0.25">
      <c r="A62" s="486">
        <v>58</v>
      </c>
      <c r="B62" s="496">
        <v>8</v>
      </c>
      <c r="C62" s="906" t="s">
        <v>2650</v>
      </c>
      <c r="D62" s="484">
        <f>'4Ф КРУГ'!B19</f>
        <v>0</v>
      </c>
      <c r="E62" s="922" t="e">
        <f>IF(D62="","",VLOOKUP(D62,'Списки участников'!A:K,12,FALSE))</f>
        <v>#N/A</v>
      </c>
      <c r="F62" s="484">
        <f>'4Ф КРУГ'!B23</f>
        <v>0</v>
      </c>
      <c r="G62" s="922" t="e">
        <f>IF(F62="","",VLOOKUP(F62,'Списки участников'!A:K,12,FALSE))</f>
        <v>#N/A</v>
      </c>
      <c r="H62" s="484"/>
      <c r="I62" s="922" t="str">
        <f>IF(H62="","",VLOOKUP(H62,'Списки участников'!A:K,12,FALSE))</f>
        <v/>
      </c>
      <c r="J62" s="915"/>
      <c r="K62" s="915"/>
      <c r="L62" s="915"/>
      <c r="M62" s="915"/>
      <c r="N62" s="486"/>
      <c r="O62" s="905" t="str">
        <f t="shared" si="0"/>
        <v/>
      </c>
      <c r="P62" s="930" t="str">
        <f t="shared" si="1"/>
        <v/>
      </c>
      <c r="Q62" s="931"/>
    </row>
    <row r="63" spans="1:21" x14ac:dyDescent="0.25">
      <c r="A63" s="486">
        <v>59</v>
      </c>
      <c r="B63" s="496">
        <v>8</v>
      </c>
      <c r="C63" s="906" t="s">
        <v>2651</v>
      </c>
      <c r="D63" s="484">
        <f>'4Ф КРУГ'!B17</f>
        <v>0</v>
      </c>
      <c r="E63" s="922" t="e">
        <f>IF(D63="","",VLOOKUP(D63,'Списки участников'!A:K,12,FALSE))</f>
        <v>#N/A</v>
      </c>
      <c r="F63" s="484">
        <f>'4Ф КРУГ'!B25</f>
        <v>0</v>
      </c>
      <c r="G63" s="922" t="e">
        <f>IF(F63="","",VLOOKUP(F63,'Списки участников'!A:K,12,FALSE))</f>
        <v>#N/A</v>
      </c>
      <c r="H63" s="484"/>
      <c r="I63" s="922" t="str">
        <f>IF(H63="","",VLOOKUP(H63,'Списки участников'!A:K,12,FALSE))</f>
        <v/>
      </c>
      <c r="J63" s="915"/>
      <c r="K63" s="915"/>
      <c r="L63" s="915"/>
      <c r="M63" s="915"/>
      <c r="N63" s="486"/>
      <c r="O63" s="905" t="str">
        <f t="shared" si="0"/>
        <v/>
      </c>
      <c r="P63" s="930" t="str">
        <f t="shared" si="1"/>
        <v/>
      </c>
      <c r="Q63" s="931"/>
    </row>
    <row r="64" spans="1:21" x14ac:dyDescent="0.25">
      <c r="A64" s="486">
        <v>60</v>
      </c>
      <c r="B64" s="496">
        <v>8</v>
      </c>
      <c r="C64" s="906" t="s">
        <v>2652</v>
      </c>
      <c r="D64" s="484">
        <f>'4Ф КРУГ'!B15</f>
        <v>0</v>
      </c>
      <c r="E64" s="922" t="e">
        <f>IF(D64="","",VLOOKUP(D64,'Списки участников'!A:K,12,FALSE))</f>
        <v>#N/A</v>
      </c>
      <c r="F64" s="484">
        <f>'4Ф КРУГ'!B27</f>
        <v>0</v>
      </c>
      <c r="G64" s="922" t="e">
        <f>IF(F64="","",VLOOKUP(F64,'Списки участников'!A:K,12,FALSE))</f>
        <v>#N/A</v>
      </c>
      <c r="H64" s="484"/>
      <c r="I64" s="922" t="str">
        <f>IF(H64="","",VLOOKUP(H64,'Списки участников'!A:K,12,FALSE))</f>
        <v/>
      </c>
      <c r="J64" s="915"/>
      <c r="K64" s="915"/>
      <c r="L64" s="915"/>
      <c r="M64" s="915"/>
      <c r="N64" s="486"/>
      <c r="O64" s="905" t="str">
        <f t="shared" si="0"/>
        <v/>
      </c>
      <c r="P64" s="930" t="str">
        <f t="shared" si="1"/>
        <v/>
      </c>
      <c r="Q64" s="931"/>
    </row>
    <row r="65" spans="1:17" x14ac:dyDescent="0.25">
      <c r="A65" s="486">
        <v>61</v>
      </c>
      <c r="B65" s="501">
        <v>8</v>
      </c>
      <c r="C65" s="906" t="s">
        <v>2653</v>
      </c>
      <c r="D65" s="484">
        <f>'4Ф КРУГ'!B13</f>
        <v>0</v>
      </c>
      <c r="E65" s="922" t="e">
        <f>IF(D65="","",VLOOKUP(D65,'Списки участников'!A:K,12,FALSE))</f>
        <v>#N/A</v>
      </c>
      <c r="F65" s="484">
        <f>'4Ф КРУГ'!B29</f>
        <v>0</v>
      </c>
      <c r="G65" s="922" t="e">
        <f>IF(F65="","",VLOOKUP(F65,'Списки участников'!A:K,12,FALSE))</f>
        <v>#N/A</v>
      </c>
      <c r="H65" s="484"/>
      <c r="I65" s="922" t="str">
        <f>IF(H65="","",VLOOKUP(H65,'Списки участников'!A:K,12,FALSE))</f>
        <v/>
      </c>
      <c r="J65" s="915"/>
      <c r="K65" s="915"/>
      <c r="L65" s="915"/>
      <c r="M65" s="915"/>
      <c r="N65" s="486"/>
      <c r="O65" s="905" t="str">
        <f t="shared" si="0"/>
        <v/>
      </c>
      <c r="P65" s="930" t="str">
        <f t="shared" si="1"/>
        <v/>
      </c>
      <c r="Q65" s="931"/>
    </row>
    <row r="66" spans="1:17" x14ac:dyDescent="0.25">
      <c r="A66" s="486">
        <v>62</v>
      </c>
      <c r="B66" s="496">
        <v>8</v>
      </c>
      <c r="C66" s="908" t="s">
        <v>2654</v>
      </c>
      <c r="D66" s="484">
        <f>'4Ф КРУГ'!B11</f>
        <v>0</v>
      </c>
      <c r="E66" s="922" t="e">
        <f>IF(D66="","",VLOOKUP(D66,'Списки участников'!A:K,12,FALSE))</f>
        <v>#N/A</v>
      </c>
      <c r="F66" s="484">
        <f>'4Ф КРУГ'!B31</f>
        <v>0</v>
      </c>
      <c r="G66" s="922" t="e">
        <f>IF(F66="","",VLOOKUP(F66,'Списки участников'!A:K,12,FALSE))</f>
        <v>#N/A</v>
      </c>
      <c r="H66" s="491"/>
      <c r="I66" s="922" t="str">
        <f>IF(H66="","",VLOOKUP(H66,'Списки участников'!A:K,12,FALSE))</f>
        <v/>
      </c>
      <c r="J66" s="915"/>
      <c r="K66" s="915"/>
      <c r="L66" s="915"/>
      <c r="M66" s="915"/>
      <c r="N66" s="914"/>
      <c r="O66" s="905" t="str">
        <f t="shared" si="0"/>
        <v/>
      </c>
      <c r="P66" s="930" t="str">
        <f t="shared" si="1"/>
        <v/>
      </c>
      <c r="Q66" s="931"/>
    </row>
    <row r="67" spans="1:17" x14ac:dyDescent="0.25">
      <c r="A67" s="486">
        <v>63</v>
      </c>
      <c r="B67" s="496">
        <v>8</v>
      </c>
      <c r="C67" s="908" t="s">
        <v>2655</v>
      </c>
      <c r="D67" s="484">
        <f>'4Ф КРУГ'!B9</f>
        <v>0</v>
      </c>
      <c r="E67" s="922" t="e">
        <f>IF(D67="","",VLOOKUP(D67,'Списки участников'!A:K,12,FALSE))</f>
        <v>#N/A</v>
      </c>
      <c r="F67" s="484">
        <f>'4Ф КРУГ'!B33</f>
        <v>0</v>
      </c>
      <c r="G67" s="922" t="e">
        <f>IF(F67="","",VLOOKUP(F67,'Списки участников'!A:K,12,FALSE))</f>
        <v>#N/A</v>
      </c>
      <c r="H67" s="491"/>
      <c r="I67" s="922" t="str">
        <f>IF(H67="","",VLOOKUP(H67,'Списки участников'!A:K,12,FALSE))</f>
        <v/>
      </c>
      <c r="J67" s="915"/>
      <c r="K67" s="915"/>
      <c r="L67" s="915"/>
      <c r="M67" s="915"/>
      <c r="N67" s="914"/>
      <c r="O67" s="905" t="str">
        <f t="shared" si="0"/>
        <v/>
      </c>
      <c r="P67" s="930" t="str">
        <f t="shared" si="1"/>
        <v/>
      </c>
      <c r="Q67" s="931"/>
    </row>
    <row r="68" spans="1:17" ht="15.75" thickBot="1" x14ac:dyDescent="0.3">
      <c r="A68" s="486">
        <v>64</v>
      </c>
      <c r="B68" s="500">
        <v>8</v>
      </c>
      <c r="C68" s="909" t="s">
        <v>2656</v>
      </c>
      <c r="D68" s="484">
        <f>'4Ф КРУГ'!B7</f>
        <v>0</v>
      </c>
      <c r="E68" s="922" t="e">
        <f>IF(D68="","",VLOOKUP(D68,'Списки участников'!A:K,12,FALSE))</f>
        <v>#N/A</v>
      </c>
      <c r="F68" s="484">
        <f>'4Ф КРУГ'!B35</f>
        <v>0</v>
      </c>
      <c r="G68" s="922" t="e">
        <f>IF(F68="","",VLOOKUP(F68,'Списки участников'!A:K,12,FALSE))</f>
        <v>#N/A</v>
      </c>
      <c r="H68" s="494"/>
      <c r="I68" s="922" t="str">
        <f>IF(H68="","",VLOOKUP(H68,'Списки участников'!A:K,12,FALSE))</f>
        <v/>
      </c>
      <c r="J68" s="702"/>
      <c r="K68" s="702"/>
      <c r="L68" s="702"/>
      <c r="M68" s="702"/>
      <c r="N68" s="702"/>
      <c r="O68" s="932" t="str">
        <f t="shared" si="0"/>
        <v/>
      </c>
      <c r="P68" s="933" t="str">
        <f t="shared" si="1"/>
        <v/>
      </c>
      <c r="Q68" s="701"/>
    </row>
    <row r="69" spans="1:17" ht="15" customHeight="1" x14ac:dyDescent="0.25">
      <c r="A69" s="486">
        <v>65</v>
      </c>
      <c r="B69" s="482">
        <v>9</v>
      </c>
      <c r="C69" s="483" t="s">
        <v>998</v>
      </c>
      <c r="D69" s="485">
        <f>'4Ф КРУГ'!B5</f>
        <v>0</v>
      </c>
      <c r="E69" s="922" t="e">
        <f>IF(D69="","",VLOOKUP(D69,'Списки участников'!A:K,12,FALSE))</f>
        <v>#N/A</v>
      </c>
      <c r="F69" s="485">
        <f>'4Ф КРУГ'!B19</f>
        <v>0</v>
      </c>
      <c r="G69" s="922" t="e">
        <f>IF(F69="","",VLOOKUP(F69,'Списки участников'!A:K,12,FALSE))</f>
        <v>#N/A</v>
      </c>
      <c r="H69" s="485"/>
      <c r="I69" s="922" t="str">
        <f>IF(H69="","",VLOOKUP(H69,'Списки участников'!A:K,12,FALSE))</f>
        <v/>
      </c>
      <c r="J69" s="915"/>
      <c r="K69" s="915"/>
      <c r="L69" s="915"/>
      <c r="M69" s="915"/>
      <c r="N69" s="915"/>
      <c r="O69" s="905" t="str">
        <f t="shared" si="0"/>
        <v/>
      </c>
      <c r="P69" s="930" t="str">
        <f t="shared" si="1"/>
        <v/>
      </c>
      <c r="Q69" s="922"/>
    </row>
    <row r="70" spans="1:17" x14ac:dyDescent="0.25">
      <c r="A70" s="486">
        <v>66</v>
      </c>
      <c r="B70" s="496">
        <v>9</v>
      </c>
      <c r="C70" s="906" t="s">
        <v>2657</v>
      </c>
      <c r="D70" s="484">
        <f>'4Ф КРУГ'!B17</f>
        <v>0</v>
      </c>
      <c r="E70" s="922" t="e">
        <f>IF(D70="","",VLOOKUP(D70,'Списки участников'!A:K,12,FALSE))</f>
        <v>#N/A</v>
      </c>
      <c r="F70" s="485">
        <f>'4Ф КРУГ'!B21</f>
        <v>0</v>
      </c>
      <c r="G70" s="922" t="e">
        <f>IF(F70="","",VLOOKUP(F70,'Списки участников'!A:K,12,FALSE))</f>
        <v>#N/A</v>
      </c>
      <c r="H70" s="484"/>
      <c r="I70" s="922" t="str">
        <f>IF(H70="","",VLOOKUP(H70,'Списки участников'!A:K,12,FALSE))</f>
        <v/>
      </c>
      <c r="J70" s="915"/>
      <c r="K70" s="915"/>
      <c r="L70" s="915"/>
      <c r="M70" s="486"/>
      <c r="N70" s="486"/>
      <c r="O70" s="905" t="str">
        <f t="shared" ref="O70:O124" si="2">IF(H70="","",IF(J70&gt;0,1,0)+IF(K70&gt;0,1,0)+IF(L70&gt;0,1,0)+IF(M70&gt;0,1,0)+IF(N70&gt;0,1,0))</f>
        <v/>
      </c>
      <c r="P70" s="930" t="str">
        <f t="shared" ref="P70:P124" si="3">IF(H70="","",IF(J70&lt;0,1,0)+IF(K70&lt;0,1,0)+IF(L70&lt;0,1,0)+IF(M70&lt;0,1,0)+IF(N70&lt;0,1,0))</f>
        <v/>
      </c>
      <c r="Q70" s="931"/>
    </row>
    <row r="71" spans="1:17" x14ac:dyDescent="0.25">
      <c r="A71" s="486">
        <v>67</v>
      </c>
      <c r="B71" s="496">
        <v>9</v>
      </c>
      <c r="C71" s="906" t="s">
        <v>2658</v>
      </c>
      <c r="D71" s="484">
        <f>'4Ф КРУГ'!B15</f>
        <v>0</v>
      </c>
      <c r="E71" s="922" t="e">
        <f>IF(D71="","",VLOOKUP(D71,'Списки участников'!A:K,12,FALSE))</f>
        <v>#N/A</v>
      </c>
      <c r="F71" s="485">
        <f>'4Ф КРУГ'!B23</f>
        <v>0</v>
      </c>
      <c r="G71" s="922" t="e">
        <f>IF(F71="","",VLOOKUP(F71,'Списки участников'!A:K,12,FALSE))</f>
        <v>#N/A</v>
      </c>
      <c r="H71" s="484"/>
      <c r="I71" s="922" t="str">
        <f>IF(H71="","",VLOOKUP(H71,'Списки участников'!A:K,12,FALSE))</f>
        <v/>
      </c>
      <c r="J71" s="915"/>
      <c r="K71" s="915"/>
      <c r="L71" s="915"/>
      <c r="M71" s="486"/>
      <c r="N71" s="486"/>
      <c r="O71" s="905" t="str">
        <f t="shared" si="2"/>
        <v/>
      </c>
      <c r="P71" s="930" t="str">
        <f t="shared" si="3"/>
        <v/>
      </c>
      <c r="Q71" s="931"/>
    </row>
    <row r="72" spans="1:17" x14ac:dyDescent="0.25">
      <c r="A72" s="486">
        <v>68</v>
      </c>
      <c r="B72" s="496">
        <v>9</v>
      </c>
      <c r="C72" s="912" t="s">
        <v>2678</v>
      </c>
      <c r="D72" s="484">
        <f>'4Ф КРУГ'!B13</f>
        <v>0</v>
      </c>
      <c r="E72" s="922" t="e">
        <f>IF(D72="","",VLOOKUP(D72,'Списки участников'!A:K,12,FALSE))</f>
        <v>#N/A</v>
      </c>
      <c r="F72" s="485">
        <f>'4Ф КРУГ'!B25</f>
        <v>0</v>
      </c>
      <c r="G72" s="922" t="e">
        <f>IF(F72="","",VLOOKUP(F72,'Списки участников'!A:K,12,FALSE))</f>
        <v>#N/A</v>
      </c>
      <c r="H72" s="484"/>
      <c r="I72" s="922" t="str">
        <f>IF(H72="","",VLOOKUP(H72,'Списки участников'!A:K,12,FALSE))</f>
        <v/>
      </c>
      <c r="J72" s="915"/>
      <c r="K72" s="915"/>
      <c r="L72" s="915"/>
      <c r="M72" s="486"/>
      <c r="N72" s="486"/>
      <c r="O72" s="905" t="str">
        <f t="shared" si="2"/>
        <v/>
      </c>
      <c r="P72" s="930" t="str">
        <f t="shared" si="3"/>
        <v/>
      </c>
      <c r="Q72" s="931"/>
    </row>
    <row r="73" spans="1:17" x14ac:dyDescent="0.25">
      <c r="A73" s="486">
        <v>69</v>
      </c>
      <c r="B73" s="501">
        <v>9</v>
      </c>
      <c r="C73" s="906" t="s">
        <v>2659</v>
      </c>
      <c r="D73" s="484">
        <f>'4Ф КРУГ'!B11</f>
        <v>0</v>
      </c>
      <c r="E73" s="922" t="e">
        <f>IF(D73="","",VLOOKUP(D73,'Списки участников'!A:K,12,FALSE))</f>
        <v>#N/A</v>
      </c>
      <c r="F73" s="485">
        <f>'4Ф КРУГ'!B27</f>
        <v>0</v>
      </c>
      <c r="G73" s="922" t="e">
        <f>IF(F73="","",VLOOKUP(F73,'Списки участников'!A:K,12,FALSE))</f>
        <v>#N/A</v>
      </c>
      <c r="H73" s="484"/>
      <c r="I73" s="922" t="str">
        <f>IF(H73="","",VLOOKUP(H73,'Списки участников'!A:K,12,FALSE))</f>
        <v/>
      </c>
      <c r="J73" s="915"/>
      <c r="K73" s="915"/>
      <c r="L73" s="915"/>
      <c r="M73" s="486"/>
      <c r="N73" s="486"/>
      <c r="O73" s="905" t="str">
        <f t="shared" si="2"/>
        <v/>
      </c>
      <c r="P73" s="930" t="str">
        <f t="shared" si="3"/>
        <v/>
      </c>
      <c r="Q73" s="931"/>
    </row>
    <row r="74" spans="1:17" x14ac:dyDescent="0.25">
      <c r="A74" s="486">
        <v>70</v>
      </c>
      <c r="B74" s="496">
        <v>9</v>
      </c>
      <c r="C74" s="908" t="s">
        <v>2660</v>
      </c>
      <c r="D74" s="484">
        <f>'4Ф КРУГ'!B9</f>
        <v>0</v>
      </c>
      <c r="E74" s="922" t="e">
        <f>IF(D74="","",VLOOKUP(D74,'Списки участников'!A:K,12,FALSE))</f>
        <v>#N/A</v>
      </c>
      <c r="F74" s="485">
        <f>'4Ф КРУГ'!B29</f>
        <v>0</v>
      </c>
      <c r="G74" s="922" t="e">
        <f>IF(F74="","",VLOOKUP(F74,'Списки участников'!A:K,12,FALSE))</f>
        <v>#N/A</v>
      </c>
      <c r="H74" s="491"/>
      <c r="I74" s="922" t="str">
        <f>IF(H74="","",VLOOKUP(H74,'Списки участников'!A:K,12,FALSE))</f>
        <v/>
      </c>
      <c r="J74" s="915"/>
      <c r="K74" s="915"/>
      <c r="L74" s="915"/>
      <c r="M74" s="914"/>
      <c r="N74" s="914"/>
      <c r="O74" s="905" t="str">
        <f t="shared" si="2"/>
        <v/>
      </c>
      <c r="P74" s="930" t="str">
        <f t="shared" si="3"/>
        <v/>
      </c>
      <c r="Q74" s="931"/>
    </row>
    <row r="75" spans="1:17" ht="15" customHeight="1" x14ac:dyDescent="0.25">
      <c r="A75" s="486">
        <v>71</v>
      </c>
      <c r="B75" s="496">
        <v>9</v>
      </c>
      <c r="C75" s="908" t="s">
        <v>2661</v>
      </c>
      <c r="D75" s="484">
        <f>'4Ф КРУГ'!B7</f>
        <v>0</v>
      </c>
      <c r="E75" s="922" t="e">
        <f>IF(D75="","",VLOOKUP(D75,'Списки участников'!A:K,12,FALSE))</f>
        <v>#N/A</v>
      </c>
      <c r="F75" s="485">
        <f>'4Ф КРУГ'!B31</f>
        <v>0</v>
      </c>
      <c r="G75" s="922" t="e">
        <f>IF(F75="","",VLOOKUP(F75,'Списки участников'!A:K,12,FALSE))</f>
        <v>#N/A</v>
      </c>
      <c r="H75" s="491"/>
      <c r="I75" s="922" t="str">
        <f>IF(H75="","",VLOOKUP(H75,'Списки участников'!A:K,12,FALSE))</f>
        <v/>
      </c>
      <c r="J75" s="915"/>
      <c r="K75" s="915"/>
      <c r="L75" s="915"/>
      <c r="M75" s="914"/>
      <c r="N75" s="914"/>
      <c r="O75" s="905" t="str">
        <f t="shared" si="2"/>
        <v/>
      </c>
      <c r="P75" s="930" t="str">
        <f t="shared" si="3"/>
        <v/>
      </c>
      <c r="Q75" s="931"/>
    </row>
    <row r="76" spans="1:17" ht="15.75" thickBot="1" x14ac:dyDescent="0.3">
      <c r="A76" s="486">
        <v>72</v>
      </c>
      <c r="B76" s="500">
        <v>9</v>
      </c>
      <c r="C76" s="493" t="s">
        <v>999</v>
      </c>
      <c r="D76" s="494">
        <f>'4Ф КРУГ'!B33</f>
        <v>0</v>
      </c>
      <c r="E76" s="730" t="e">
        <f>IF(D76="","",VLOOKUP(D76,'Списки участников'!A:K,12,FALSE))</f>
        <v>#N/A</v>
      </c>
      <c r="F76" s="494">
        <f>'4Ф КРУГ'!B35</f>
        <v>0</v>
      </c>
      <c r="G76" s="730" t="e">
        <f>IF(F76="","",VLOOKUP(F76,'Списки участников'!A:K,12,FALSE))</f>
        <v>#N/A</v>
      </c>
      <c r="H76" s="494"/>
      <c r="I76" s="730" t="str">
        <f>IF(H76="","",VLOOKUP(H76,'Списки участников'!A:K,12,FALSE))</f>
        <v/>
      </c>
      <c r="J76" s="929"/>
      <c r="K76" s="929"/>
      <c r="L76" s="929"/>
      <c r="M76" s="702"/>
      <c r="N76" s="702"/>
      <c r="O76" s="932" t="str">
        <f t="shared" si="2"/>
        <v/>
      </c>
      <c r="P76" s="933" t="str">
        <f t="shared" si="3"/>
        <v/>
      </c>
      <c r="Q76" s="701"/>
    </row>
    <row r="77" spans="1:17" ht="15" customHeight="1" x14ac:dyDescent="0.25">
      <c r="A77" s="486">
        <v>73</v>
      </c>
      <c r="B77" s="496">
        <v>10</v>
      </c>
      <c r="C77" s="907" t="s">
        <v>2662</v>
      </c>
      <c r="D77" s="485">
        <f>'4Ф КРУГ'!B5</f>
        <v>0</v>
      </c>
      <c r="E77" s="922" t="e">
        <f>IF(D77="","",VLOOKUP(D77,'Списки участников'!A:K,12,FALSE))</f>
        <v>#N/A</v>
      </c>
      <c r="F77" s="485">
        <f>'4Ф КРУГ'!B17</f>
        <v>0</v>
      </c>
      <c r="G77" s="922" t="e">
        <f>IF(F77="","",VLOOKUP(F77,'Списки участников'!A:K,12,FALSE))</f>
        <v>#N/A</v>
      </c>
      <c r="H77" s="485"/>
      <c r="I77" s="922" t="str">
        <f>IF(H77="","",VLOOKUP(H77,'Списки участников'!A:K,12,FALSE))</f>
        <v/>
      </c>
      <c r="J77" s="915"/>
      <c r="K77" s="915"/>
      <c r="L77" s="915"/>
      <c r="M77" s="915"/>
      <c r="N77" s="915"/>
      <c r="O77" s="905" t="str">
        <f t="shared" si="2"/>
        <v/>
      </c>
      <c r="P77" s="930" t="str">
        <f t="shared" si="3"/>
        <v/>
      </c>
      <c r="Q77" s="922"/>
    </row>
    <row r="78" spans="1:17" ht="17.25" x14ac:dyDescent="0.25">
      <c r="A78" s="486">
        <v>74</v>
      </c>
      <c r="B78" s="496">
        <v>10</v>
      </c>
      <c r="C78" s="906" t="s">
        <v>2663</v>
      </c>
      <c r="D78" s="485">
        <f>'4Ф КРУГ'!B15</f>
        <v>0</v>
      </c>
      <c r="E78" s="922" t="e">
        <f>IF(D78="","",VLOOKUP(D78,'Списки участников'!A:K,12,FALSE))</f>
        <v>#N/A</v>
      </c>
      <c r="F78" s="484">
        <f>'4Ф КРУГ'!B19</f>
        <v>0</v>
      </c>
      <c r="G78" s="922" t="e">
        <f>IF(F78="","",VLOOKUP(F78,'Списки участников'!A:K,12,FALSE))</f>
        <v>#N/A</v>
      </c>
      <c r="H78" s="484"/>
      <c r="I78" s="922" t="str">
        <f>IF(H78="","",VLOOKUP(H78,'Списки участников'!A:K,12,FALSE))</f>
        <v/>
      </c>
      <c r="J78" s="915"/>
      <c r="K78" s="915"/>
      <c r="L78" s="915"/>
      <c r="M78" s="486"/>
      <c r="N78" s="486"/>
      <c r="O78" s="905" t="str">
        <f t="shared" si="2"/>
        <v/>
      </c>
      <c r="P78" s="930" t="str">
        <f t="shared" si="3"/>
        <v/>
      </c>
      <c r="Q78" s="931"/>
    </row>
    <row r="79" spans="1:17" ht="17.25" x14ac:dyDescent="0.25">
      <c r="A79" s="486">
        <v>75</v>
      </c>
      <c r="B79" s="496">
        <v>10</v>
      </c>
      <c r="C79" s="906" t="s">
        <v>2664</v>
      </c>
      <c r="D79" s="485">
        <f>'4Ф КРУГ'!B13</f>
        <v>0</v>
      </c>
      <c r="E79" s="922" t="e">
        <f>IF(D79="","",VLOOKUP(D79,'Списки участников'!A:K,12,FALSE))</f>
        <v>#N/A</v>
      </c>
      <c r="F79" s="484">
        <f>'4Ф КРУГ'!B21</f>
        <v>0</v>
      </c>
      <c r="G79" s="922" t="e">
        <f>IF(F79="","",VLOOKUP(F79,'Списки участников'!A:K,12,FALSE))</f>
        <v>#N/A</v>
      </c>
      <c r="H79" s="484"/>
      <c r="I79" s="922" t="str">
        <f>IF(H79="","",VLOOKUP(H79,'Списки участников'!A:K,12,FALSE))</f>
        <v/>
      </c>
      <c r="J79" s="915"/>
      <c r="K79" s="915"/>
      <c r="L79" s="915"/>
      <c r="M79" s="486"/>
      <c r="N79" s="486"/>
      <c r="O79" s="905" t="str">
        <f t="shared" si="2"/>
        <v/>
      </c>
      <c r="P79" s="930" t="str">
        <f t="shared" si="3"/>
        <v/>
      </c>
      <c r="Q79" s="931"/>
    </row>
    <row r="80" spans="1:17" ht="17.25" x14ac:dyDescent="0.25">
      <c r="A80" s="486">
        <v>76</v>
      </c>
      <c r="B80" s="496">
        <v>10</v>
      </c>
      <c r="C80" s="906" t="s">
        <v>2665</v>
      </c>
      <c r="D80" s="485">
        <f>'4Ф КРУГ'!B11</f>
        <v>0</v>
      </c>
      <c r="E80" s="922" t="e">
        <f>IF(D80="","",VLOOKUP(D80,'Списки участников'!A:K,12,FALSE))</f>
        <v>#N/A</v>
      </c>
      <c r="F80" s="484">
        <f>'4Ф КРУГ'!B23</f>
        <v>0</v>
      </c>
      <c r="G80" s="922" t="e">
        <f>IF(F80="","",VLOOKUP(F80,'Списки участников'!A:K,12,FALSE))</f>
        <v>#N/A</v>
      </c>
      <c r="H80" s="484"/>
      <c r="I80" s="922" t="str">
        <f>IF(H80="","",VLOOKUP(H80,'Списки участников'!A:K,12,FALSE))</f>
        <v/>
      </c>
      <c r="J80" s="915"/>
      <c r="K80" s="915"/>
      <c r="L80" s="915"/>
      <c r="M80" s="486"/>
      <c r="N80" s="486"/>
      <c r="O80" s="905" t="str">
        <f t="shared" si="2"/>
        <v/>
      </c>
      <c r="P80" s="930" t="str">
        <f t="shared" si="3"/>
        <v/>
      </c>
      <c r="Q80" s="931"/>
    </row>
    <row r="81" spans="1:17" ht="17.25" x14ac:dyDescent="0.25">
      <c r="A81" s="486">
        <v>77</v>
      </c>
      <c r="B81" s="501">
        <v>10</v>
      </c>
      <c r="C81" s="906" t="s">
        <v>2666</v>
      </c>
      <c r="D81" s="485">
        <f>'4Ф КРУГ'!B9</f>
        <v>0</v>
      </c>
      <c r="E81" s="922" t="e">
        <f>IF(D81="","",VLOOKUP(D81,'Списки участников'!A:K,12,FALSE))</f>
        <v>#N/A</v>
      </c>
      <c r="F81" s="484">
        <f>'4Ф КРУГ'!B25</f>
        <v>0</v>
      </c>
      <c r="G81" s="922" t="e">
        <f>IF(F81="","",VLOOKUP(F81,'Списки участников'!A:K,12,FALSE))</f>
        <v>#N/A</v>
      </c>
      <c r="H81" s="484"/>
      <c r="I81" s="922" t="str">
        <f>IF(H81="","",VLOOKUP(H81,'Списки участников'!A:K,12,FALSE))</f>
        <v/>
      </c>
      <c r="J81" s="915"/>
      <c r="K81" s="915"/>
      <c r="L81" s="915"/>
      <c r="M81" s="486"/>
      <c r="N81" s="486"/>
      <c r="O81" s="905" t="str">
        <f t="shared" si="2"/>
        <v/>
      </c>
      <c r="P81" s="930" t="str">
        <f t="shared" si="3"/>
        <v/>
      </c>
      <c r="Q81" s="931"/>
    </row>
    <row r="82" spans="1:17" ht="17.25" x14ac:dyDescent="0.25">
      <c r="A82" s="486">
        <v>78</v>
      </c>
      <c r="B82" s="496">
        <v>10</v>
      </c>
      <c r="C82" s="908" t="s">
        <v>2667</v>
      </c>
      <c r="D82" s="485">
        <f>'4Ф КРУГ'!B7</f>
        <v>0</v>
      </c>
      <c r="E82" s="922" t="e">
        <f>IF(D82="","",VLOOKUP(D82,'Списки участников'!A:K,12,FALSE))</f>
        <v>#N/A</v>
      </c>
      <c r="F82" s="484">
        <f>'4Ф КРУГ'!B27</f>
        <v>0</v>
      </c>
      <c r="G82" s="922" t="e">
        <f>IF(F82="","",VLOOKUP(F82,'Списки участников'!A:K,12,FALSE))</f>
        <v>#N/A</v>
      </c>
      <c r="H82" s="491"/>
      <c r="I82" s="922" t="str">
        <f>IF(H82="","",VLOOKUP(H82,'Списки участников'!A:K,12,FALSE))</f>
        <v/>
      </c>
      <c r="J82" s="915"/>
      <c r="K82" s="915"/>
      <c r="L82" s="915"/>
      <c r="M82" s="914"/>
      <c r="N82" s="914"/>
      <c r="O82" s="905" t="str">
        <f t="shared" si="2"/>
        <v/>
      </c>
      <c r="P82" s="930" t="str">
        <f t="shared" si="3"/>
        <v/>
      </c>
      <c r="Q82" s="931"/>
    </row>
    <row r="83" spans="1:17" ht="17.25" x14ac:dyDescent="0.25">
      <c r="A83" s="486">
        <v>79</v>
      </c>
      <c r="B83" s="496">
        <v>10</v>
      </c>
      <c r="C83" s="490" t="s">
        <v>1000</v>
      </c>
      <c r="D83" s="485">
        <f>'4Ф КРУГ'!B29</f>
        <v>0</v>
      </c>
      <c r="E83" s="922" t="e">
        <f>IF(D83="","",VLOOKUP(D83,'Списки участников'!A:K,12,FALSE))</f>
        <v>#N/A</v>
      </c>
      <c r="F83" s="491">
        <f>'4Ф КРУГ'!B35</f>
        <v>0</v>
      </c>
      <c r="G83" s="922" t="e">
        <f>IF(F83="","",VLOOKUP(F83,'Списки участников'!A:K,12,FALSE))</f>
        <v>#N/A</v>
      </c>
      <c r="H83" s="491"/>
      <c r="I83" s="922" t="str">
        <f>IF(H83="","",VLOOKUP(H83,'Списки участников'!A:K,12,FALSE))</f>
        <v/>
      </c>
      <c r="J83" s="915"/>
      <c r="K83" s="915"/>
      <c r="L83" s="915"/>
      <c r="M83" s="914"/>
      <c r="N83" s="914"/>
      <c r="O83" s="905" t="str">
        <f t="shared" si="2"/>
        <v/>
      </c>
      <c r="P83" s="930" t="str">
        <f t="shared" si="3"/>
        <v/>
      </c>
      <c r="Q83" s="931"/>
    </row>
    <row r="84" spans="1:17" ht="18" thickBot="1" x14ac:dyDescent="0.3">
      <c r="A84" s="486">
        <v>80</v>
      </c>
      <c r="B84" s="500">
        <v>10</v>
      </c>
      <c r="C84" s="493" t="s">
        <v>1001</v>
      </c>
      <c r="D84" s="731">
        <f>'4Ф КРУГ'!B31</f>
        <v>0</v>
      </c>
      <c r="E84" s="730" t="e">
        <f>IF(D84="","",VLOOKUP(D84,'Списки участников'!A:K,12,FALSE))</f>
        <v>#N/A</v>
      </c>
      <c r="F84" s="494">
        <f>'4Ф КРУГ'!B33</f>
        <v>0</v>
      </c>
      <c r="G84" s="730" t="e">
        <f>IF(F84="","",VLOOKUP(F84,'Списки участников'!A:K,12,FALSE))</f>
        <v>#N/A</v>
      </c>
      <c r="H84" s="494"/>
      <c r="I84" s="730" t="str">
        <f>IF(H84="","",VLOOKUP(H84,'Списки участников'!A:K,12,FALSE))</f>
        <v/>
      </c>
      <c r="J84" s="702"/>
      <c r="K84" s="702"/>
      <c r="L84" s="702"/>
      <c r="M84" s="702"/>
      <c r="N84" s="702"/>
      <c r="O84" s="932" t="str">
        <f t="shared" si="2"/>
        <v/>
      </c>
      <c r="P84" s="933" t="str">
        <f t="shared" si="3"/>
        <v/>
      </c>
      <c r="Q84" s="701"/>
    </row>
    <row r="85" spans="1:17" ht="15" customHeight="1" x14ac:dyDescent="0.25">
      <c r="A85" s="486">
        <v>81</v>
      </c>
      <c r="B85" s="496">
        <v>11</v>
      </c>
      <c r="C85" s="483" t="s">
        <v>1002</v>
      </c>
      <c r="D85" s="485">
        <f>'4Ф КРУГ'!B5</f>
        <v>0</v>
      </c>
      <c r="E85" s="922" t="e">
        <f>IF(D85="","",VLOOKUP(D85,'Списки участников'!A:K,12,FALSE))</f>
        <v>#N/A</v>
      </c>
      <c r="F85" s="485">
        <f>'4Ф КРУГ'!B15</f>
        <v>0</v>
      </c>
      <c r="G85" s="922" t="e">
        <f>IF(F85="","",VLOOKUP(F85,'Списки участников'!A:K,12,FALSE))</f>
        <v>#N/A</v>
      </c>
      <c r="H85" s="485"/>
      <c r="I85" s="922" t="str">
        <f>IF(H85="","",VLOOKUP(H85,'Списки участников'!A:K,12,FALSE))</f>
        <v/>
      </c>
      <c r="J85" s="915"/>
      <c r="K85" s="915"/>
      <c r="L85" s="915"/>
      <c r="M85" s="915"/>
      <c r="N85" s="915"/>
      <c r="O85" s="905" t="str">
        <f t="shared" si="2"/>
        <v/>
      </c>
      <c r="P85" s="930" t="str">
        <f t="shared" si="3"/>
        <v/>
      </c>
      <c r="Q85" s="922"/>
    </row>
    <row r="86" spans="1:17" ht="17.25" x14ac:dyDescent="0.25">
      <c r="A86" s="486">
        <v>82</v>
      </c>
      <c r="B86" s="496">
        <v>11</v>
      </c>
      <c r="C86" s="906" t="s">
        <v>2668</v>
      </c>
      <c r="D86" s="484">
        <f>'4Ф КРУГ'!B13</f>
        <v>0</v>
      </c>
      <c r="E86" s="922" t="e">
        <f>IF(D86="","",VLOOKUP(D86,'Списки участников'!A:K,12,FALSE))</f>
        <v>#N/A</v>
      </c>
      <c r="F86" s="485">
        <f>'4Ф КРУГ'!B17</f>
        <v>0</v>
      </c>
      <c r="G86" s="922" t="e">
        <f>IF(F86="","",VLOOKUP(F86,'Списки участников'!A:K,12,FALSE))</f>
        <v>#N/A</v>
      </c>
      <c r="H86" s="484"/>
      <c r="I86" s="922" t="str">
        <f>IF(H86="","",VLOOKUP(H86,'Списки участников'!A:K,12,FALSE))</f>
        <v/>
      </c>
      <c r="J86" s="915"/>
      <c r="K86" s="915"/>
      <c r="L86" s="915"/>
      <c r="M86" s="486"/>
      <c r="N86" s="486"/>
      <c r="O86" s="905" t="str">
        <f t="shared" si="2"/>
        <v/>
      </c>
      <c r="P86" s="930" t="str">
        <f t="shared" si="3"/>
        <v/>
      </c>
      <c r="Q86" s="931"/>
    </row>
    <row r="87" spans="1:17" ht="17.25" x14ac:dyDescent="0.25">
      <c r="A87" s="486">
        <v>83</v>
      </c>
      <c r="B87" s="496">
        <v>11</v>
      </c>
      <c r="C87" s="906" t="s">
        <v>2669</v>
      </c>
      <c r="D87" s="484">
        <f>'4Ф КРУГ'!B11</f>
        <v>0</v>
      </c>
      <c r="E87" s="922" t="e">
        <f>IF(D87="","",VLOOKUP(D87,'Списки участников'!A:K,12,FALSE))</f>
        <v>#N/A</v>
      </c>
      <c r="F87" s="485">
        <f>'4Ф КРУГ'!B19</f>
        <v>0</v>
      </c>
      <c r="G87" s="922" t="e">
        <f>IF(F87="","",VLOOKUP(F87,'Списки участников'!A:K,12,FALSE))</f>
        <v>#N/A</v>
      </c>
      <c r="H87" s="484"/>
      <c r="I87" s="922" t="str">
        <f>IF(H87="","",VLOOKUP(H87,'Списки участников'!A:K,12,FALSE))</f>
        <v/>
      </c>
      <c r="J87" s="915"/>
      <c r="K87" s="915"/>
      <c r="L87" s="915"/>
      <c r="M87" s="486"/>
      <c r="N87" s="486"/>
      <c r="O87" s="905" t="str">
        <f t="shared" si="2"/>
        <v/>
      </c>
      <c r="P87" s="930" t="str">
        <f t="shared" si="3"/>
        <v/>
      </c>
      <c r="Q87" s="931"/>
    </row>
    <row r="88" spans="1:17" ht="17.25" x14ac:dyDescent="0.25">
      <c r="A88" s="486">
        <v>84</v>
      </c>
      <c r="B88" s="496">
        <v>11</v>
      </c>
      <c r="C88" s="912" t="s">
        <v>2679</v>
      </c>
      <c r="D88" s="484">
        <f>'4Ф КРУГ'!B9</f>
        <v>0</v>
      </c>
      <c r="E88" s="922" t="e">
        <f>IF(D88="","",VLOOKUP(D88,'Списки участников'!A:K,12,FALSE))</f>
        <v>#N/A</v>
      </c>
      <c r="F88" s="485">
        <f>'4Ф КРУГ'!B21</f>
        <v>0</v>
      </c>
      <c r="G88" s="922" t="e">
        <f>IF(F88="","",VLOOKUP(F88,'Списки участников'!A:K,12,FALSE))</f>
        <v>#N/A</v>
      </c>
      <c r="H88" s="484"/>
      <c r="I88" s="922" t="str">
        <f>IF(H88="","",VLOOKUP(H88,'Списки участников'!A:K,12,FALSE))</f>
        <v/>
      </c>
      <c r="J88" s="915"/>
      <c r="K88" s="915"/>
      <c r="L88" s="915"/>
      <c r="M88" s="486"/>
      <c r="N88" s="486"/>
      <c r="O88" s="905" t="str">
        <f t="shared" si="2"/>
        <v/>
      </c>
      <c r="P88" s="930" t="str">
        <f t="shared" si="3"/>
        <v/>
      </c>
      <c r="Q88" s="931"/>
    </row>
    <row r="89" spans="1:17" ht="17.25" x14ac:dyDescent="0.25">
      <c r="A89" s="486">
        <v>85</v>
      </c>
      <c r="B89" s="496">
        <v>11</v>
      </c>
      <c r="C89" s="906" t="s">
        <v>2670</v>
      </c>
      <c r="D89" s="484">
        <f>'4Ф КРУГ'!B7</f>
        <v>0</v>
      </c>
      <c r="E89" s="922" t="e">
        <f>IF(D89="","",VLOOKUP(D89,'Списки участников'!A:K,12,FALSE))</f>
        <v>#N/A</v>
      </c>
      <c r="F89" s="485">
        <f>'4Ф КРУГ'!B23</f>
        <v>0</v>
      </c>
      <c r="G89" s="922" t="e">
        <f>IF(F89="","",VLOOKUP(F89,'Списки участников'!A:K,12,FALSE))</f>
        <v>#N/A</v>
      </c>
      <c r="H89" s="484"/>
      <c r="I89" s="922" t="str">
        <f>IF(H89="","",VLOOKUP(H89,'Списки участников'!A:K,12,FALSE))</f>
        <v/>
      </c>
      <c r="J89" s="915"/>
      <c r="K89" s="915"/>
      <c r="L89" s="915"/>
      <c r="M89" s="486"/>
      <c r="N89" s="486"/>
      <c r="O89" s="905" t="str">
        <f t="shared" si="2"/>
        <v/>
      </c>
      <c r="P89" s="930" t="str">
        <f t="shared" si="3"/>
        <v/>
      </c>
      <c r="Q89" s="931"/>
    </row>
    <row r="90" spans="1:17" ht="17.25" x14ac:dyDescent="0.25">
      <c r="A90" s="486">
        <v>86</v>
      </c>
      <c r="B90" s="496">
        <v>11</v>
      </c>
      <c r="C90" s="490" t="s">
        <v>1003</v>
      </c>
      <c r="D90" s="484">
        <f>'4Ф КРУГ'!B25</f>
        <v>0</v>
      </c>
      <c r="E90" s="922" t="e">
        <f>IF(D90="","",VLOOKUP(D90,'Списки участников'!A:K,12,FALSE))</f>
        <v>#N/A</v>
      </c>
      <c r="F90" s="491">
        <f>'4Ф КРУГ'!B35</f>
        <v>0</v>
      </c>
      <c r="G90" s="922" t="e">
        <f>IF(F90="","",VLOOKUP(F90,'Списки участников'!A:K,12,FALSE))</f>
        <v>#N/A</v>
      </c>
      <c r="H90" s="491"/>
      <c r="I90" s="922" t="str">
        <f>IF(H90="","",VLOOKUP(H90,'Списки участников'!A:K,12,FALSE))</f>
        <v/>
      </c>
      <c r="J90" s="915"/>
      <c r="K90" s="915"/>
      <c r="L90" s="915"/>
      <c r="M90" s="914"/>
      <c r="N90" s="914"/>
      <c r="O90" s="905" t="str">
        <f t="shared" si="2"/>
        <v/>
      </c>
      <c r="P90" s="930" t="str">
        <f t="shared" si="3"/>
        <v/>
      </c>
      <c r="Q90" s="931"/>
    </row>
    <row r="91" spans="1:17" ht="17.25" x14ac:dyDescent="0.25">
      <c r="A91" s="486">
        <v>87</v>
      </c>
      <c r="B91" s="496">
        <v>11</v>
      </c>
      <c r="C91" s="490" t="s">
        <v>1004</v>
      </c>
      <c r="D91" s="484">
        <f>'4Ф КРУГ'!B27</f>
        <v>0</v>
      </c>
      <c r="E91" s="922" t="e">
        <f>IF(D91="","",VLOOKUP(D91,'Списки участников'!A:K,12,FALSE))</f>
        <v>#N/A</v>
      </c>
      <c r="F91" s="491">
        <f>'4Ф КРУГ'!B33</f>
        <v>0</v>
      </c>
      <c r="G91" s="922" t="e">
        <f>IF(F91="","",VLOOKUP(F91,'Списки участников'!A:K,12,FALSE))</f>
        <v>#N/A</v>
      </c>
      <c r="H91" s="491"/>
      <c r="I91" s="922" t="str">
        <f>IF(H91="","",VLOOKUP(H91,'Списки участников'!A:K,12,FALSE))</f>
        <v/>
      </c>
      <c r="J91" s="915"/>
      <c r="K91" s="915"/>
      <c r="L91" s="915"/>
      <c r="M91" s="914"/>
      <c r="N91" s="914"/>
      <c r="O91" s="905" t="str">
        <f t="shared" si="2"/>
        <v/>
      </c>
      <c r="P91" s="930" t="str">
        <f t="shared" si="3"/>
        <v/>
      </c>
      <c r="Q91" s="931"/>
    </row>
    <row r="92" spans="1:17" ht="18" thickBot="1" x14ac:dyDescent="0.3">
      <c r="A92" s="486">
        <v>88</v>
      </c>
      <c r="B92" s="500">
        <v>11</v>
      </c>
      <c r="C92" s="493" t="s">
        <v>1005</v>
      </c>
      <c r="D92" s="494">
        <f>'4Ф КРУГ'!B29</f>
        <v>0</v>
      </c>
      <c r="E92" s="730" t="e">
        <f>IF(D92="","",VLOOKUP(D92,'Списки участников'!A:K,12,FALSE))</f>
        <v>#N/A</v>
      </c>
      <c r="F92" s="494">
        <f>'4Ф КРУГ'!B31</f>
        <v>0</v>
      </c>
      <c r="G92" s="730" t="e">
        <f>IF(F92="","",VLOOKUP(F92,'Списки участников'!A:K,12,FALSE))</f>
        <v>#N/A</v>
      </c>
      <c r="H92" s="494"/>
      <c r="I92" s="701" t="str">
        <f>IF(H92="","",VLOOKUP(H92,'Списки участников'!A:K,12,FALSE))</f>
        <v/>
      </c>
      <c r="J92" s="702"/>
      <c r="K92" s="702"/>
      <c r="L92" s="702"/>
      <c r="M92" s="702"/>
      <c r="N92" s="702"/>
      <c r="O92" s="932" t="str">
        <f t="shared" si="2"/>
        <v/>
      </c>
      <c r="P92" s="933" t="str">
        <f t="shared" si="3"/>
        <v/>
      </c>
      <c r="Q92" s="701"/>
    </row>
    <row r="93" spans="1:17" ht="15" customHeight="1" x14ac:dyDescent="0.25">
      <c r="A93" s="486">
        <v>89</v>
      </c>
      <c r="B93" s="496">
        <v>12</v>
      </c>
      <c r="C93" s="907" t="s">
        <v>2626</v>
      </c>
      <c r="D93" s="485">
        <f>'4Ф КРУГ'!B5</f>
        <v>0</v>
      </c>
      <c r="E93" s="922" t="e">
        <f>IF(D93="","",VLOOKUP(D93,'Списки участников'!A:K,12,FALSE))</f>
        <v>#N/A</v>
      </c>
      <c r="F93" s="485">
        <f>'4Ф КРУГ'!B13</f>
        <v>0</v>
      </c>
      <c r="G93" s="922" t="e">
        <f>IF(F93="","",VLOOKUP(F93,'Списки участников'!A:K,12,FALSE))</f>
        <v>#N/A</v>
      </c>
      <c r="H93" s="485"/>
      <c r="I93" s="922" t="str">
        <f>IF(H93="","",VLOOKUP(H93,'Списки участников'!A:K,12,FALSE))</f>
        <v/>
      </c>
      <c r="J93" s="915"/>
      <c r="K93" s="915"/>
      <c r="L93" s="915"/>
      <c r="M93" s="915"/>
      <c r="N93" s="915"/>
      <c r="O93" s="905" t="str">
        <f t="shared" si="2"/>
        <v/>
      </c>
      <c r="P93" s="930" t="str">
        <f t="shared" si="3"/>
        <v/>
      </c>
      <c r="Q93" s="922"/>
    </row>
    <row r="94" spans="1:17" ht="17.25" x14ac:dyDescent="0.25">
      <c r="A94" s="486">
        <v>90</v>
      </c>
      <c r="B94" s="496">
        <v>12</v>
      </c>
      <c r="C94" s="906" t="s">
        <v>2671</v>
      </c>
      <c r="D94" s="485">
        <f>'4Ф КРУГ'!B11</f>
        <v>0</v>
      </c>
      <c r="E94" s="922" t="e">
        <f>IF(D94="","",VLOOKUP(D94,'Списки участников'!A:K,12,FALSE))</f>
        <v>#N/A</v>
      </c>
      <c r="F94" s="484">
        <f>'4Ф КРУГ'!B15</f>
        <v>0</v>
      </c>
      <c r="G94" s="922" t="e">
        <f>IF(F94="","",VLOOKUP(F94,'Списки участников'!A:K,12,FALSE))</f>
        <v>#N/A</v>
      </c>
      <c r="H94" s="484"/>
      <c r="I94" s="922" t="str">
        <f>IF(H94="","",VLOOKUP(H94,'Списки участников'!A:K,12,FALSE))</f>
        <v/>
      </c>
      <c r="J94" s="915"/>
      <c r="K94" s="915"/>
      <c r="L94" s="915"/>
      <c r="M94" s="486"/>
      <c r="N94" s="486"/>
      <c r="O94" s="905" t="str">
        <f t="shared" si="2"/>
        <v/>
      </c>
      <c r="P94" s="930" t="str">
        <f t="shared" si="3"/>
        <v/>
      </c>
      <c r="Q94" s="931"/>
    </row>
    <row r="95" spans="1:17" ht="17.25" x14ac:dyDescent="0.25">
      <c r="A95" s="486">
        <v>91</v>
      </c>
      <c r="B95" s="496">
        <v>12</v>
      </c>
      <c r="C95" s="906" t="s">
        <v>2672</v>
      </c>
      <c r="D95" s="485">
        <f>'4Ф КРУГ'!B9</f>
        <v>0</v>
      </c>
      <c r="E95" s="922" t="e">
        <f>IF(D95="","",VLOOKUP(D95,'Списки участников'!A:K,12,FALSE))</f>
        <v>#N/A</v>
      </c>
      <c r="F95" s="484">
        <f>'4Ф КРУГ'!B17</f>
        <v>0</v>
      </c>
      <c r="G95" s="922" t="e">
        <f>IF(F95="","",VLOOKUP(F95,'Списки участников'!A:K,12,FALSE))</f>
        <v>#N/A</v>
      </c>
      <c r="H95" s="484"/>
      <c r="I95" s="922" t="str">
        <f>IF(H95="","",VLOOKUP(H95,'Списки участников'!A:K,12,FALSE))</f>
        <v/>
      </c>
      <c r="J95" s="915"/>
      <c r="K95" s="915"/>
      <c r="L95" s="915"/>
      <c r="M95" s="486"/>
      <c r="N95" s="486"/>
      <c r="O95" s="905" t="str">
        <f t="shared" si="2"/>
        <v/>
      </c>
      <c r="P95" s="930" t="str">
        <f t="shared" si="3"/>
        <v/>
      </c>
      <c r="Q95" s="931"/>
    </row>
    <row r="96" spans="1:17" ht="17.25" x14ac:dyDescent="0.25">
      <c r="A96" s="486">
        <v>92</v>
      </c>
      <c r="B96" s="496">
        <v>12</v>
      </c>
      <c r="C96" s="906" t="s">
        <v>2673</v>
      </c>
      <c r="D96" s="485">
        <f>'4Ф КРУГ'!B7</f>
        <v>0</v>
      </c>
      <c r="E96" s="922" t="e">
        <f>IF(D96="","",VLOOKUP(D96,'Списки участников'!A:K,12,FALSE))</f>
        <v>#N/A</v>
      </c>
      <c r="F96" s="484">
        <f>'4Ф КРУГ'!B19</f>
        <v>0</v>
      </c>
      <c r="G96" s="922" t="e">
        <f>IF(F96="","",VLOOKUP(F96,'Списки участников'!A:K,12,FALSE))</f>
        <v>#N/A</v>
      </c>
      <c r="H96" s="484"/>
      <c r="I96" s="922" t="str">
        <f>IF(H96="","",VLOOKUP(H96,'Списки участников'!A:K,12,FALSE))</f>
        <v/>
      </c>
      <c r="J96" s="915"/>
      <c r="K96" s="915"/>
      <c r="L96" s="915"/>
      <c r="M96" s="486"/>
      <c r="N96" s="486"/>
      <c r="O96" s="905" t="str">
        <f t="shared" si="2"/>
        <v/>
      </c>
      <c r="P96" s="930" t="str">
        <f t="shared" si="3"/>
        <v/>
      </c>
      <c r="Q96" s="931"/>
    </row>
    <row r="97" spans="1:17" ht="17.25" x14ac:dyDescent="0.25">
      <c r="A97" s="486">
        <v>93</v>
      </c>
      <c r="B97" s="501">
        <v>12</v>
      </c>
      <c r="C97" s="488" t="s">
        <v>1006</v>
      </c>
      <c r="D97" s="485">
        <f>'4Ф КРУГ'!B21</f>
        <v>0</v>
      </c>
      <c r="E97" s="922" t="e">
        <f>IF(D97="","",VLOOKUP(D97,'Списки участников'!A:K,12,FALSE))</f>
        <v>#N/A</v>
      </c>
      <c r="F97" s="484">
        <f>'4Ф КРУГ'!B35</f>
        <v>0</v>
      </c>
      <c r="G97" s="922" t="e">
        <f>IF(F97="","",VLOOKUP(F97,'Списки участников'!A:K,12,FALSE))</f>
        <v>#N/A</v>
      </c>
      <c r="H97" s="484"/>
      <c r="I97" s="922" t="str">
        <f>IF(H97="","",VLOOKUP(H97,'Списки участников'!A:K,12,FALSE))</f>
        <v/>
      </c>
      <c r="J97" s="915"/>
      <c r="K97" s="915"/>
      <c r="L97" s="915"/>
      <c r="M97" s="486"/>
      <c r="N97" s="486"/>
      <c r="O97" s="905" t="str">
        <f t="shared" si="2"/>
        <v/>
      </c>
      <c r="P97" s="930" t="str">
        <f t="shared" si="3"/>
        <v/>
      </c>
      <c r="Q97" s="931"/>
    </row>
    <row r="98" spans="1:17" ht="17.25" x14ac:dyDescent="0.25">
      <c r="A98" s="486">
        <v>94</v>
      </c>
      <c r="B98" s="496">
        <v>12</v>
      </c>
      <c r="C98" s="490" t="s">
        <v>1007</v>
      </c>
      <c r="D98" s="485">
        <f>'4Ф КРУГ'!B23</f>
        <v>0</v>
      </c>
      <c r="E98" s="922" t="e">
        <f>IF(D98="","",VLOOKUP(D98,'Списки участников'!A:K,12,FALSE))</f>
        <v>#N/A</v>
      </c>
      <c r="F98" s="484">
        <f>'4Ф КРУГ'!B33</f>
        <v>0</v>
      </c>
      <c r="G98" s="922" t="e">
        <f>IF(F98="","",VLOOKUP(F98,'Списки участников'!A:K,12,FALSE))</f>
        <v>#N/A</v>
      </c>
      <c r="H98" s="491"/>
      <c r="I98" s="922" t="str">
        <f>IF(H98="","",VLOOKUP(H98,'Списки участников'!A:K,12,FALSE))</f>
        <v/>
      </c>
      <c r="J98" s="915"/>
      <c r="K98" s="915"/>
      <c r="L98" s="915"/>
      <c r="M98" s="914"/>
      <c r="N98" s="914"/>
      <c r="O98" s="905" t="str">
        <f t="shared" si="2"/>
        <v/>
      </c>
      <c r="P98" s="930" t="str">
        <f t="shared" si="3"/>
        <v/>
      </c>
      <c r="Q98" s="931"/>
    </row>
    <row r="99" spans="1:17" ht="17.25" x14ac:dyDescent="0.25">
      <c r="A99" s="486">
        <v>95</v>
      </c>
      <c r="B99" s="496">
        <v>12</v>
      </c>
      <c r="C99" s="490" t="s">
        <v>1008</v>
      </c>
      <c r="D99" s="485">
        <f>'4Ф КРУГ'!B25</f>
        <v>0</v>
      </c>
      <c r="E99" s="922" t="e">
        <f>IF(D99="","",VLOOKUP(D99,'Списки участников'!A:K,12,FALSE))</f>
        <v>#N/A</v>
      </c>
      <c r="F99" s="484">
        <f>'4Ф КРУГ'!B31</f>
        <v>0</v>
      </c>
      <c r="G99" s="922" t="e">
        <f>IF(F99="","",VLOOKUP(F99,'Списки участников'!A:K,12,FALSE))</f>
        <v>#N/A</v>
      </c>
      <c r="H99" s="491"/>
      <c r="I99" s="922" t="str">
        <f>IF(H99="","",VLOOKUP(H99,'Списки участников'!A:K,12,FALSE))</f>
        <v/>
      </c>
      <c r="J99" s="915"/>
      <c r="K99" s="915"/>
      <c r="L99" s="915"/>
      <c r="M99" s="914"/>
      <c r="N99" s="914"/>
      <c r="O99" s="905" t="str">
        <f t="shared" si="2"/>
        <v/>
      </c>
      <c r="P99" s="930" t="str">
        <f t="shared" si="3"/>
        <v/>
      </c>
      <c r="Q99" s="931"/>
    </row>
    <row r="100" spans="1:17" ht="18" thickBot="1" x14ac:dyDescent="0.3">
      <c r="A100" s="486">
        <v>96</v>
      </c>
      <c r="B100" s="500">
        <v>12</v>
      </c>
      <c r="C100" s="493" t="s">
        <v>1009</v>
      </c>
      <c r="D100" s="731">
        <f>'4Ф КРУГ'!B27</f>
        <v>0</v>
      </c>
      <c r="E100" s="730" t="e">
        <f>IF(D100="","",VLOOKUP(D100,'Списки участников'!A:K,12,FALSE))</f>
        <v>#N/A</v>
      </c>
      <c r="F100" s="494">
        <f>'4Ф КРУГ'!B29</f>
        <v>0</v>
      </c>
      <c r="G100" s="730" t="e">
        <f>IF(F100="","",VLOOKUP(F100,'Списки участников'!A:K,12,FALSE))</f>
        <v>#N/A</v>
      </c>
      <c r="H100" s="494"/>
      <c r="I100" s="701" t="str">
        <f>IF(H100="","",VLOOKUP(H100,'Списки участников'!A:K,12,FALSE))</f>
        <v/>
      </c>
      <c r="J100" s="702"/>
      <c r="K100" s="702"/>
      <c r="L100" s="702"/>
      <c r="M100" s="702"/>
      <c r="N100" s="702"/>
      <c r="O100" s="932" t="str">
        <f t="shared" si="2"/>
        <v/>
      </c>
      <c r="P100" s="933" t="str">
        <f t="shared" si="3"/>
        <v/>
      </c>
      <c r="Q100" s="701"/>
    </row>
    <row r="101" spans="1:17" ht="15" customHeight="1" x14ac:dyDescent="0.25">
      <c r="A101" s="486">
        <v>97</v>
      </c>
      <c r="B101" s="496">
        <v>13</v>
      </c>
      <c r="C101" s="483" t="s">
        <v>1010</v>
      </c>
      <c r="D101" s="485">
        <f>'4Ф КРУГ'!B5</f>
        <v>0</v>
      </c>
      <c r="E101" s="922" t="e">
        <f>IF(D101="","",VLOOKUP(D101,'Списки участников'!A:K,12,FALSE))</f>
        <v>#N/A</v>
      </c>
      <c r="F101" s="485">
        <f>'4Ф КРУГ'!B11</f>
        <v>0</v>
      </c>
      <c r="G101" s="922" t="e">
        <f>IF(F101="","",VLOOKUP(F101,'Списки участников'!A:K,12,FALSE))</f>
        <v>#N/A</v>
      </c>
      <c r="H101" s="485"/>
      <c r="I101" s="922" t="str">
        <f>IF(H101="","",VLOOKUP(H101,'Списки участников'!A:K,12,FALSE))</f>
        <v/>
      </c>
      <c r="J101" s="915"/>
      <c r="K101" s="915"/>
      <c r="L101" s="915"/>
      <c r="M101" s="915"/>
      <c r="N101" s="915"/>
      <c r="O101" s="905" t="str">
        <f t="shared" si="2"/>
        <v/>
      </c>
      <c r="P101" s="930" t="str">
        <f t="shared" si="3"/>
        <v/>
      </c>
      <c r="Q101" s="922"/>
    </row>
    <row r="102" spans="1:17" ht="17.25" x14ac:dyDescent="0.25">
      <c r="A102" s="486">
        <v>98</v>
      </c>
      <c r="B102" s="496">
        <v>13</v>
      </c>
      <c r="C102" s="906" t="s">
        <v>2674</v>
      </c>
      <c r="D102" s="484">
        <f>'4Ф КРУГ'!B9</f>
        <v>0</v>
      </c>
      <c r="E102" s="922" t="e">
        <f>IF(D102="","",VLOOKUP(D102,'Списки участников'!A:K,12,FALSE))</f>
        <v>#N/A</v>
      </c>
      <c r="F102" s="485">
        <f>'4Ф КРУГ'!B13</f>
        <v>0</v>
      </c>
      <c r="G102" s="922" t="e">
        <f>IF(F102="","",VLOOKUP(F102,'Списки участников'!A:K,12,FALSE))</f>
        <v>#N/A</v>
      </c>
      <c r="H102" s="484"/>
      <c r="I102" s="922" t="str">
        <f>IF(H102="","",VLOOKUP(H102,'Списки участников'!A:K,12,FALSE))</f>
        <v/>
      </c>
      <c r="J102" s="915"/>
      <c r="K102" s="915"/>
      <c r="L102" s="915"/>
      <c r="M102" s="486"/>
      <c r="N102" s="486"/>
      <c r="O102" s="905" t="str">
        <f t="shared" si="2"/>
        <v/>
      </c>
      <c r="P102" s="930" t="str">
        <f t="shared" si="3"/>
        <v/>
      </c>
      <c r="Q102" s="931"/>
    </row>
    <row r="103" spans="1:17" ht="17.25" x14ac:dyDescent="0.25">
      <c r="A103" s="486">
        <v>99</v>
      </c>
      <c r="B103" s="496">
        <v>13</v>
      </c>
      <c r="C103" s="906" t="s">
        <v>2675</v>
      </c>
      <c r="D103" s="484">
        <f>'4Ф КРУГ'!B7</f>
        <v>0</v>
      </c>
      <c r="E103" s="922" t="e">
        <f>IF(D103="","",VLOOKUP(D103,'Списки участников'!A:K,12,FALSE))</f>
        <v>#N/A</v>
      </c>
      <c r="F103" s="485">
        <f>'4Ф КРУГ'!B15</f>
        <v>0</v>
      </c>
      <c r="G103" s="922" t="e">
        <f>IF(F103="","",VLOOKUP(F103,'Списки участников'!A:K,12,FALSE))</f>
        <v>#N/A</v>
      </c>
      <c r="H103" s="484"/>
      <c r="I103" s="922" t="str">
        <f>IF(H103="","",VLOOKUP(H103,'Списки участников'!A:K,12,FALSE))</f>
        <v/>
      </c>
      <c r="J103" s="915"/>
      <c r="K103" s="915"/>
      <c r="L103" s="915"/>
      <c r="M103" s="486"/>
      <c r="N103" s="486"/>
      <c r="O103" s="905" t="str">
        <f t="shared" si="2"/>
        <v/>
      </c>
      <c r="P103" s="930" t="str">
        <f t="shared" si="3"/>
        <v/>
      </c>
      <c r="Q103" s="931"/>
    </row>
    <row r="104" spans="1:17" ht="17.25" x14ac:dyDescent="0.25">
      <c r="A104" s="486">
        <v>100</v>
      </c>
      <c r="B104" s="496">
        <v>13</v>
      </c>
      <c r="C104" s="488" t="s">
        <v>1011</v>
      </c>
      <c r="D104" s="484">
        <f>'4Ф КРУГ'!B17</f>
        <v>0</v>
      </c>
      <c r="E104" s="922" t="e">
        <f>IF(D104="","",VLOOKUP(D104,'Списки участников'!A:K,12,FALSE))</f>
        <v>#N/A</v>
      </c>
      <c r="F104" s="484">
        <f>'4Ф КРУГ'!B35</f>
        <v>0</v>
      </c>
      <c r="G104" s="922" t="e">
        <f>IF(F104="","",VLOOKUP(F104,'Списки участников'!A:K,12,FALSE))</f>
        <v>#N/A</v>
      </c>
      <c r="H104" s="484"/>
      <c r="I104" s="922" t="str">
        <f>IF(H104="","",VLOOKUP(H104,'Списки участников'!A:K,12,FALSE))</f>
        <v/>
      </c>
      <c r="J104" s="915"/>
      <c r="K104" s="915"/>
      <c r="L104" s="915"/>
      <c r="M104" s="486"/>
      <c r="N104" s="486"/>
      <c r="O104" s="905" t="str">
        <f t="shared" si="2"/>
        <v/>
      </c>
      <c r="P104" s="930" t="str">
        <f t="shared" si="3"/>
        <v/>
      </c>
      <c r="Q104" s="931"/>
    </row>
    <row r="105" spans="1:17" ht="17.25" x14ac:dyDescent="0.25">
      <c r="A105" s="486">
        <v>101</v>
      </c>
      <c r="B105" s="501">
        <v>13</v>
      </c>
      <c r="C105" s="488" t="s">
        <v>1012</v>
      </c>
      <c r="D105" s="484">
        <f>'4Ф КРУГ'!B19</f>
        <v>0</v>
      </c>
      <c r="E105" s="922" t="e">
        <f>IF(D105="","",VLOOKUP(D105,'Списки участников'!A:K,12,FALSE))</f>
        <v>#N/A</v>
      </c>
      <c r="F105" s="484">
        <f>'4Ф КРУГ'!B33</f>
        <v>0</v>
      </c>
      <c r="G105" s="922" t="e">
        <f>IF(F105="","",VLOOKUP(F105,'Списки участников'!A:K,12,FALSE))</f>
        <v>#N/A</v>
      </c>
      <c r="H105" s="484"/>
      <c r="I105" s="922" t="str">
        <f>IF(H105="","",VLOOKUP(H105,'Списки участников'!A:K,12,FALSE))</f>
        <v/>
      </c>
      <c r="J105" s="915"/>
      <c r="K105" s="915"/>
      <c r="L105" s="915"/>
      <c r="M105" s="486"/>
      <c r="N105" s="486"/>
      <c r="O105" s="905" t="str">
        <f t="shared" si="2"/>
        <v/>
      </c>
      <c r="P105" s="930" t="str">
        <f t="shared" si="3"/>
        <v/>
      </c>
      <c r="Q105" s="931"/>
    </row>
    <row r="106" spans="1:17" ht="17.25" x14ac:dyDescent="0.25">
      <c r="A106" s="486">
        <v>102</v>
      </c>
      <c r="B106" s="496">
        <v>13</v>
      </c>
      <c r="C106" s="490" t="s">
        <v>1013</v>
      </c>
      <c r="D106" s="484">
        <f>'4Ф КРУГ'!B21</f>
        <v>0</v>
      </c>
      <c r="E106" s="922" t="e">
        <f>IF(D106="","",VLOOKUP(D106,'Списки участников'!A:K,12,FALSE))</f>
        <v>#N/A</v>
      </c>
      <c r="F106" s="484">
        <f>'4Ф КРУГ'!B31</f>
        <v>0</v>
      </c>
      <c r="G106" s="922" t="e">
        <f>IF(F106="","",VLOOKUP(F106,'Списки участников'!A:K,12,FALSE))</f>
        <v>#N/A</v>
      </c>
      <c r="H106" s="491"/>
      <c r="I106" s="922" t="str">
        <f>IF(H106="","",VLOOKUP(H106,'Списки участников'!A:K,12,FALSE))</f>
        <v/>
      </c>
      <c r="J106" s="915"/>
      <c r="K106" s="915"/>
      <c r="L106" s="915"/>
      <c r="M106" s="914"/>
      <c r="N106" s="914"/>
      <c r="O106" s="905" t="str">
        <f t="shared" si="2"/>
        <v/>
      </c>
      <c r="P106" s="930" t="str">
        <f t="shared" si="3"/>
        <v/>
      </c>
      <c r="Q106" s="931"/>
    </row>
    <row r="107" spans="1:17" ht="17.25" x14ac:dyDescent="0.25">
      <c r="A107" s="486">
        <v>103</v>
      </c>
      <c r="B107" s="496">
        <v>13</v>
      </c>
      <c r="C107" s="490" t="s">
        <v>1014</v>
      </c>
      <c r="D107" s="484">
        <f>'4Ф КРУГ'!B23</f>
        <v>0</v>
      </c>
      <c r="E107" s="922" t="e">
        <f>IF(D107="","",VLOOKUP(D107,'Списки участников'!A:K,12,FALSE))</f>
        <v>#N/A</v>
      </c>
      <c r="F107" s="484">
        <f>'4Ф КРУГ'!B29</f>
        <v>0</v>
      </c>
      <c r="G107" s="922" t="e">
        <f>IF(F107="","",VLOOKUP(F107,'Списки участников'!A:K,12,FALSE))</f>
        <v>#N/A</v>
      </c>
      <c r="H107" s="491"/>
      <c r="I107" s="922" t="str">
        <f>IF(H107="","",VLOOKUP(H107,'Списки участников'!A:K,12,FALSE))</f>
        <v/>
      </c>
      <c r="J107" s="915"/>
      <c r="K107" s="915"/>
      <c r="L107" s="915"/>
      <c r="M107" s="914"/>
      <c r="N107" s="914"/>
      <c r="O107" s="905" t="str">
        <f t="shared" si="2"/>
        <v/>
      </c>
      <c r="P107" s="930" t="str">
        <f t="shared" si="3"/>
        <v/>
      </c>
      <c r="Q107" s="931"/>
    </row>
    <row r="108" spans="1:17" ht="18" thickBot="1" x14ac:dyDescent="0.3">
      <c r="A108" s="486">
        <v>104</v>
      </c>
      <c r="B108" s="500">
        <v>13</v>
      </c>
      <c r="C108" s="493" t="s">
        <v>1015</v>
      </c>
      <c r="D108" s="494">
        <f>'4Ф КРУГ'!B25</f>
        <v>0</v>
      </c>
      <c r="E108" s="730" t="e">
        <f>IF(D108="","",VLOOKUP(D108,'Списки участников'!A:K,12,FALSE))</f>
        <v>#N/A</v>
      </c>
      <c r="F108" s="494">
        <f>'4Ф КРУГ'!B27</f>
        <v>0</v>
      </c>
      <c r="G108" s="730" t="e">
        <f>IF(F108="","",VLOOKUP(F108,'Списки участников'!A:K,12,FALSE))</f>
        <v>#N/A</v>
      </c>
      <c r="H108" s="494"/>
      <c r="I108" s="701" t="str">
        <f>IF(H108="","",VLOOKUP(H108,'Списки участников'!A:K,12,FALSE))</f>
        <v/>
      </c>
      <c r="J108" s="702"/>
      <c r="K108" s="702"/>
      <c r="L108" s="702"/>
      <c r="M108" s="702"/>
      <c r="N108" s="702"/>
      <c r="O108" s="932" t="str">
        <f t="shared" si="2"/>
        <v/>
      </c>
      <c r="P108" s="933" t="str">
        <f t="shared" si="3"/>
        <v/>
      </c>
      <c r="Q108" s="701"/>
    </row>
    <row r="109" spans="1:17" ht="15" customHeight="1" x14ac:dyDescent="0.25">
      <c r="A109" s="486">
        <v>105</v>
      </c>
      <c r="B109" s="496">
        <v>14</v>
      </c>
      <c r="C109" s="913" t="s">
        <v>2680</v>
      </c>
      <c r="D109" s="485">
        <f>'4Ф КРУГ'!B5</f>
        <v>0</v>
      </c>
      <c r="E109" s="922" t="e">
        <f>IF(D109="","",VLOOKUP(D109,'Списки участников'!A:K,12,FALSE))</f>
        <v>#N/A</v>
      </c>
      <c r="F109" s="485">
        <f>'4Ф КРУГ'!B9</f>
        <v>0</v>
      </c>
      <c r="G109" s="922" t="e">
        <f>IF(F109="","",VLOOKUP(F109,'Списки участников'!A:K,12,FALSE))</f>
        <v>#N/A</v>
      </c>
      <c r="H109" s="485"/>
      <c r="I109" s="922" t="str">
        <f>IF(H109="","",VLOOKUP(H109,'Списки участников'!A:K,12,FALSE))</f>
        <v/>
      </c>
      <c r="J109" s="915"/>
      <c r="K109" s="915"/>
      <c r="L109" s="915"/>
      <c r="M109" s="915"/>
      <c r="N109" s="915"/>
      <c r="O109" s="905" t="str">
        <f t="shared" si="2"/>
        <v/>
      </c>
      <c r="P109" s="930" t="str">
        <f t="shared" si="3"/>
        <v/>
      </c>
      <c r="Q109" s="922"/>
    </row>
    <row r="110" spans="1:17" ht="17.25" x14ac:dyDescent="0.25">
      <c r="A110" s="486">
        <v>106</v>
      </c>
      <c r="B110" s="496">
        <v>14</v>
      </c>
      <c r="C110" s="906" t="s">
        <v>2676</v>
      </c>
      <c r="D110" s="485">
        <f>'4Ф КРУГ'!B7</f>
        <v>0</v>
      </c>
      <c r="E110" s="922" t="e">
        <f>IF(D110="","",VLOOKUP(D110,'Списки участников'!A:K,12,FALSE))</f>
        <v>#N/A</v>
      </c>
      <c r="F110" s="484">
        <f>'4Ф КРУГ'!B11</f>
        <v>0</v>
      </c>
      <c r="G110" s="922" t="e">
        <f>IF(F110="","",VLOOKUP(F110,'Списки участников'!A:K,12,FALSE))</f>
        <v>#N/A</v>
      </c>
      <c r="H110" s="484"/>
      <c r="I110" s="922" t="str">
        <f>IF(H110="","",VLOOKUP(H110,'Списки участников'!A:K,12,FALSE))</f>
        <v/>
      </c>
      <c r="J110" s="915"/>
      <c r="K110" s="915"/>
      <c r="L110" s="915"/>
      <c r="M110" s="486"/>
      <c r="N110" s="486"/>
      <c r="O110" s="905" t="str">
        <f t="shared" si="2"/>
        <v/>
      </c>
      <c r="P110" s="930" t="str">
        <f t="shared" si="3"/>
        <v/>
      </c>
      <c r="Q110" s="931"/>
    </row>
    <row r="111" spans="1:17" ht="17.25" x14ac:dyDescent="0.25">
      <c r="A111" s="486">
        <v>107</v>
      </c>
      <c r="B111" s="496">
        <v>14</v>
      </c>
      <c r="C111" s="488" t="s">
        <v>1016</v>
      </c>
      <c r="D111" s="485">
        <f>'4Ф КРУГ'!B13</f>
        <v>0</v>
      </c>
      <c r="E111" s="922" t="e">
        <f>IF(D111="","",VLOOKUP(D111,'Списки участников'!A:K,12,FALSE))</f>
        <v>#N/A</v>
      </c>
      <c r="F111" s="484">
        <f>'4Ф КРУГ'!B35</f>
        <v>0</v>
      </c>
      <c r="G111" s="922" t="e">
        <f>IF(F111="","",VLOOKUP(F111,'Списки участников'!A:K,12,FALSE))</f>
        <v>#N/A</v>
      </c>
      <c r="H111" s="484"/>
      <c r="I111" s="922" t="str">
        <f>IF(H111="","",VLOOKUP(H111,'Списки участников'!A:K,12,FALSE))</f>
        <v/>
      </c>
      <c r="J111" s="915"/>
      <c r="K111" s="915"/>
      <c r="L111" s="915"/>
      <c r="M111" s="486"/>
      <c r="N111" s="486"/>
      <c r="O111" s="905" t="str">
        <f t="shared" si="2"/>
        <v/>
      </c>
      <c r="P111" s="930" t="str">
        <f t="shared" si="3"/>
        <v/>
      </c>
      <c r="Q111" s="931"/>
    </row>
    <row r="112" spans="1:17" ht="17.25" x14ac:dyDescent="0.25">
      <c r="A112" s="486">
        <v>108</v>
      </c>
      <c r="B112" s="496">
        <v>14</v>
      </c>
      <c r="C112" s="488" t="s">
        <v>1017</v>
      </c>
      <c r="D112" s="485">
        <f>'4Ф КРУГ'!B15</f>
        <v>0</v>
      </c>
      <c r="E112" s="922" t="e">
        <f>IF(D112="","",VLOOKUP(D112,'Списки участников'!A:K,12,FALSE))</f>
        <v>#N/A</v>
      </c>
      <c r="F112" s="484">
        <f>'4Ф КРУГ'!B33</f>
        <v>0</v>
      </c>
      <c r="G112" s="922" t="e">
        <f>IF(F112="","",VLOOKUP(F112,'Списки участников'!A:K,12,FALSE))</f>
        <v>#N/A</v>
      </c>
      <c r="H112" s="484"/>
      <c r="I112" s="922" t="str">
        <f>IF(H112="","",VLOOKUP(H112,'Списки участников'!A:K,12,FALSE))</f>
        <v/>
      </c>
      <c r="J112" s="915"/>
      <c r="K112" s="915"/>
      <c r="L112" s="915"/>
      <c r="M112" s="486"/>
      <c r="N112" s="486"/>
      <c r="O112" s="905" t="str">
        <f t="shared" si="2"/>
        <v/>
      </c>
      <c r="P112" s="930" t="str">
        <f t="shared" si="3"/>
        <v/>
      </c>
      <c r="Q112" s="931"/>
    </row>
    <row r="113" spans="1:17" ht="17.25" x14ac:dyDescent="0.25">
      <c r="A113" s="486">
        <v>109</v>
      </c>
      <c r="B113" s="501">
        <v>14</v>
      </c>
      <c r="C113" s="488" t="s">
        <v>1018</v>
      </c>
      <c r="D113" s="485">
        <f>'4Ф КРУГ'!B17</f>
        <v>0</v>
      </c>
      <c r="E113" s="922" t="e">
        <f>IF(D113="","",VLOOKUP(D113,'Списки участников'!A:K,12,FALSE))</f>
        <v>#N/A</v>
      </c>
      <c r="F113" s="484">
        <f>'4Ф КРУГ'!B31</f>
        <v>0</v>
      </c>
      <c r="G113" s="922" t="e">
        <f>IF(F113="","",VLOOKUP(F113,'Списки участников'!A:K,12,FALSE))</f>
        <v>#N/A</v>
      </c>
      <c r="H113" s="484"/>
      <c r="I113" s="922" t="str">
        <f>IF(H113="","",VLOOKUP(H113,'Списки участников'!A:K,12,FALSE))</f>
        <v/>
      </c>
      <c r="J113" s="915"/>
      <c r="K113" s="915"/>
      <c r="L113" s="915"/>
      <c r="M113" s="486"/>
      <c r="N113" s="486"/>
      <c r="O113" s="905" t="str">
        <f t="shared" si="2"/>
        <v/>
      </c>
      <c r="P113" s="930" t="str">
        <f t="shared" si="3"/>
        <v/>
      </c>
      <c r="Q113" s="931"/>
    </row>
    <row r="114" spans="1:17" ht="17.25" x14ac:dyDescent="0.25">
      <c r="A114" s="486">
        <v>110</v>
      </c>
      <c r="B114" s="496">
        <v>14</v>
      </c>
      <c r="C114" s="490" t="s">
        <v>1019</v>
      </c>
      <c r="D114" s="485">
        <f>'4Ф КРУГ'!B19</f>
        <v>0</v>
      </c>
      <c r="E114" s="922" t="e">
        <f>IF(D114="","",VLOOKUP(D114,'Списки участников'!A:K,12,FALSE))</f>
        <v>#N/A</v>
      </c>
      <c r="F114" s="484">
        <f>'4Ф КРУГ'!B29</f>
        <v>0</v>
      </c>
      <c r="G114" s="922" t="e">
        <f>IF(F114="","",VLOOKUP(F114,'Списки участников'!A:K,12,FALSE))</f>
        <v>#N/A</v>
      </c>
      <c r="H114" s="491"/>
      <c r="I114" s="922" t="str">
        <f>IF(H114="","",VLOOKUP(H114,'Списки участников'!A:K,12,FALSE))</f>
        <v/>
      </c>
      <c r="J114" s="915"/>
      <c r="K114" s="915"/>
      <c r="L114" s="915"/>
      <c r="M114" s="914"/>
      <c r="N114" s="914"/>
      <c r="O114" s="905" t="str">
        <f t="shared" si="2"/>
        <v/>
      </c>
      <c r="P114" s="930" t="str">
        <f t="shared" si="3"/>
        <v/>
      </c>
      <c r="Q114" s="931"/>
    </row>
    <row r="115" spans="1:17" ht="17.25" x14ac:dyDescent="0.25">
      <c r="A115" s="486">
        <v>111</v>
      </c>
      <c r="B115" s="496">
        <v>14</v>
      </c>
      <c r="C115" s="490" t="s">
        <v>1020</v>
      </c>
      <c r="D115" s="485">
        <f>'4Ф КРУГ'!B21</f>
        <v>0</v>
      </c>
      <c r="E115" s="922" t="e">
        <f>IF(D115="","",VLOOKUP(D115,'Списки участников'!A:K,12,FALSE))</f>
        <v>#N/A</v>
      </c>
      <c r="F115" s="484">
        <f>'4Ф КРУГ'!B27</f>
        <v>0</v>
      </c>
      <c r="G115" s="922" t="e">
        <f>IF(F115="","",VLOOKUP(F115,'Списки участников'!A:K,12,FALSE))</f>
        <v>#N/A</v>
      </c>
      <c r="H115" s="491"/>
      <c r="I115" s="922" t="str">
        <f>IF(H115="","",VLOOKUP(H115,'Списки участников'!A:K,12,FALSE))</f>
        <v/>
      </c>
      <c r="J115" s="915"/>
      <c r="K115" s="915"/>
      <c r="L115" s="915"/>
      <c r="M115" s="914"/>
      <c r="N115" s="914"/>
      <c r="O115" s="905" t="str">
        <f t="shared" si="2"/>
        <v/>
      </c>
      <c r="P115" s="930" t="str">
        <f t="shared" si="3"/>
        <v/>
      </c>
      <c r="Q115" s="931"/>
    </row>
    <row r="116" spans="1:17" ht="18" thickBot="1" x14ac:dyDescent="0.3">
      <c r="A116" s="486">
        <v>112</v>
      </c>
      <c r="B116" s="500">
        <v>14</v>
      </c>
      <c r="C116" s="493" t="s">
        <v>1021</v>
      </c>
      <c r="D116" s="494">
        <f>'4Ф КРУГ'!B23</f>
        <v>0</v>
      </c>
      <c r="E116" s="701" t="e">
        <f>IF(D116="","",VLOOKUP(D116,'Списки участников'!A:K,12,FALSE))</f>
        <v>#N/A</v>
      </c>
      <c r="F116" s="494">
        <f>'4Ф КРУГ'!B25</f>
        <v>0</v>
      </c>
      <c r="G116" s="701" t="e">
        <f>IF(F116="","",VLOOKUP(F116,'Списки участников'!A:K,12,FALSE))</f>
        <v>#N/A</v>
      </c>
      <c r="H116" s="494"/>
      <c r="I116" s="701" t="str">
        <f>IF(H116="","",VLOOKUP(H116,'Списки участников'!A:K,12,FALSE))</f>
        <v/>
      </c>
      <c r="J116" s="702"/>
      <c r="K116" s="702"/>
      <c r="L116" s="702"/>
      <c r="M116" s="702"/>
      <c r="N116" s="702"/>
      <c r="O116" s="932" t="str">
        <f t="shared" si="2"/>
        <v/>
      </c>
      <c r="P116" s="933" t="str">
        <f t="shared" si="3"/>
        <v/>
      </c>
      <c r="Q116" s="701"/>
    </row>
    <row r="117" spans="1:17" ht="15" customHeight="1" x14ac:dyDescent="0.25">
      <c r="A117" s="486">
        <v>113</v>
      </c>
      <c r="B117" s="482">
        <v>15</v>
      </c>
      <c r="C117" s="483" t="s">
        <v>1022</v>
      </c>
      <c r="D117" s="485">
        <f>'4Ф КРУГ'!B5</f>
        <v>0</v>
      </c>
      <c r="E117" s="922" t="e">
        <f>IF(D117="","",VLOOKUP(D117,'Списки участников'!A:K,12,FALSE))</f>
        <v>#N/A</v>
      </c>
      <c r="F117" s="485">
        <f>'4Ф КРУГ'!B7</f>
        <v>0</v>
      </c>
      <c r="G117" s="922" t="e">
        <f>IF(F117="","",VLOOKUP(F117,'Списки участников'!A:K,12,FALSE))</f>
        <v>#N/A</v>
      </c>
      <c r="H117" s="485"/>
      <c r="I117" s="922" t="str">
        <f>IF(H117="","",VLOOKUP(H117,'Списки участников'!A:K,12,FALSE))</f>
        <v/>
      </c>
      <c r="J117" s="915"/>
      <c r="K117" s="915"/>
      <c r="L117" s="915"/>
      <c r="M117" s="915"/>
      <c r="N117" s="915"/>
      <c r="O117" s="905" t="str">
        <f t="shared" si="2"/>
        <v/>
      </c>
      <c r="P117" s="930" t="str">
        <f t="shared" si="3"/>
        <v/>
      </c>
      <c r="Q117" s="922"/>
    </row>
    <row r="118" spans="1:17" ht="17.25" x14ac:dyDescent="0.25">
      <c r="A118" s="486">
        <v>114</v>
      </c>
      <c r="B118" s="496">
        <v>15</v>
      </c>
      <c r="C118" s="488" t="s">
        <v>1023</v>
      </c>
      <c r="D118" s="484">
        <f>'4Ф КРУГ'!B9</f>
        <v>0</v>
      </c>
      <c r="E118" s="922" t="e">
        <f>IF(D118="","",VLOOKUP(D118,'Списки участников'!A:K,12,FALSE))</f>
        <v>#N/A</v>
      </c>
      <c r="F118" s="484">
        <f>'4Ф КРУГ'!B35</f>
        <v>0</v>
      </c>
      <c r="G118" s="922" t="e">
        <f>IF(F118="","",VLOOKUP(F118,'Списки участников'!A:K,12,FALSE))</f>
        <v>#N/A</v>
      </c>
      <c r="H118" s="484"/>
      <c r="I118" s="922" t="str">
        <f>IF(H118="","",VLOOKUP(H118,'Списки участников'!A:K,12,FALSE))</f>
        <v/>
      </c>
      <c r="J118" s="915"/>
      <c r="K118" s="915"/>
      <c r="L118" s="915"/>
      <c r="M118" s="915"/>
      <c r="N118" s="915"/>
      <c r="O118" s="905" t="str">
        <f t="shared" si="2"/>
        <v/>
      </c>
      <c r="P118" s="930" t="str">
        <f t="shared" si="3"/>
        <v/>
      </c>
      <c r="Q118" s="931"/>
    </row>
    <row r="119" spans="1:17" ht="17.25" x14ac:dyDescent="0.25">
      <c r="A119" s="486">
        <v>115</v>
      </c>
      <c r="B119" s="496">
        <v>15</v>
      </c>
      <c r="C119" s="488" t="s">
        <v>1024</v>
      </c>
      <c r="D119" s="484">
        <f>'4Ф КРУГ'!B11</f>
        <v>0</v>
      </c>
      <c r="E119" s="922" t="e">
        <f>IF(D119="","",VLOOKUP(D119,'Списки участников'!A:K,12,FALSE))</f>
        <v>#N/A</v>
      </c>
      <c r="F119" s="484">
        <f>'4Ф КРУГ'!B33</f>
        <v>0</v>
      </c>
      <c r="G119" s="922" t="e">
        <f>IF(F119="","",VLOOKUP(F119,'Списки участников'!A:K,12,FALSE))</f>
        <v>#N/A</v>
      </c>
      <c r="H119" s="484"/>
      <c r="I119" s="922" t="str">
        <f>IF(H119="","",VLOOKUP(H119,'Списки участников'!A:K,12,FALSE))</f>
        <v/>
      </c>
      <c r="J119" s="915"/>
      <c r="K119" s="915"/>
      <c r="L119" s="915"/>
      <c r="M119" s="915"/>
      <c r="N119" s="915"/>
      <c r="O119" s="905" t="str">
        <f t="shared" si="2"/>
        <v/>
      </c>
      <c r="P119" s="930" t="str">
        <f t="shared" si="3"/>
        <v/>
      </c>
      <c r="Q119" s="931"/>
    </row>
    <row r="120" spans="1:17" ht="17.25" x14ac:dyDescent="0.25">
      <c r="A120" s="486">
        <v>116</v>
      </c>
      <c r="B120" s="496">
        <v>15</v>
      </c>
      <c r="C120" s="488" t="s">
        <v>1025</v>
      </c>
      <c r="D120" s="484">
        <f>'4Ф КРУГ'!B13</f>
        <v>0</v>
      </c>
      <c r="E120" s="922" t="e">
        <f>IF(D120="","",VLOOKUP(D120,'Списки участников'!A:K,12,FALSE))</f>
        <v>#N/A</v>
      </c>
      <c r="F120" s="484">
        <f>'4Ф КРУГ'!B31</f>
        <v>0</v>
      </c>
      <c r="G120" s="922" t="e">
        <f>IF(F120="","",VLOOKUP(F120,'Списки участников'!A:K,12,FALSE))</f>
        <v>#N/A</v>
      </c>
      <c r="H120" s="484"/>
      <c r="I120" s="922" t="str">
        <f>IF(H120="","",VLOOKUP(H120,'Списки участников'!A:K,12,FALSE))</f>
        <v/>
      </c>
      <c r="J120" s="915"/>
      <c r="K120" s="915"/>
      <c r="L120" s="915"/>
      <c r="M120" s="915"/>
      <c r="N120" s="915"/>
      <c r="O120" s="905" t="str">
        <f t="shared" si="2"/>
        <v/>
      </c>
      <c r="P120" s="930" t="str">
        <f t="shared" si="3"/>
        <v/>
      </c>
      <c r="Q120" s="931"/>
    </row>
    <row r="121" spans="1:17" ht="17.25" x14ac:dyDescent="0.25">
      <c r="A121" s="486">
        <v>117</v>
      </c>
      <c r="B121" s="501">
        <v>15</v>
      </c>
      <c r="C121" s="488" t="s">
        <v>1026</v>
      </c>
      <c r="D121" s="484">
        <f>'4Ф КРУГ'!B15</f>
        <v>0</v>
      </c>
      <c r="E121" s="922" t="e">
        <f>IF(D121="","",VLOOKUP(D121,'Списки участников'!A:K,12,FALSE))</f>
        <v>#N/A</v>
      </c>
      <c r="F121" s="484">
        <f>'4Ф КРУГ'!B29</f>
        <v>0</v>
      </c>
      <c r="G121" s="922" t="e">
        <f>IF(F121="","",VLOOKUP(F121,'Списки участников'!A:K,12,FALSE))</f>
        <v>#N/A</v>
      </c>
      <c r="H121" s="484"/>
      <c r="I121" s="922" t="str">
        <f>IF(H121="","",VLOOKUP(H121,'Списки участников'!A:K,12,FALSE))</f>
        <v/>
      </c>
      <c r="J121" s="915"/>
      <c r="K121" s="915"/>
      <c r="L121" s="915"/>
      <c r="M121" s="915"/>
      <c r="N121" s="915"/>
      <c r="O121" s="905" t="str">
        <f t="shared" si="2"/>
        <v/>
      </c>
      <c r="P121" s="930" t="str">
        <f t="shared" si="3"/>
        <v/>
      </c>
      <c r="Q121" s="931"/>
    </row>
    <row r="122" spans="1:17" ht="17.25" x14ac:dyDescent="0.25">
      <c r="A122" s="486">
        <v>118</v>
      </c>
      <c r="B122" s="496">
        <v>15</v>
      </c>
      <c r="C122" s="490" t="s">
        <v>1027</v>
      </c>
      <c r="D122" s="484">
        <f>'4Ф КРУГ'!B17</f>
        <v>0</v>
      </c>
      <c r="E122" s="922" t="e">
        <f>IF(D122="","",VLOOKUP(D122,'Списки участников'!A:K,12,FALSE))</f>
        <v>#N/A</v>
      </c>
      <c r="F122" s="484">
        <f>'4Ф КРУГ'!B27</f>
        <v>0</v>
      </c>
      <c r="G122" s="922" t="e">
        <f>IF(F122="","",VLOOKUP(F122,'Списки участников'!A:K,12,FALSE))</f>
        <v>#N/A</v>
      </c>
      <c r="H122" s="491"/>
      <c r="I122" s="922" t="str">
        <f>IF(H122="","",VLOOKUP(H122,'Списки участников'!A:K,12,FALSE))</f>
        <v/>
      </c>
      <c r="J122" s="915"/>
      <c r="K122" s="915"/>
      <c r="L122" s="915"/>
      <c r="M122" s="915"/>
      <c r="N122" s="915"/>
      <c r="O122" s="905" t="str">
        <f t="shared" si="2"/>
        <v/>
      </c>
      <c r="P122" s="930" t="str">
        <f t="shared" si="3"/>
        <v/>
      </c>
      <c r="Q122" s="931"/>
    </row>
    <row r="123" spans="1:17" ht="17.25" x14ac:dyDescent="0.25">
      <c r="A123" s="486">
        <v>119</v>
      </c>
      <c r="B123" s="496">
        <v>15</v>
      </c>
      <c r="C123" s="490" t="s">
        <v>1028</v>
      </c>
      <c r="D123" s="484">
        <f>'4Ф КРУГ'!B19</f>
        <v>0</v>
      </c>
      <c r="E123" s="922" t="e">
        <f>IF(D123="","",VLOOKUP(D123,'Списки участников'!A:K,12,FALSE))</f>
        <v>#N/A</v>
      </c>
      <c r="F123" s="484">
        <f>'4Ф КРУГ'!B25</f>
        <v>0</v>
      </c>
      <c r="G123" s="922" t="e">
        <f>IF(F123="","",VLOOKUP(F123,'Списки участников'!A:K,12,FALSE))</f>
        <v>#N/A</v>
      </c>
      <c r="H123" s="491"/>
      <c r="I123" s="922" t="str">
        <f>IF(H123="","",VLOOKUP(H123,'Списки участников'!A:K,12,FALSE))</f>
        <v/>
      </c>
      <c r="J123" s="915"/>
      <c r="K123" s="915"/>
      <c r="L123" s="915"/>
      <c r="M123" s="915"/>
      <c r="N123" s="915"/>
      <c r="O123" s="905" t="str">
        <f t="shared" si="2"/>
        <v/>
      </c>
      <c r="P123" s="930" t="str">
        <f t="shared" si="3"/>
        <v/>
      </c>
      <c r="Q123" s="931"/>
    </row>
    <row r="124" spans="1:17" ht="18" thickBot="1" x14ac:dyDescent="0.3">
      <c r="A124" s="486">
        <v>120</v>
      </c>
      <c r="B124" s="500">
        <v>15</v>
      </c>
      <c r="C124" s="493" t="s">
        <v>1029</v>
      </c>
      <c r="D124" s="484">
        <f>'4Ф КРУГ'!B21</f>
        <v>0</v>
      </c>
      <c r="E124" s="922" t="e">
        <f>IF(D124="","",VLOOKUP(D124,'Списки участников'!A:K,12,FALSE))</f>
        <v>#N/A</v>
      </c>
      <c r="F124" s="484">
        <f>'4Ф КРУГ'!B23</f>
        <v>0</v>
      </c>
      <c r="G124" s="922" t="e">
        <f>IF(F124="","",VLOOKUP(F124,'Списки участников'!A:K,12,FALSE))</f>
        <v>#N/A</v>
      </c>
      <c r="H124" s="494"/>
      <c r="I124" s="922" t="str">
        <f>IF(H124="","",VLOOKUP(H124,'Списки участников'!A:K,12,FALSE))</f>
        <v/>
      </c>
      <c r="J124" s="915"/>
      <c r="K124" s="915"/>
      <c r="L124" s="915"/>
      <c r="M124" s="702"/>
      <c r="N124" s="702"/>
      <c r="O124" s="932" t="str">
        <f t="shared" si="2"/>
        <v/>
      </c>
      <c r="P124" s="933" t="str">
        <f t="shared" si="3"/>
        <v/>
      </c>
      <c r="Q124" s="701"/>
    </row>
  </sheetData>
  <mergeCells count="12">
    <mergeCell ref="J3:N3"/>
    <mergeCell ref="O3:P4"/>
    <mergeCell ref="C1:N1"/>
    <mergeCell ref="G2:M2"/>
    <mergeCell ref="N2:O2"/>
    <mergeCell ref="G3:G4"/>
    <mergeCell ref="I3:I4"/>
    <mergeCell ref="A3:A4"/>
    <mergeCell ref="B3:B4"/>
    <mergeCell ref="C3:C4"/>
    <mergeCell ref="D3:D4"/>
    <mergeCell ref="E3:E4"/>
  </mergeCells>
  <pageMargins left="0.51181102362204722" right="0.51181102362204722" top="0.55118110236220474" bottom="0.55118110236220474" header="0.31496062992125984" footer="0.31496062992125984"/>
  <pageSetup paperSize="9" scale="68" orientation="portrait" verticalDpi="0" r:id="rId1"/>
  <rowBreaks count="1" manualBreakCount="1">
    <brk id="68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FFC000"/>
  </sheetPr>
  <dimension ref="A1:W97"/>
  <sheetViews>
    <sheetView workbookViewId="0">
      <selection activeCell="L23" sqref="L23"/>
    </sheetView>
  </sheetViews>
  <sheetFormatPr defaultRowHeight="12.75" outlineLevelCol="1" x14ac:dyDescent="0.2"/>
  <cols>
    <col min="1" max="1" width="9" style="91" customWidth="1"/>
    <col min="2" max="2" width="6" style="91" hidden="1" customWidth="1" outlineLevel="1"/>
    <col min="3" max="3" width="20.83203125" style="91" customWidth="1" collapsed="1"/>
    <col min="4" max="4" width="6.6640625" style="91" customWidth="1"/>
    <col min="5" max="5" width="20.83203125" style="91" customWidth="1"/>
    <col min="6" max="6" width="5.1640625" style="91" hidden="1" customWidth="1" outlineLevel="1"/>
    <col min="7" max="7" width="20.83203125" style="91" customWidth="1" collapsed="1"/>
    <col min="8" max="8" width="5.33203125" style="91" customWidth="1"/>
    <col min="9" max="9" width="6.1640625" style="91" customWidth="1"/>
    <col min="10" max="11" width="5.33203125" style="91" customWidth="1"/>
    <col min="12" max="12" width="4.6640625" style="91" customWidth="1"/>
    <col min="13" max="13" width="4.5" style="91" customWidth="1"/>
    <col min="14" max="14" width="4.33203125" style="91" customWidth="1"/>
    <col min="15" max="15" width="3.6640625" style="91" customWidth="1"/>
    <col min="16" max="16" width="2.6640625" style="91" customWidth="1"/>
    <col min="17" max="17" width="3.5" style="91" customWidth="1"/>
    <col min="18" max="18" width="19.1640625" style="91" customWidth="1"/>
    <col min="19" max="19" width="16" style="91" customWidth="1"/>
    <col min="20" max="20" width="18.33203125" style="91" customWidth="1"/>
    <col min="21" max="21" width="5.5" style="91" customWidth="1"/>
    <col min="22" max="22" width="18.83203125" style="91" customWidth="1"/>
    <col min="23" max="23" width="5.33203125" style="91" customWidth="1"/>
    <col min="24" max="16384" width="9.33203125" style="91"/>
  </cols>
  <sheetData>
    <row r="1" spans="1:23" ht="13.5" thickBot="1" x14ac:dyDescent="0.25"/>
    <row r="2" spans="1:23" x14ac:dyDescent="0.2">
      <c r="A2" s="1155" t="s">
        <v>762</v>
      </c>
      <c r="B2" s="1157"/>
      <c r="C2" s="1297" t="s">
        <v>763</v>
      </c>
      <c r="D2" s="1159"/>
      <c r="E2" s="1161" t="s">
        <v>763</v>
      </c>
      <c r="F2" s="193"/>
      <c r="G2" s="1299" t="s">
        <v>764</v>
      </c>
      <c r="H2" s="1294" t="s">
        <v>765</v>
      </c>
      <c r="I2" s="1295"/>
      <c r="J2" s="1295"/>
      <c r="K2" s="1295"/>
      <c r="L2" s="1295"/>
      <c r="M2" s="1295"/>
      <c r="N2" s="1296"/>
      <c r="O2" s="327"/>
      <c r="P2" s="327"/>
      <c r="Q2" s="327"/>
      <c r="R2" s="1292" t="s">
        <v>2408</v>
      </c>
      <c r="S2" s="1163" t="s">
        <v>953</v>
      </c>
    </row>
    <row r="3" spans="1:23" ht="13.5" thickBot="1" x14ac:dyDescent="0.25">
      <c r="A3" s="1156"/>
      <c r="B3" s="1158"/>
      <c r="C3" s="1298"/>
      <c r="D3" s="1160"/>
      <c r="E3" s="1162"/>
      <c r="F3" s="391"/>
      <c r="G3" s="1300"/>
      <c r="H3" s="147">
        <v>1</v>
      </c>
      <c r="I3" s="147">
        <v>2</v>
      </c>
      <c r="J3" s="147">
        <v>3</v>
      </c>
      <c r="K3" s="147">
        <v>4</v>
      </c>
      <c r="L3" s="147">
        <v>5</v>
      </c>
      <c r="M3" s="147">
        <v>6</v>
      </c>
      <c r="N3" s="147">
        <v>7</v>
      </c>
      <c r="O3" s="148"/>
      <c r="P3" s="148"/>
      <c r="Q3" s="148"/>
      <c r="R3" s="1293"/>
      <c r="S3" s="1164"/>
    </row>
    <row r="4" spans="1:23" ht="15.75" thickBot="1" x14ac:dyDescent="0.25">
      <c r="A4" s="344">
        <v>1</v>
      </c>
      <c r="B4" s="420" t="e">
        <f>#REF!</f>
        <v>#REF!</v>
      </c>
      <c r="C4" s="327" t="e">
        <f>IF(B4="","",VLOOKUP(B4,'Списки участников'!A:O,12,FALSE))</f>
        <v>#REF!</v>
      </c>
      <c r="D4" s="328" t="e">
        <f>#REF!</f>
        <v>#REF!</v>
      </c>
      <c r="E4" s="375" t="e">
        <f>IF(D4="",D4,VLOOKUP(D4,'Списки участников'!A:O,12,FALSE))</f>
        <v>#REF!</v>
      </c>
      <c r="F4" s="392"/>
      <c r="G4" s="398" t="str">
        <f>IF(F4="","",VLOOKUP(F4,'Списки участников'!A:O,12,FALSE))</f>
        <v/>
      </c>
      <c r="H4" s="329"/>
      <c r="I4" s="329"/>
      <c r="J4" s="329"/>
      <c r="K4" s="346"/>
      <c r="L4" s="346"/>
      <c r="M4" s="347"/>
      <c r="N4" s="347"/>
      <c r="O4" s="341" t="str">
        <f>IF(F4="","",COUNTIF(H4:N4,"&gt;=0"))</f>
        <v/>
      </c>
      <c r="P4" s="342" t="str">
        <f>IF(F4="","",":")</f>
        <v/>
      </c>
      <c r="Q4" s="343" t="str">
        <f>IF(F4="","",COUNTIF(H4:N4,"&lt;0"))</f>
        <v/>
      </c>
      <c r="R4" s="360" t="str">
        <f>IF(F4="","",IF(K4="",CONCATENATE(O4,"-",Q4,"(",H4,",",I4,",",J4,")"),IF(L4="",CONCATENATE(O4,"-",Q4,"(",H4,",",I4,",",J4,",",K4,")"),IF(M4="",CONCATENATE(O4,"-",Q4,"(",H4,",",I4,",",J4,",",K4,",",L4,")"),IF(N4="",CONCATENATE(O4,"-",Q4,"(",H4,",",I4,",",J4,",",K4,",",L4,",",M4,")"),IF(N4&lt;&gt;0,CONCATENATE(O4,"-",Q4,"(",H4,",",I4,",",J4,",",K4,",",L4,",",M4,",",N4,")")))))))</f>
        <v/>
      </c>
      <c r="S4" s="836" t="s">
        <v>958</v>
      </c>
      <c r="W4" s="91" t="str">
        <f>IF(N4="","",-N4)</f>
        <v/>
      </c>
    </row>
    <row r="5" spans="1:23" ht="15.75" thickBot="1" x14ac:dyDescent="0.25">
      <c r="A5" s="348">
        <v>2</v>
      </c>
      <c r="B5" s="421" t="e">
        <f>#REF!</f>
        <v>#REF!</v>
      </c>
      <c r="C5" s="145" t="e">
        <f>IF(B5="","",VLOOKUP(B5,'Списки участников'!A:O,12,FALSE))</f>
        <v>#REF!</v>
      </c>
      <c r="D5" s="157" t="e">
        <f>#REF!</f>
        <v>#REF!</v>
      </c>
      <c r="E5" s="376" t="e">
        <f>IF(D5="",D5,VLOOKUP(D5,'Списки участников'!A:O,12,FALSE))</f>
        <v>#REF!</v>
      </c>
      <c r="F5" s="393"/>
      <c r="G5" s="399" t="str">
        <f>IF(F5="","",VLOOKUP(F5,'Списки участников'!A:O,12,FALSE))</f>
        <v/>
      </c>
      <c r="H5" s="158"/>
      <c r="I5" s="158"/>
      <c r="J5" s="159"/>
      <c r="K5" s="159"/>
      <c r="L5" s="159"/>
      <c r="M5" s="158"/>
      <c r="N5" s="158"/>
      <c r="O5" s="160" t="str">
        <f t="shared" ref="O5:O68" si="0">IF(F5="","",COUNTIF(H5:N5,"&gt;=0"))</f>
        <v/>
      </c>
      <c r="P5" s="161" t="str">
        <f t="shared" ref="P5:P68" si="1">IF(F5="","",":")</f>
        <v/>
      </c>
      <c r="Q5" s="162" t="str">
        <f t="shared" ref="Q5:Q83" si="2">IF(F5="","",COUNTIF(H5:N5,"&lt;0"))</f>
        <v/>
      </c>
      <c r="R5" s="361" t="str">
        <f t="shared" ref="R5:R68" si="3">IF(F5="","",IF(K5="",CONCATENATE(O5,"-",Q5,"(",H5,",",I5,",",J5,")"),IF(L5="",CONCATENATE(O5,"-",Q5,"(",H5,",",I5,",",J5,",",K5,")"),IF(M5="",CONCATENATE(O5,"-",Q5,"(",H5,",",I5,",",J5,",",K5,",",L5,")"),IF(N5="",CONCATENATE(O5,"-",Q5,"(",H5,",",I5,",",J5,",",K5,",",L5,",",M5,")"),IF(N5&lt;&gt;0,CONCATENATE(O5,"-",Q5,"(",H5,",",I5,",",J5,",",K5,",",L5,",",M5,",",N5,")")))))))</f>
        <v/>
      </c>
      <c r="S5" s="836" t="s">
        <v>958</v>
      </c>
      <c r="W5" s="91" t="str">
        <f>IF(N5="","",-N5)</f>
        <v/>
      </c>
    </row>
    <row r="6" spans="1:23" ht="15.75" thickBot="1" x14ac:dyDescent="0.25">
      <c r="A6" s="348">
        <v>3</v>
      </c>
      <c r="B6" s="421" t="e">
        <f>#REF!</f>
        <v>#REF!</v>
      </c>
      <c r="C6" s="145" t="e">
        <f>IF(B6="","",VLOOKUP(B6,'Списки участников'!A:O,12,FALSE))</f>
        <v>#REF!</v>
      </c>
      <c r="D6" s="157" t="e">
        <f>#REF!</f>
        <v>#REF!</v>
      </c>
      <c r="E6" s="376" t="e">
        <f>IF(D6="",D6,VLOOKUP(D6,'Списки участников'!A:O,12,FALSE))</f>
        <v>#REF!</v>
      </c>
      <c r="F6" s="394"/>
      <c r="G6" s="399" t="str">
        <f>IF(F6="","",VLOOKUP(F6,'Списки участников'!A:O,12,FALSE))</f>
        <v/>
      </c>
      <c r="H6" s="158"/>
      <c r="I6" s="158"/>
      <c r="J6" s="158"/>
      <c r="K6" s="158"/>
      <c r="L6" s="158"/>
      <c r="M6" s="158"/>
      <c r="N6" s="158"/>
      <c r="O6" s="160" t="str">
        <f t="shared" si="0"/>
        <v/>
      </c>
      <c r="P6" s="161" t="str">
        <f t="shared" si="1"/>
        <v/>
      </c>
      <c r="Q6" s="162" t="str">
        <f t="shared" si="2"/>
        <v/>
      </c>
      <c r="R6" s="361" t="str">
        <f t="shared" si="3"/>
        <v/>
      </c>
      <c r="S6" s="836" t="s">
        <v>958</v>
      </c>
      <c r="W6" s="91" t="str">
        <f t="shared" ref="W6:W21" si="4">IF(N6="","",-N6)</f>
        <v/>
      </c>
    </row>
    <row r="7" spans="1:23" ht="15.75" thickBot="1" x14ac:dyDescent="0.25">
      <c r="A7" s="348">
        <v>4</v>
      </c>
      <c r="B7" s="421" t="e">
        <f>#REF!</f>
        <v>#REF!</v>
      </c>
      <c r="C7" s="145" t="e">
        <f>IF(B7="","",VLOOKUP(B7,'Списки участников'!A:O,12,FALSE))</f>
        <v>#REF!</v>
      </c>
      <c r="D7" s="157" t="e">
        <f>#REF!</f>
        <v>#REF!</v>
      </c>
      <c r="E7" s="376" t="e">
        <f>IF(D7="",D7,VLOOKUP(D7,'Списки участников'!A:O,12,FALSE))</f>
        <v>#REF!</v>
      </c>
      <c r="F7" s="393"/>
      <c r="G7" s="399" t="str">
        <f>IF(F7="","",VLOOKUP(F7,'Списки участников'!A:O,12,FALSE))</f>
        <v/>
      </c>
      <c r="H7" s="158"/>
      <c r="I7" s="158"/>
      <c r="J7" s="158"/>
      <c r="K7" s="158"/>
      <c r="L7" s="158"/>
      <c r="M7" s="158"/>
      <c r="N7" s="158"/>
      <c r="O7" s="160" t="str">
        <f t="shared" si="0"/>
        <v/>
      </c>
      <c r="P7" s="161" t="str">
        <f t="shared" si="1"/>
        <v/>
      </c>
      <c r="Q7" s="162" t="str">
        <f t="shared" si="2"/>
        <v/>
      </c>
      <c r="R7" s="361" t="str">
        <f t="shared" si="3"/>
        <v/>
      </c>
      <c r="S7" s="836" t="s">
        <v>958</v>
      </c>
      <c r="W7" s="91" t="str">
        <f t="shared" si="4"/>
        <v/>
      </c>
    </row>
    <row r="8" spans="1:23" ht="15.75" thickBot="1" x14ac:dyDescent="0.25">
      <c r="A8" s="348">
        <v>5</v>
      </c>
      <c r="B8" s="421" t="e">
        <f>#REF!</f>
        <v>#REF!</v>
      </c>
      <c r="C8" s="145" t="e">
        <f>IF(B8="","",VLOOKUP(B8,'Списки участников'!A:O,12,FALSE))</f>
        <v>#REF!</v>
      </c>
      <c r="D8" s="157" t="e">
        <f>#REF!</f>
        <v>#REF!</v>
      </c>
      <c r="E8" s="376" t="e">
        <f>IF(D8="",D8,VLOOKUP(D8,'Списки участников'!A:O,12,FALSE))</f>
        <v>#REF!</v>
      </c>
      <c r="F8" s="394"/>
      <c r="G8" s="399" t="str">
        <f>IF(F8="","",VLOOKUP(F8,'Списки участников'!A:O,12,FALSE))</f>
        <v/>
      </c>
      <c r="H8" s="158"/>
      <c r="I8" s="158"/>
      <c r="J8" s="158"/>
      <c r="K8" s="158"/>
      <c r="L8" s="158"/>
      <c r="M8" s="158"/>
      <c r="N8" s="158"/>
      <c r="O8" s="160" t="str">
        <f t="shared" si="0"/>
        <v/>
      </c>
      <c r="P8" s="161" t="str">
        <f t="shared" si="1"/>
        <v/>
      </c>
      <c r="Q8" s="162" t="str">
        <f t="shared" si="2"/>
        <v/>
      </c>
      <c r="R8" s="361" t="str">
        <f t="shared" si="3"/>
        <v/>
      </c>
      <c r="S8" s="836" t="s">
        <v>958</v>
      </c>
      <c r="W8" s="91" t="str">
        <f t="shared" si="4"/>
        <v/>
      </c>
    </row>
    <row r="9" spans="1:23" ht="15.75" thickBot="1" x14ac:dyDescent="0.25">
      <c r="A9" s="348">
        <v>6</v>
      </c>
      <c r="B9" s="421" t="e">
        <f>#REF!</f>
        <v>#REF!</v>
      </c>
      <c r="C9" s="145" t="e">
        <f>IF(B9="","",VLOOKUP(B9,'Списки участников'!A:O,12,FALSE))</f>
        <v>#REF!</v>
      </c>
      <c r="D9" s="157" t="e">
        <f>#REF!</f>
        <v>#REF!</v>
      </c>
      <c r="E9" s="376" t="e">
        <f>IF(D9="",D9,VLOOKUP(D9,'Списки участников'!A:O,12,FALSE))</f>
        <v>#REF!</v>
      </c>
      <c r="F9" s="393"/>
      <c r="G9" s="399" t="str">
        <f>IF(F9="","",VLOOKUP(F9,'Списки участников'!A:O,12,FALSE))</f>
        <v/>
      </c>
      <c r="H9" s="158"/>
      <c r="I9" s="158"/>
      <c r="J9" s="158"/>
      <c r="K9" s="158"/>
      <c r="L9" s="158"/>
      <c r="M9" s="158"/>
      <c r="N9" s="158"/>
      <c r="O9" s="160" t="str">
        <f t="shared" si="0"/>
        <v/>
      </c>
      <c r="P9" s="161" t="str">
        <f t="shared" si="1"/>
        <v/>
      </c>
      <c r="Q9" s="162" t="str">
        <f t="shared" si="2"/>
        <v/>
      </c>
      <c r="R9" s="361" t="str">
        <f t="shared" si="3"/>
        <v/>
      </c>
      <c r="S9" s="836" t="s">
        <v>958</v>
      </c>
      <c r="W9" s="91" t="str">
        <f t="shared" si="4"/>
        <v/>
      </c>
    </row>
    <row r="10" spans="1:23" ht="15.75" thickBot="1" x14ac:dyDescent="0.25">
      <c r="A10" s="348">
        <v>7</v>
      </c>
      <c r="B10" s="421" t="e">
        <f>#REF!</f>
        <v>#REF!</v>
      </c>
      <c r="C10" s="145" t="e">
        <f>IF(B10="","",VLOOKUP(B10,'Списки участников'!A:O,12,FALSE))</f>
        <v>#REF!</v>
      </c>
      <c r="D10" s="157" t="e">
        <f>#REF!</f>
        <v>#REF!</v>
      </c>
      <c r="E10" s="376" t="e">
        <f>IF(D10="",D10,VLOOKUP(D10,'Списки участников'!A:O,12,FALSE))</f>
        <v>#REF!</v>
      </c>
      <c r="F10" s="394"/>
      <c r="G10" s="399" t="str">
        <f>IF(F10="","",VLOOKUP(F10,'Списки участников'!A:O,12,FALSE))</f>
        <v/>
      </c>
      <c r="H10" s="158"/>
      <c r="I10" s="158"/>
      <c r="J10" s="158"/>
      <c r="K10" s="158"/>
      <c r="L10" s="158"/>
      <c r="M10" s="158"/>
      <c r="N10" s="158"/>
      <c r="O10" s="160" t="str">
        <f t="shared" si="0"/>
        <v/>
      </c>
      <c r="P10" s="161" t="str">
        <f t="shared" si="1"/>
        <v/>
      </c>
      <c r="Q10" s="162" t="str">
        <f t="shared" si="2"/>
        <v/>
      </c>
      <c r="R10" s="361" t="str">
        <f t="shared" si="3"/>
        <v/>
      </c>
      <c r="S10" s="836" t="s">
        <v>958</v>
      </c>
      <c r="W10" s="91" t="str">
        <f t="shared" si="4"/>
        <v/>
      </c>
    </row>
    <row r="11" spans="1:23" ht="15.75" thickBot="1" x14ac:dyDescent="0.25">
      <c r="A11" s="348">
        <v>8</v>
      </c>
      <c r="B11" s="421" t="e">
        <f>#REF!</f>
        <v>#REF!</v>
      </c>
      <c r="C11" s="145" t="e">
        <f>IF(B11="","",VLOOKUP(B11,'Списки участников'!A:O,12,FALSE))</f>
        <v>#REF!</v>
      </c>
      <c r="D11" s="157" t="e">
        <f>#REF!</f>
        <v>#REF!</v>
      </c>
      <c r="E11" s="376" t="e">
        <f>IF(D11="",D11,VLOOKUP(D11,'Списки участников'!A:O,12,FALSE))</f>
        <v>#REF!</v>
      </c>
      <c r="F11" s="393"/>
      <c r="G11" s="399" t="str">
        <f>IF(F11="","",VLOOKUP(F11,'Списки участников'!A:O,12,FALSE))</f>
        <v/>
      </c>
      <c r="H11" s="158"/>
      <c r="I11" s="158"/>
      <c r="J11" s="158"/>
      <c r="K11" s="158"/>
      <c r="L11" s="158"/>
      <c r="M11" s="158"/>
      <c r="N11" s="158"/>
      <c r="O11" s="160" t="str">
        <f t="shared" si="0"/>
        <v/>
      </c>
      <c r="P11" s="161" t="str">
        <f t="shared" si="1"/>
        <v/>
      </c>
      <c r="Q11" s="162" t="str">
        <f t="shared" si="2"/>
        <v/>
      </c>
      <c r="R11" s="361" t="str">
        <f t="shared" si="3"/>
        <v/>
      </c>
      <c r="S11" s="836" t="s">
        <v>958</v>
      </c>
      <c r="T11" s="164"/>
      <c r="W11" s="91" t="str">
        <f t="shared" si="4"/>
        <v/>
      </c>
    </row>
    <row r="12" spans="1:23" ht="15.75" thickBot="1" x14ac:dyDescent="0.25">
      <c r="A12" s="348">
        <v>9</v>
      </c>
      <c r="B12" s="421" t="e">
        <f>#REF!</f>
        <v>#REF!</v>
      </c>
      <c r="C12" s="145" t="e">
        <f>IF(B12="","",VLOOKUP(B12,'Списки участников'!A:O,12,FALSE))</f>
        <v>#REF!</v>
      </c>
      <c r="D12" s="157" t="e">
        <f>#REF!</f>
        <v>#REF!</v>
      </c>
      <c r="E12" s="376" t="e">
        <f>IF(D12="",D12,VLOOKUP(D12,'Списки участников'!A:O,12,FALSE))</f>
        <v>#REF!</v>
      </c>
      <c r="F12" s="394"/>
      <c r="G12" s="399" t="str">
        <f>IF(F12="","",VLOOKUP(F12,'Списки участников'!A:O,12,FALSE))</f>
        <v/>
      </c>
      <c r="H12" s="194"/>
      <c r="I12" s="194"/>
      <c r="J12" s="194"/>
      <c r="K12" s="158"/>
      <c r="L12" s="158"/>
      <c r="M12" s="158"/>
      <c r="N12" s="158"/>
      <c r="O12" s="160" t="str">
        <f t="shared" si="0"/>
        <v/>
      </c>
      <c r="P12" s="161" t="str">
        <f t="shared" si="1"/>
        <v/>
      </c>
      <c r="Q12" s="162" t="str">
        <f t="shared" si="2"/>
        <v/>
      </c>
      <c r="R12" s="361" t="str">
        <f t="shared" si="3"/>
        <v/>
      </c>
      <c r="S12" s="836" t="s">
        <v>958</v>
      </c>
      <c r="W12" s="91" t="str">
        <f t="shared" si="4"/>
        <v/>
      </c>
    </row>
    <row r="13" spans="1:23" ht="15.75" thickBot="1" x14ac:dyDescent="0.25">
      <c r="A13" s="348">
        <v>10</v>
      </c>
      <c r="B13" s="421" t="e">
        <f>#REF!</f>
        <v>#REF!</v>
      </c>
      <c r="C13" s="145" t="e">
        <f>IF(B13="","",VLOOKUP(B13,'Списки участников'!A:O,12,FALSE))</f>
        <v>#REF!</v>
      </c>
      <c r="D13" s="157" t="e">
        <f>#REF!</f>
        <v>#REF!</v>
      </c>
      <c r="E13" s="376" t="e">
        <f>IF(D13="",D13,VLOOKUP(D13,'Списки участников'!A:O,12,FALSE))</f>
        <v>#REF!</v>
      </c>
      <c r="F13" s="393"/>
      <c r="G13" s="399" t="str">
        <f>IF(F13="","",VLOOKUP(F13,'Списки участников'!A:O,12,FALSE))</f>
        <v/>
      </c>
      <c r="H13" s="158"/>
      <c r="I13" s="158"/>
      <c r="J13" s="159"/>
      <c r="K13" s="158"/>
      <c r="L13" s="158"/>
      <c r="M13" s="158"/>
      <c r="N13" s="158"/>
      <c r="O13" s="160" t="str">
        <f t="shared" si="0"/>
        <v/>
      </c>
      <c r="P13" s="161" t="str">
        <f t="shared" si="1"/>
        <v/>
      </c>
      <c r="Q13" s="162" t="str">
        <f t="shared" si="2"/>
        <v/>
      </c>
      <c r="R13" s="361" t="str">
        <f t="shared" si="3"/>
        <v/>
      </c>
      <c r="S13" s="836" t="s">
        <v>958</v>
      </c>
      <c r="W13" s="91" t="str">
        <f t="shared" si="4"/>
        <v/>
      </c>
    </row>
    <row r="14" spans="1:23" ht="15.75" thickBot="1" x14ac:dyDescent="0.25">
      <c r="A14" s="348">
        <v>11</v>
      </c>
      <c r="B14" s="421" t="e">
        <f>#REF!</f>
        <v>#REF!</v>
      </c>
      <c r="C14" s="145" t="e">
        <f>IF(B14="","",VLOOKUP(B14,'Списки участников'!A:O,12,FALSE))</f>
        <v>#REF!</v>
      </c>
      <c r="D14" s="157" t="e">
        <f>#REF!</f>
        <v>#REF!</v>
      </c>
      <c r="E14" s="376" t="e">
        <f>IF(D14="",D14,VLOOKUP(D14,'Списки участников'!A:O,12,FALSE))</f>
        <v>#REF!</v>
      </c>
      <c r="F14" s="394"/>
      <c r="G14" s="399" t="str">
        <f>IF(F14="","",VLOOKUP(F14,'Списки участников'!A:O,12,FALSE))</f>
        <v/>
      </c>
      <c r="H14" s="158"/>
      <c r="I14" s="158"/>
      <c r="J14" s="158"/>
      <c r="K14" s="158"/>
      <c r="L14" s="158"/>
      <c r="M14" s="158"/>
      <c r="N14" s="158"/>
      <c r="O14" s="160" t="str">
        <f t="shared" si="0"/>
        <v/>
      </c>
      <c r="P14" s="161" t="str">
        <f t="shared" si="1"/>
        <v/>
      </c>
      <c r="Q14" s="162" t="str">
        <f t="shared" si="2"/>
        <v/>
      </c>
      <c r="R14" s="361" t="str">
        <f t="shared" si="3"/>
        <v/>
      </c>
      <c r="S14" s="836" t="s">
        <v>958</v>
      </c>
      <c r="W14" s="91" t="str">
        <f t="shared" si="4"/>
        <v/>
      </c>
    </row>
    <row r="15" spans="1:23" ht="15.75" thickBot="1" x14ac:dyDescent="0.25">
      <c r="A15" s="348">
        <v>12</v>
      </c>
      <c r="B15" s="421" t="e">
        <f>#REF!</f>
        <v>#REF!</v>
      </c>
      <c r="C15" s="145" t="e">
        <f>IF(B15="","",VLOOKUP(B15,'Списки участников'!A:O,12,FALSE))</f>
        <v>#REF!</v>
      </c>
      <c r="D15" s="157" t="e">
        <f>#REF!</f>
        <v>#REF!</v>
      </c>
      <c r="E15" s="376" t="e">
        <f>IF(D15="",D15,VLOOKUP(D15,'Списки участников'!A:O,12,FALSE))</f>
        <v>#REF!</v>
      </c>
      <c r="F15" s="393"/>
      <c r="G15" s="399" t="str">
        <f>IF(F15="","",VLOOKUP(F15,'Списки участников'!A:O,12,FALSE))</f>
        <v/>
      </c>
      <c r="H15" s="158"/>
      <c r="I15" s="158"/>
      <c r="J15" s="158"/>
      <c r="K15" s="158"/>
      <c r="L15" s="158"/>
      <c r="M15" s="158"/>
      <c r="N15" s="158"/>
      <c r="O15" s="160" t="str">
        <f t="shared" si="0"/>
        <v/>
      </c>
      <c r="P15" s="161" t="str">
        <f t="shared" si="1"/>
        <v/>
      </c>
      <c r="Q15" s="162" t="str">
        <f t="shared" si="2"/>
        <v/>
      </c>
      <c r="R15" s="361" t="str">
        <f t="shared" si="3"/>
        <v/>
      </c>
      <c r="S15" s="836" t="s">
        <v>958</v>
      </c>
      <c r="W15" s="91" t="str">
        <f t="shared" si="4"/>
        <v/>
      </c>
    </row>
    <row r="16" spans="1:23" ht="15.75" thickBot="1" x14ac:dyDescent="0.25">
      <c r="A16" s="348">
        <v>13</v>
      </c>
      <c r="B16" s="421" t="e">
        <f>#REF!</f>
        <v>#REF!</v>
      </c>
      <c r="C16" s="145" t="e">
        <f>IF(B16="","",VLOOKUP(B16,'Списки участников'!A:O,12,FALSE))</f>
        <v>#REF!</v>
      </c>
      <c r="D16" s="157" t="e">
        <f>#REF!</f>
        <v>#REF!</v>
      </c>
      <c r="E16" s="376" t="e">
        <f>IF(D16="",D16,VLOOKUP(D16,'Списки участников'!A:O,12,FALSE))</f>
        <v>#REF!</v>
      </c>
      <c r="F16" s="394"/>
      <c r="G16" s="399" t="str">
        <f>IF(F16="","",VLOOKUP(F16,'Списки участников'!A:O,12,FALSE))</f>
        <v/>
      </c>
      <c r="H16" s="158"/>
      <c r="I16" s="158"/>
      <c r="J16" s="158"/>
      <c r="K16" s="158"/>
      <c r="L16" s="158"/>
      <c r="M16" s="158"/>
      <c r="N16" s="158"/>
      <c r="O16" s="160" t="str">
        <f t="shared" si="0"/>
        <v/>
      </c>
      <c r="P16" s="161" t="str">
        <f t="shared" si="1"/>
        <v/>
      </c>
      <c r="Q16" s="162" t="str">
        <f t="shared" si="2"/>
        <v/>
      </c>
      <c r="R16" s="361" t="str">
        <f t="shared" si="3"/>
        <v/>
      </c>
      <c r="S16" s="836" t="s">
        <v>958</v>
      </c>
      <c r="W16" s="91" t="str">
        <f t="shared" si="4"/>
        <v/>
      </c>
    </row>
    <row r="17" spans="1:23" ht="15.75" thickBot="1" x14ac:dyDescent="0.25">
      <c r="A17" s="348">
        <v>14</v>
      </c>
      <c r="B17" s="421" t="e">
        <f>#REF!</f>
        <v>#REF!</v>
      </c>
      <c r="C17" s="145" t="e">
        <f>IF(B17="","",VLOOKUP(B17,'Списки участников'!A:O,12,FALSE))</f>
        <v>#REF!</v>
      </c>
      <c r="D17" s="157" t="e">
        <f>#REF!</f>
        <v>#REF!</v>
      </c>
      <c r="E17" s="376" t="e">
        <f>IF(D17="",D17,VLOOKUP(D17,'Списки участников'!A:O,12,FALSE))</f>
        <v>#REF!</v>
      </c>
      <c r="F17" s="393"/>
      <c r="G17" s="399" t="str">
        <f>IF(F17="","",VLOOKUP(F17,'Списки участников'!A:O,12,FALSE))</f>
        <v/>
      </c>
      <c r="H17" s="158"/>
      <c r="I17" s="158"/>
      <c r="J17" s="158"/>
      <c r="K17" s="158"/>
      <c r="L17" s="158"/>
      <c r="M17" s="158"/>
      <c r="N17" s="158"/>
      <c r="O17" s="160" t="str">
        <f t="shared" si="0"/>
        <v/>
      </c>
      <c r="P17" s="161" t="str">
        <f t="shared" si="1"/>
        <v/>
      </c>
      <c r="Q17" s="162" t="str">
        <f t="shared" si="2"/>
        <v/>
      </c>
      <c r="R17" s="361" t="str">
        <f t="shared" si="3"/>
        <v/>
      </c>
      <c r="S17" s="836" t="s">
        <v>958</v>
      </c>
      <c r="W17" s="91" t="str">
        <f t="shared" si="4"/>
        <v/>
      </c>
    </row>
    <row r="18" spans="1:23" ht="15.75" thickBot="1" x14ac:dyDescent="0.25">
      <c r="A18" s="348">
        <v>15</v>
      </c>
      <c r="B18" s="421" t="e">
        <f>#REF!</f>
        <v>#REF!</v>
      </c>
      <c r="C18" s="145" t="e">
        <f>IF(B18="","",VLOOKUP(B18,'Списки участников'!A:O,12,FALSE))</f>
        <v>#REF!</v>
      </c>
      <c r="D18" s="157" t="e">
        <f>#REF!</f>
        <v>#REF!</v>
      </c>
      <c r="E18" s="376" t="e">
        <f>IF(D18="",D18,VLOOKUP(D18,'Списки участников'!A:O,12,FALSE))</f>
        <v>#REF!</v>
      </c>
      <c r="F18" s="394"/>
      <c r="G18" s="399" t="str">
        <f>IF(F18="","",VLOOKUP(F18,'Списки участников'!A:O,12,FALSE))</f>
        <v/>
      </c>
      <c r="H18" s="158"/>
      <c r="I18" s="158"/>
      <c r="J18" s="158"/>
      <c r="K18" s="158"/>
      <c r="L18" s="158"/>
      <c r="M18" s="158"/>
      <c r="N18" s="158"/>
      <c r="O18" s="160" t="str">
        <f t="shared" si="0"/>
        <v/>
      </c>
      <c r="P18" s="161" t="str">
        <f t="shared" si="1"/>
        <v/>
      </c>
      <c r="Q18" s="162" t="str">
        <f t="shared" si="2"/>
        <v/>
      </c>
      <c r="R18" s="361" t="str">
        <f t="shared" si="3"/>
        <v/>
      </c>
      <c r="S18" s="836" t="s">
        <v>958</v>
      </c>
      <c r="W18" s="91" t="str">
        <f t="shared" si="4"/>
        <v/>
      </c>
    </row>
    <row r="19" spans="1:23" ht="15.75" thickBot="1" x14ac:dyDescent="0.25">
      <c r="A19" s="349">
        <v>16</v>
      </c>
      <c r="B19" s="422" t="e">
        <f>#REF!</f>
        <v>#REF!</v>
      </c>
      <c r="C19" s="148" t="e">
        <f>IF(B19="","",VLOOKUP(B19,'Списки участников'!A:O,12,FALSE))</f>
        <v>#REF!</v>
      </c>
      <c r="D19" s="335" t="e">
        <f>#REF!</f>
        <v>#REF!</v>
      </c>
      <c r="E19" s="377" t="e">
        <f>IF(D19="",D19,VLOOKUP(D19,'Списки участников'!A:O,12,FALSE))</f>
        <v>#REF!</v>
      </c>
      <c r="F19" s="395"/>
      <c r="G19" s="400" t="str">
        <f>IF(F19="","",VLOOKUP(F19,'Списки участников'!A:O,12,FALSE))</f>
        <v/>
      </c>
      <c r="H19" s="336"/>
      <c r="I19" s="336"/>
      <c r="J19" s="336"/>
      <c r="K19" s="336"/>
      <c r="L19" s="336"/>
      <c r="M19" s="336"/>
      <c r="N19" s="336"/>
      <c r="O19" s="351" t="str">
        <f t="shared" si="0"/>
        <v/>
      </c>
      <c r="P19" s="352" t="str">
        <f t="shared" si="1"/>
        <v/>
      </c>
      <c r="Q19" s="353" t="str">
        <f t="shared" si="2"/>
        <v/>
      </c>
      <c r="R19" s="362" t="str">
        <f t="shared" si="3"/>
        <v/>
      </c>
      <c r="S19" s="836" t="s">
        <v>958</v>
      </c>
      <c r="W19" s="91" t="str">
        <f t="shared" si="4"/>
        <v/>
      </c>
    </row>
    <row r="20" spans="1:23" ht="15.75" thickBot="1" x14ac:dyDescent="0.25">
      <c r="A20" s="344">
        <v>17</v>
      </c>
      <c r="B20" s="378" t="str">
        <f>IF(F4="","",F4)</f>
        <v/>
      </c>
      <c r="C20" s="327" t="str">
        <f>IF(B20="","",VLOOKUP(B20,'Списки участников'!A:O,12,FALSE))</f>
        <v/>
      </c>
      <c r="D20" s="326" t="str">
        <f>IF(F5="","",F5)</f>
        <v/>
      </c>
      <c r="E20" s="379" t="str">
        <f>IF(D20="",D20,VLOOKUP(D20,'Списки участников'!A:O,12,FALSE))</f>
        <v/>
      </c>
      <c r="F20" s="392"/>
      <c r="G20" s="398" t="str">
        <f>IF(F20="","",VLOOKUP(F20,'Списки участников'!A:O,12,FALSE))</f>
        <v/>
      </c>
      <c r="H20" s="329"/>
      <c r="I20" s="329"/>
      <c r="J20" s="329"/>
      <c r="K20" s="329"/>
      <c r="L20" s="329"/>
      <c r="M20" s="329"/>
      <c r="N20" s="329"/>
      <c r="O20" s="341" t="str">
        <f t="shared" si="0"/>
        <v/>
      </c>
      <c r="P20" s="342" t="str">
        <f t="shared" si="1"/>
        <v/>
      </c>
      <c r="Q20" s="343" t="str">
        <f t="shared" si="2"/>
        <v/>
      </c>
      <c r="R20" s="360" t="str">
        <f t="shared" si="3"/>
        <v/>
      </c>
      <c r="S20" s="837" t="s">
        <v>2389</v>
      </c>
      <c r="W20" s="91" t="str">
        <f t="shared" si="4"/>
        <v/>
      </c>
    </row>
    <row r="21" spans="1:23" ht="15.75" thickBot="1" x14ac:dyDescent="0.25">
      <c r="A21" s="348">
        <v>18</v>
      </c>
      <c r="B21" s="380" t="str">
        <f>IF(F6="","",F6)</f>
        <v/>
      </c>
      <c r="C21" s="145" t="str">
        <f>IF(B21="","",VLOOKUP(B21,'Списки участников'!A:O,12,FALSE))</f>
        <v/>
      </c>
      <c r="D21" s="196" t="str">
        <f>IF(F7="","",F7)</f>
        <v/>
      </c>
      <c r="E21" s="381" t="str">
        <f>IF(D21="",D21,VLOOKUP(D21,'Списки участников'!A:O,12,FALSE))</f>
        <v/>
      </c>
      <c r="F21" s="393"/>
      <c r="G21" s="399" t="str">
        <f>IF(F21="","",VLOOKUP(F21,'Списки участников'!A:O,12,FALSE))</f>
        <v/>
      </c>
      <c r="H21" s="158"/>
      <c r="I21" s="158"/>
      <c r="J21" s="159"/>
      <c r="K21" s="158"/>
      <c r="L21" s="158"/>
      <c r="M21" s="158"/>
      <c r="N21" s="158"/>
      <c r="O21" s="160" t="str">
        <f t="shared" si="0"/>
        <v/>
      </c>
      <c r="P21" s="161" t="str">
        <f t="shared" si="1"/>
        <v/>
      </c>
      <c r="Q21" s="162" t="str">
        <f t="shared" si="2"/>
        <v/>
      </c>
      <c r="R21" s="361" t="str">
        <f t="shared" si="3"/>
        <v/>
      </c>
      <c r="S21" s="837" t="s">
        <v>2389</v>
      </c>
      <c r="W21" s="91" t="str">
        <f t="shared" si="4"/>
        <v/>
      </c>
    </row>
    <row r="22" spans="1:23" ht="15.75" thickBot="1" x14ac:dyDescent="0.25">
      <c r="A22" s="348">
        <v>19</v>
      </c>
      <c r="B22" s="380" t="str">
        <f>IF(F8="","",F8)</f>
        <v/>
      </c>
      <c r="C22" s="145" t="str">
        <f>IF(B22="","",VLOOKUP(B22,'Списки участников'!A:O,12,FALSE))</f>
        <v/>
      </c>
      <c r="D22" s="196" t="str">
        <f>IF(F9="","",F9)</f>
        <v/>
      </c>
      <c r="E22" s="381" t="str">
        <f>IF(D22="",D22,VLOOKUP(D22,'Списки участников'!A:O,12,FALSE))</f>
        <v/>
      </c>
      <c r="F22" s="393"/>
      <c r="G22" s="399" t="str">
        <f>IF(F22="","",VLOOKUP(F22,'Списки участников'!A:O,12,FALSE))</f>
        <v/>
      </c>
      <c r="H22" s="158"/>
      <c r="I22" s="158"/>
      <c r="J22" s="158"/>
      <c r="K22" s="165"/>
      <c r="L22" s="165"/>
      <c r="M22" s="165"/>
      <c r="N22" s="165"/>
      <c r="O22" s="160" t="str">
        <f t="shared" si="0"/>
        <v/>
      </c>
      <c r="P22" s="161" t="str">
        <f t="shared" si="1"/>
        <v/>
      </c>
      <c r="Q22" s="162" t="str">
        <f t="shared" si="2"/>
        <v/>
      </c>
      <c r="R22" s="361" t="str">
        <f t="shared" si="3"/>
        <v/>
      </c>
      <c r="S22" s="837" t="s">
        <v>2389</v>
      </c>
    </row>
    <row r="23" spans="1:23" ht="15.75" thickBot="1" x14ac:dyDescent="0.25">
      <c r="A23" s="348">
        <v>20</v>
      </c>
      <c r="B23" s="380" t="str">
        <f>IF(F10="","",F10)</f>
        <v/>
      </c>
      <c r="C23" s="145" t="str">
        <f>IF(B23="","",VLOOKUP(B23,'Списки участников'!A:O,12,FALSE))</f>
        <v/>
      </c>
      <c r="D23" s="196" t="str">
        <f>IF(F11="","",F11)</f>
        <v/>
      </c>
      <c r="E23" s="381" t="str">
        <f>IF(D23="",D23,VLOOKUP(D23,'Списки участников'!A:O,12,FALSE))</f>
        <v/>
      </c>
      <c r="F23" s="393"/>
      <c r="G23" s="399" t="str">
        <f>IF(F23="","",VLOOKUP(F23,'Списки участников'!A:O,12,FALSE))</f>
        <v/>
      </c>
      <c r="H23" s="158"/>
      <c r="I23" s="158"/>
      <c r="J23" s="158"/>
      <c r="K23" s="165"/>
      <c r="L23" s="165"/>
      <c r="M23" s="165"/>
      <c r="N23" s="165"/>
      <c r="O23" s="160" t="str">
        <f t="shared" si="0"/>
        <v/>
      </c>
      <c r="P23" s="161" t="str">
        <f t="shared" si="1"/>
        <v/>
      </c>
      <c r="Q23" s="162" t="str">
        <f t="shared" si="2"/>
        <v/>
      </c>
      <c r="R23" s="361" t="str">
        <f t="shared" si="3"/>
        <v/>
      </c>
      <c r="S23" s="837" t="s">
        <v>2389</v>
      </c>
    </row>
    <row r="24" spans="1:23" ht="15.75" thickBot="1" x14ac:dyDescent="0.25">
      <c r="A24" s="348">
        <v>21</v>
      </c>
      <c r="B24" s="380" t="str">
        <f>IF(F12="","",F12)</f>
        <v/>
      </c>
      <c r="C24" s="145" t="str">
        <f>IF(B24="","",VLOOKUP(B24,'Списки участников'!A:O,12,FALSE))</f>
        <v/>
      </c>
      <c r="D24" s="196" t="str">
        <f>IF(F13="","",F13)</f>
        <v/>
      </c>
      <c r="E24" s="381" t="str">
        <f>IF(D24="",D24,VLOOKUP(D24,'Списки участников'!A:O,12,FALSE))</f>
        <v/>
      </c>
      <c r="F24" s="393"/>
      <c r="G24" s="399" t="str">
        <f>IF(F24="","",VLOOKUP(F24,'Списки участников'!A:O,12,FALSE))</f>
        <v/>
      </c>
      <c r="H24" s="158"/>
      <c r="I24" s="158"/>
      <c r="J24" s="158"/>
      <c r="K24" s="165"/>
      <c r="L24" s="165"/>
      <c r="M24" s="165"/>
      <c r="N24" s="165"/>
      <c r="O24" s="160" t="str">
        <f t="shared" si="0"/>
        <v/>
      </c>
      <c r="P24" s="161" t="str">
        <f t="shared" si="1"/>
        <v/>
      </c>
      <c r="Q24" s="162" t="str">
        <f t="shared" si="2"/>
        <v/>
      </c>
      <c r="R24" s="361" t="str">
        <f t="shared" si="3"/>
        <v/>
      </c>
      <c r="S24" s="837" t="s">
        <v>2389</v>
      </c>
    </row>
    <row r="25" spans="1:23" ht="15.75" thickBot="1" x14ac:dyDescent="0.25">
      <c r="A25" s="348">
        <v>22</v>
      </c>
      <c r="B25" s="380" t="str">
        <f>IF(F14="","",F14)</f>
        <v/>
      </c>
      <c r="C25" s="145" t="str">
        <f>IF(B25="","",VLOOKUP(B25,'Списки участников'!A:O,12,FALSE))</f>
        <v/>
      </c>
      <c r="D25" s="196" t="str">
        <f>IF(F15="","",F15)</f>
        <v/>
      </c>
      <c r="E25" s="381" t="str">
        <f>IF(D25="",D25,VLOOKUP(D25,'Списки участников'!A:O,12,FALSE))</f>
        <v/>
      </c>
      <c r="F25" s="393"/>
      <c r="G25" s="399" t="str">
        <f>IF(F25="","",VLOOKUP(F25,'Списки участников'!A:O,12,FALSE))</f>
        <v/>
      </c>
      <c r="H25" s="158"/>
      <c r="I25" s="158"/>
      <c r="J25" s="158"/>
      <c r="K25" s="165"/>
      <c r="L25" s="165"/>
      <c r="M25" s="165"/>
      <c r="N25" s="165"/>
      <c r="O25" s="160" t="str">
        <f t="shared" si="0"/>
        <v/>
      </c>
      <c r="P25" s="161" t="str">
        <f t="shared" si="1"/>
        <v/>
      </c>
      <c r="Q25" s="162" t="str">
        <f t="shared" si="2"/>
        <v/>
      </c>
      <c r="R25" s="361" t="str">
        <f t="shared" si="3"/>
        <v/>
      </c>
      <c r="S25" s="837" t="s">
        <v>2389</v>
      </c>
    </row>
    <row r="26" spans="1:23" ht="15.75" thickBot="1" x14ac:dyDescent="0.25">
      <c r="A26" s="348">
        <v>23</v>
      </c>
      <c r="B26" s="380" t="str">
        <f>IF(F16="","",F16)</f>
        <v/>
      </c>
      <c r="C26" s="145" t="str">
        <f>IF(B26="","",VLOOKUP(B26,'Списки участников'!A:O,12,FALSE))</f>
        <v/>
      </c>
      <c r="D26" s="196" t="str">
        <f>IF(F17="","",F17)</f>
        <v/>
      </c>
      <c r="E26" s="381" t="str">
        <f>IF(D26="",D26,VLOOKUP(D26,'Списки участников'!A:O,12,FALSE))</f>
        <v/>
      </c>
      <c r="F26" s="393"/>
      <c r="G26" s="399" t="str">
        <f>IF(F26="","",VLOOKUP(F26,'Списки участников'!A:O,12,FALSE))</f>
        <v/>
      </c>
      <c r="H26" s="158"/>
      <c r="I26" s="158"/>
      <c r="J26" s="158"/>
      <c r="K26" s="165"/>
      <c r="L26" s="165"/>
      <c r="M26" s="165"/>
      <c r="N26" s="165"/>
      <c r="O26" s="160" t="str">
        <f t="shared" si="0"/>
        <v/>
      </c>
      <c r="P26" s="161" t="str">
        <f t="shared" si="1"/>
        <v/>
      </c>
      <c r="Q26" s="162" t="str">
        <f t="shared" si="2"/>
        <v/>
      </c>
      <c r="R26" s="361" t="str">
        <f t="shared" si="3"/>
        <v/>
      </c>
      <c r="S26" s="837" t="s">
        <v>2389</v>
      </c>
    </row>
    <row r="27" spans="1:23" ht="15.75" thickBot="1" x14ac:dyDescent="0.25">
      <c r="A27" s="349">
        <v>24</v>
      </c>
      <c r="B27" s="382" t="str">
        <f>IF(F18="","",F18)</f>
        <v/>
      </c>
      <c r="C27" s="148" t="str">
        <f>IF(B27="","",VLOOKUP(B27,'Списки участников'!A:O,12,FALSE))</f>
        <v/>
      </c>
      <c r="D27" s="334" t="str">
        <f>IF(F19="","",F19)</f>
        <v/>
      </c>
      <c r="E27" s="383" t="str">
        <f>IF(D27="",D27,VLOOKUP(D27,'Списки участников'!A:O,12,FALSE))</f>
        <v/>
      </c>
      <c r="F27" s="395"/>
      <c r="G27" s="400" t="str">
        <f>IF(F27="","",VLOOKUP(F27,'Списки участников'!A:O,12,FALSE))</f>
        <v/>
      </c>
      <c r="H27" s="336"/>
      <c r="I27" s="336"/>
      <c r="J27" s="336"/>
      <c r="K27" s="337"/>
      <c r="L27" s="337"/>
      <c r="M27" s="337"/>
      <c r="N27" s="337"/>
      <c r="O27" s="351" t="str">
        <f t="shared" si="0"/>
        <v/>
      </c>
      <c r="P27" s="352" t="str">
        <f t="shared" si="1"/>
        <v/>
      </c>
      <c r="Q27" s="353" t="str">
        <f t="shared" si="2"/>
        <v/>
      </c>
      <c r="R27" s="362" t="str">
        <f t="shared" si="3"/>
        <v/>
      </c>
      <c r="S27" s="837" t="s">
        <v>2389</v>
      </c>
    </row>
    <row r="28" spans="1:23" ht="15.75" thickBot="1" x14ac:dyDescent="0.25">
      <c r="A28" s="344">
        <v>25</v>
      </c>
      <c r="B28" s="378" t="str">
        <f>IF(F20="","",F20)</f>
        <v/>
      </c>
      <c r="C28" s="327" t="str">
        <f>IF(B28="","",VLOOKUP(B28,'Списки участников'!A:O,12,FALSE))</f>
        <v/>
      </c>
      <c r="D28" s="326" t="str">
        <f>IF(F21="","",F21)</f>
        <v/>
      </c>
      <c r="E28" s="379" t="str">
        <f>IF(D28="",D28,VLOOKUP(D28,'Списки участников'!A:O,12,FALSE))</f>
        <v/>
      </c>
      <c r="F28" s="392"/>
      <c r="G28" s="398" t="str">
        <f>IF(F28="","",VLOOKUP(F28,'Списки участников'!A:O,12,FALSE))</f>
        <v/>
      </c>
      <c r="H28" s="329"/>
      <c r="I28" s="329"/>
      <c r="J28" s="329"/>
      <c r="K28" s="330"/>
      <c r="L28" s="330"/>
      <c r="M28" s="330"/>
      <c r="N28" s="330"/>
      <c r="O28" s="341" t="str">
        <f t="shared" si="0"/>
        <v/>
      </c>
      <c r="P28" s="342" t="str">
        <f t="shared" si="1"/>
        <v/>
      </c>
      <c r="Q28" s="343" t="str">
        <f t="shared" si="2"/>
        <v/>
      </c>
      <c r="R28" s="360" t="str">
        <f t="shared" si="3"/>
        <v/>
      </c>
      <c r="S28" s="837" t="s">
        <v>2392</v>
      </c>
    </row>
    <row r="29" spans="1:23" ht="15.75" thickBot="1" x14ac:dyDescent="0.25">
      <c r="A29" s="348">
        <v>26</v>
      </c>
      <c r="B29" s="380" t="str">
        <f>IF(F22="","",F22)</f>
        <v/>
      </c>
      <c r="C29" s="145" t="str">
        <f>IF(B29="","",VLOOKUP(B29,'Списки участников'!A:O,12,FALSE))</f>
        <v/>
      </c>
      <c r="D29" s="196" t="str">
        <f>IF(F23="","",F23)</f>
        <v/>
      </c>
      <c r="E29" s="381" t="str">
        <f>IF(D29="",D29,VLOOKUP(D29,'Списки участников'!A:O,12,FALSE))</f>
        <v/>
      </c>
      <c r="F29" s="393"/>
      <c r="G29" s="399" t="str">
        <f>IF(F29="","",VLOOKUP(F29,'Списки участников'!A:O,12,FALSE))</f>
        <v/>
      </c>
      <c r="H29" s="158"/>
      <c r="I29" s="158"/>
      <c r="J29" s="159"/>
      <c r="K29" s="165"/>
      <c r="L29" s="165"/>
      <c r="M29" s="165"/>
      <c r="N29" s="165"/>
      <c r="O29" s="160" t="str">
        <f t="shared" si="0"/>
        <v/>
      </c>
      <c r="P29" s="161" t="str">
        <f t="shared" si="1"/>
        <v/>
      </c>
      <c r="Q29" s="162" t="str">
        <f t="shared" si="2"/>
        <v/>
      </c>
      <c r="R29" s="361" t="str">
        <f t="shared" si="3"/>
        <v/>
      </c>
      <c r="S29" s="837" t="s">
        <v>2392</v>
      </c>
    </row>
    <row r="30" spans="1:23" ht="15.75" thickBot="1" x14ac:dyDescent="0.25">
      <c r="A30" s="348">
        <v>27</v>
      </c>
      <c r="B30" s="380" t="str">
        <f>IF(F24="","",F24)</f>
        <v/>
      </c>
      <c r="C30" s="145" t="str">
        <f>IF(B30="","",VLOOKUP(B30,'Списки участников'!A:O,12,FALSE))</f>
        <v/>
      </c>
      <c r="D30" s="196" t="str">
        <f>IF(F25="","",F25)</f>
        <v/>
      </c>
      <c r="E30" s="381" t="str">
        <f>IF(D30="",D30,VLOOKUP(D30,'Списки участников'!A:O,12,FALSE))</f>
        <v/>
      </c>
      <c r="F30" s="393"/>
      <c r="G30" s="399" t="str">
        <f>IF(F30="","",VLOOKUP(F30,'Списки участников'!A:O,12,FALSE))</f>
        <v/>
      </c>
      <c r="H30" s="158"/>
      <c r="I30" s="158"/>
      <c r="J30" s="158"/>
      <c r="K30" s="165"/>
      <c r="L30" s="165"/>
      <c r="M30" s="165"/>
      <c r="N30" s="165"/>
      <c r="O30" s="168" t="str">
        <f t="shared" si="0"/>
        <v/>
      </c>
      <c r="P30" s="169" t="str">
        <f t="shared" si="1"/>
        <v/>
      </c>
      <c r="Q30" s="170" t="str">
        <f t="shared" si="2"/>
        <v/>
      </c>
      <c r="R30" s="361" t="str">
        <f t="shared" si="3"/>
        <v/>
      </c>
      <c r="S30" s="837" t="s">
        <v>2392</v>
      </c>
    </row>
    <row r="31" spans="1:23" ht="15.75" thickBot="1" x14ac:dyDescent="0.25">
      <c r="A31" s="349">
        <v>28</v>
      </c>
      <c r="B31" s="382" t="str">
        <f>IF(F26="","",F26)</f>
        <v/>
      </c>
      <c r="C31" s="148" t="str">
        <f>IF(B31="","",VLOOKUP(B31,'Списки участников'!A:O,12,FALSE))</f>
        <v/>
      </c>
      <c r="D31" s="334" t="str">
        <f>IF(F27="","",F27)</f>
        <v/>
      </c>
      <c r="E31" s="383" t="str">
        <f>IF(D31="",D31,VLOOKUP(D31,'Списки участников'!A:O,12,FALSE))</f>
        <v/>
      </c>
      <c r="F31" s="395"/>
      <c r="G31" s="400" t="str">
        <f>IF(F31="","",VLOOKUP(F31,'Списки участников'!A:O,12,FALSE))</f>
        <v/>
      </c>
      <c r="H31" s="336"/>
      <c r="I31" s="336"/>
      <c r="J31" s="336"/>
      <c r="K31" s="337"/>
      <c r="L31" s="337"/>
      <c r="M31" s="337"/>
      <c r="N31" s="337"/>
      <c r="O31" s="338" t="str">
        <f t="shared" si="0"/>
        <v/>
      </c>
      <c r="P31" s="339" t="str">
        <f t="shared" si="1"/>
        <v/>
      </c>
      <c r="Q31" s="340" t="str">
        <f t="shared" si="2"/>
        <v/>
      </c>
      <c r="R31" s="362" t="str">
        <f t="shared" si="3"/>
        <v/>
      </c>
      <c r="S31" s="837" t="s">
        <v>2392</v>
      </c>
    </row>
    <row r="32" spans="1:23" ht="15.75" thickBot="1" x14ac:dyDescent="0.25">
      <c r="A32" s="344">
        <v>29</v>
      </c>
      <c r="B32" s="378" t="str">
        <f>IF(F28="","",F28)</f>
        <v/>
      </c>
      <c r="C32" s="327" t="str">
        <f>IF(B32="","",VLOOKUP(B32,'Списки участников'!A:O,12,FALSE))</f>
        <v/>
      </c>
      <c r="D32" s="326" t="str">
        <f>IF(F29="","",F29)</f>
        <v/>
      </c>
      <c r="E32" s="379" t="str">
        <f>IF(D32="",D32,VLOOKUP(D32,'Списки участников'!A:O,12,FALSE))</f>
        <v/>
      </c>
      <c r="F32" s="392"/>
      <c r="G32" s="398" t="str">
        <f>IF(F32="","",VLOOKUP(F32,'Списки участников'!A:O,12,FALSE))</f>
        <v/>
      </c>
      <c r="H32" s="329"/>
      <c r="I32" s="329"/>
      <c r="J32" s="329"/>
      <c r="K32" s="330"/>
      <c r="L32" s="330"/>
      <c r="M32" s="330"/>
      <c r="N32" s="330"/>
      <c r="O32" s="331" t="str">
        <f t="shared" si="0"/>
        <v/>
      </c>
      <c r="P32" s="332" t="str">
        <f t="shared" si="1"/>
        <v/>
      </c>
      <c r="Q32" s="333" t="str">
        <f t="shared" si="2"/>
        <v/>
      </c>
      <c r="R32" s="360" t="str">
        <f t="shared" si="3"/>
        <v/>
      </c>
      <c r="S32" s="837" t="s">
        <v>2391</v>
      </c>
    </row>
    <row r="33" spans="1:19" ht="15.75" thickBot="1" x14ac:dyDescent="0.25">
      <c r="A33" s="349">
        <v>30</v>
      </c>
      <c r="B33" s="382" t="str">
        <f>IF(F30="","",F30)</f>
        <v/>
      </c>
      <c r="C33" s="148" t="str">
        <f>IF(B33="","",VLOOKUP(B33,'Списки участников'!A:O,12,FALSE))</f>
        <v/>
      </c>
      <c r="D33" s="334" t="str">
        <f>IF(F31="","",F31)</f>
        <v/>
      </c>
      <c r="E33" s="383" t="str">
        <f>IF(D33="",D33,VLOOKUP(D33,'Списки участников'!A:O,12,FALSE))</f>
        <v/>
      </c>
      <c r="F33" s="395"/>
      <c r="G33" s="400" t="str">
        <f>IF(F33="","",VLOOKUP(F33,'Списки участников'!A:O,12,FALSE))</f>
        <v/>
      </c>
      <c r="H33" s="336"/>
      <c r="I33" s="336"/>
      <c r="J33" s="336"/>
      <c r="K33" s="337"/>
      <c r="L33" s="337"/>
      <c r="M33" s="337"/>
      <c r="N33" s="337"/>
      <c r="O33" s="338" t="str">
        <f t="shared" si="0"/>
        <v/>
      </c>
      <c r="P33" s="339" t="str">
        <f t="shared" si="1"/>
        <v/>
      </c>
      <c r="Q33" s="340" t="str">
        <f t="shared" si="2"/>
        <v/>
      </c>
      <c r="R33" s="362" t="str">
        <f t="shared" si="3"/>
        <v/>
      </c>
      <c r="S33" s="837" t="s">
        <v>2391</v>
      </c>
    </row>
    <row r="34" spans="1:19" ht="15.75" thickBot="1" x14ac:dyDescent="0.25">
      <c r="A34" s="374">
        <v>31</v>
      </c>
      <c r="B34" s="384" t="str">
        <f>IF(F32="","",F32)</f>
        <v/>
      </c>
      <c r="C34" s="365" t="str">
        <f>IF(B34="","",VLOOKUP(B34,'Списки участников'!A:O,12,FALSE))</f>
        <v/>
      </c>
      <c r="D34" s="354" t="str">
        <f>IF(F33="","",F33)</f>
        <v/>
      </c>
      <c r="E34" s="385" t="str">
        <f>IF(D34="",D34,VLOOKUP(D34,'Списки участников'!A:O,12,FALSE))</f>
        <v/>
      </c>
      <c r="F34" s="396"/>
      <c r="G34" s="401" t="str">
        <f>IF(F34="","",VLOOKUP(F34,'Списки участников'!A:O,12,FALSE))</f>
        <v/>
      </c>
      <c r="H34" s="355"/>
      <c r="I34" s="355"/>
      <c r="J34" s="355"/>
      <c r="K34" s="356"/>
      <c r="L34" s="356"/>
      <c r="M34" s="356"/>
      <c r="N34" s="356"/>
      <c r="O34" s="357" t="str">
        <f t="shared" si="0"/>
        <v/>
      </c>
      <c r="P34" s="358" t="str">
        <f t="shared" si="1"/>
        <v/>
      </c>
      <c r="Q34" s="359" t="str">
        <f t="shared" si="2"/>
        <v/>
      </c>
      <c r="R34" s="363" t="str">
        <f t="shared" si="3"/>
        <v/>
      </c>
      <c r="S34" s="837" t="s">
        <v>2390</v>
      </c>
    </row>
    <row r="35" spans="1:19" ht="15.75" thickBot="1" x14ac:dyDescent="0.25">
      <c r="A35" s="349">
        <v>32</v>
      </c>
      <c r="B35" s="386" t="str">
        <f>IF(F32="","",IF(F32=D32,B32,IF(F32=B32,D32)))</f>
        <v/>
      </c>
      <c r="C35" s="327" t="str">
        <f>IF(B35="","",VLOOKUP(B35,'Списки участников'!A:O,12,FALSE))</f>
        <v/>
      </c>
      <c r="D35" s="328" t="str">
        <f>IF(F33="","",IF(F33=B33,D33,IF(F33=D33,B33)))</f>
        <v/>
      </c>
      <c r="E35" s="379" t="str">
        <f>IF(D35="",D35,VLOOKUP(D35,'Списки участников'!A:O,12,FALSE))</f>
        <v/>
      </c>
      <c r="F35" s="392"/>
      <c r="G35" s="398" t="str">
        <f>IF(F35="","",VLOOKUP(F35,'Списки участников'!A:O,12,FALSE))</f>
        <v/>
      </c>
      <c r="H35" s="329"/>
      <c r="I35" s="329"/>
      <c r="J35" s="329"/>
      <c r="K35" s="330"/>
      <c r="L35" s="330"/>
      <c r="M35" s="330"/>
      <c r="N35" s="330"/>
      <c r="O35" s="331" t="str">
        <f t="shared" si="0"/>
        <v/>
      </c>
      <c r="P35" s="332" t="str">
        <f t="shared" si="1"/>
        <v/>
      </c>
      <c r="Q35" s="333" t="str">
        <f t="shared" si="2"/>
        <v/>
      </c>
      <c r="R35" s="360" t="str">
        <f t="shared" si="3"/>
        <v/>
      </c>
      <c r="S35" s="837" t="s">
        <v>2393</v>
      </c>
    </row>
    <row r="36" spans="1:19" ht="15.75" thickBot="1" x14ac:dyDescent="0.25">
      <c r="A36" s="374">
        <v>33</v>
      </c>
      <c r="B36" s="387" t="str">
        <f>IF(F28="","",IF(F28=D28,B28,IF(F28=B28,D28)))</f>
        <v/>
      </c>
      <c r="C36" s="145" t="str">
        <f>IF(B36="","",VLOOKUP(B36,'Списки участников'!A:O,12,FALSE))</f>
        <v/>
      </c>
      <c r="D36" s="157" t="str">
        <f>IF(F29="","",IF(F29=B29,D29,IF(F29=D29,B29)))</f>
        <v/>
      </c>
      <c r="E36" s="381" t="str">
        <f>IF(D36="",D36,VLOOKUP(D36,'Списки участников'!A:O,12,FALSE))</f>
        <v/>
      </c>
      <c r="F36" s="393"/>
      <c r="G36" s="399" t="str">
        <f>IF(F36="","",VLOOKUP(F36,'Списки участников'!A:O,12,FALSE))</f>
        <v/>
      </c>
      <c r="H36" s="194"/>
      <c r="I36" s="194"/>
      <c r="J36" s="194"/>
      <c r="K36" s="165"/>
      <c r="L36" s="165"/>
      <c r="M36" s="165"/>
      <c r="N36" s="165"/>
      <c r="O36" s="168" t="str">
        <f t="shared" si="0"/>
        <v/>
      </c>
      <c r="P36" s="197" t="str">
        <f t="shared" si="1"/>
        <v/>
      </c>
      <c r="Q36" s="171" t="str">
        <f t="shared" si="2"/>
        <v/>
      </c>
      <c r="R36" s="361" t="str">
        <f t="shared" si="3"/>
        <v/>
      </c>
      <c r="S36" s="837"/>
    </row>
    <row r="37" spans="1:19" ht="15.75" thickBot="1" x14ac:dyDescent="0.25">
      <c r="A37" s="349">
        <v>34</v>
      </c>
      <c r="B37" s="387" t="str">
        <f>IF(F30="","",IF(F30=D30,B30,IF(F30=B30,D30)))</f>
        <v/>
      </c>
      <c r="C37" s="145" t="str">
        <f>IF(B37="","",VLOOKUP(B37,'Списки участников'!A:O,12,FALSE))</f>
        <v/>
      </c>
      <c r="D37" s="157" t="str">
        <f>IF(F31="","",IF(F31=B31,D31,IF(F31=D31,B31)))</f>
        <v/>
      </c>
      <c r="E37" s="381" t="str">
        <f>IF(D37="",D37,VLOOKUP(D37,'Списки участников'!A:O,12,FALSE))</f>
        <v/>
      </c>
      <c r="F37" s="393"/>
      <c r="G37" s="399" t="str">
        <f>IF(F37="","",VLOOKUP(F37,'Списки участников'!A:O,12,FALSE))</f>
        <v/>
      </c>
      <c r="H37" s="158"/>
      <c r="I37" s="158"/>
      <c r="J37" s="159"/>
      <c r="K37" s="165"/>
      <c r="L37" s="165"/>
      <c r="M37" s="165"/>
      <c r="N37" s="165"/>
      <c r="O37" s="168" t="str">
        <f t="shared" si="0"/>
        <v/>
      </c>
      <c r="P37" s="197" t="str">
        <f t="shared" si="1"/>
        <v/>
      </c>
      <c r="Q37" s="171" t="str">
        <f t="shared" si="2"/>
        <v/>
      </c>
      <c r="R37" s="361" t="str">
        <f t="shared" si="3"/>
        <v/>
      </c>
      <c r="S37" s="837"/>
    </row>
    <row r="38" spans="1:19" ht="15.75" thickBot="1" x14ac:dyDescent="0.25">
      <c r="A38" s="374">
        <v>35</v>
      </c>
      <c r="B38" s="387">
        <f>F36</f>
        <v>0</v>
      </c>
      <c r="C38" s="145" t="e">
        <f>IF(B38="","",VLOOKUP(B38,'Списки участников'!A:O,12,FALSE))</f>
        <v>#N/A</v>
      </c>
      <c r="D38" s="157">
        <f>F37</f>
        <v>0</v>
      </c>
      <c r="E38" s="381" t="e">
        <f>IF(D38="",D38,VLOOKUP(D38,'Списки участников'!A:O,12,FALSE))</f>
        <v>#N/A</v>
      </c>
      <c r="F38" s="393"/>
      <c r="G38" s="399" t="str">
        <f>IF(F38="","",VLOOKUP(F38,'Списки участников'!A:O,12,FALSE))</f>
        <v/>
      </c>
      <c r="H38" s="158"/>
      <c r="I38" s="158"/>
      <c r="J38" s="158"/>
      <c r="K38" s="165"/>
      <c r="L38" s="165"/>
      <c r="M38" s="165"/>
      <c r="N38" s="165"/>
      <c r="O38" s="168" t="str">
        <f t="shared" si="0"/>
        <v/>
      </c>
      <c r="P38" s="197" t="str">
        <f t="shared" si="1"/>
        <v/>
      </c>
      <c r="Q38" s="171" t="str">
        <f t="shared" si="2"/>
        <v/>
      </c>
      <c r="R38" s="361" t="str">
        <f t="shared" si="3"/>
        <v/>
      </c>
      <c r="S38" s="837" t="s">
        <v>2394</v>
      </c>
    </row>
    <row r="39" spans="1:19" ht="15.75" thickBot="1" x14ac:dyDescent="0.25">
      <c r="A39" s="349">
        <v>36</v>
      </c>
      <c r="B39" s="380" t="str">
        <f>IF(F37="","",IF(F37=D37,B37,IF(F37=B37,D37)))</f>
        <v/>
      </c>
      <c r="C39" s="145" t="str">
        <f>IF(B39="","",VLOOKUP(B39,'Списки участников'!A:O,12,FALSE))</f>
        <v/>
      </c>
      <c r="D39" s="196" t="str">
        <f>IF(F38="","",IF(F38=B38,D38,IF(F38=D38,B38)))</f>
        <v/>
      </c>
      <c r="E39" s="381" t="str">
        <f>IF(D39="",D39,VLOOKUP(D39,'Списки участников'!A:O,12,FALSE))</f>
        <v/>
      </c>
      <c r="F39" s="393"/>
      <c r="G39" s="399" t="str">
        <f>IF(F39="","",VLOOKUP(F39,'Списки участников'!A:O,12,FALSE))</f>
        <v/>
      </c>
      <c r="H39" s="158"/>
      <c r="I39" s="158"/>
      <c r="J39" s="158"/>
      <c r="K39" s="165"/>
      <c r="L39" s="165"/>
      <c r="M39" s="165"/>
      <c r="N39" s="165"/>
      <c r="O39" s="168" t="str">
        <f t="shared" si="0"/>
        <v/>
      </c>
      <c r="P39" s="197" t="str">
        <f t="shared" si="1"/>
        <v/>
      </c>
      <c r="Q39" s="171" t="str">
        <f t="shared" si="2"/>
        <v/>
      </c>
      <c r="R39" s="361" t="str">
        <f t="shared" si="3"/>
        <v/>
      </c>
      <c r="S39" s="837" t="s">
        <v>2395</v>
      </c>
    </row>
    <row r="40" spans="1:19" ht="15.75" thickBot="1" x14ac:dyDescent="0.25">
      <c r="A40" s="374">
        <v>37</v>
      </c>
      <c r="B40" s="380" t="str">
        <f>IF(F20="","",IF(F20=D20,B20,IF(F20=B20,D20)))</f>
        <v/>
      </c>
      <c r="C40" s="145" t="str">
        <f>IF(B40="","",VLOOKUP(B40,'Списки участников'!A:O,12,FALSE))</f>
        <v/>
      </c>
      <c r="D40" s="196" t="str">
        <f>IF(F21="","",IF(F21=B21,D21,IF(F21=D21,B21)))</f>
        <v/>
      </c>
      <c r="E40" s="381" t="str">
        <f>IF(D40="",D40,VLOOKUP(D40,'Списки участников'!A:O,12,FALSE))</f>
        <v/>
      </c>
      <c r="F40" s="393"/>
      <c r="G40" s="399" t="str">
        <f>IF(F40="","",VLOOKUP(F40,'Списки участников'!A:O,12,FALSE))</f>
        <v/>
      </c>
      <c r="H40" s="158"/>
      <c r="I40" s="158"/>
      <c r="J40" s="158"/>
      <c r="K40" s="165"/>
      <c r="L40" s="165"/>
      <c r="M40" s="165"/>
      <c r="N40" s="165"/>
      <c r="O40" s="168" t="str">
        <f t="shared" si="0"/>
        <v/>
      </c>
      <c r="P40" s="197" t="str">
        <f t="shared" si="1"/>
        <v/>
      </c>
      <c r="Q40" s="171" t="str">
        <f t="shared" si="2"/>
        <v/>
      </c>
      <c r="R40" s="361" t="str">
        <f t="shared" si="3"/>
        <v/>
      </c>
      <c r="S40" s="837"/>
    </row>
    <row r="41" spans="1:19" ht="15.75" thickBot="1" x14ac:dyDescent="0.25">
      <c r="A41" s="349">
        <v>38</v>
      </c>
      <c r="B41" s="380" t="str">
        <f>IF(F22="","",IF(F22=D22,B22,IF(F22=B22,D22)))</f>
        <v/>
      </c>
      <c r="C41" s="145" t="str">
        <f>IF(B41="","",VLOOKUP(B41,'Списки участников'!A:O,12,FALSE))</f>
        <v/>
      </c>
      <c r="D41" s="196" t="str">
        <f>IF(F23="","",IF(F23=B23,D23,IF(F23=D23,B23)))</f>
        <v/>
      </c>
      <c r="E41" s="381" t="str">
        <f>IF(D41="",D41,VLOOKUP(D41,'Списки участников'!A:O,12,FALSE))</f>
        <v/>
      </c>
      <c r="F41" s="393"/>
      <c r="G41" s="399" t="str">
        <f>IF(F41="","",VLOOKUP(F41,'Списки участников'!A:O,12,FALSE))</f>
        <v/>
      </c>
      <c r="H41" s="158"/>
      <c r="I41" s="158"/>
      <c r="J41" s="158"/>
      <c r="K41" s="165"/>
      <c r="L41" s="165"/>
      <c r="M41" s="165"/>
      <c r="N41" s="165"/>
      <c r="O41" s="168" t="str">
        <f t="shared" si="0"/>
        <v/>
      </c>
      <c r="P41" s="197" t="str">
        <f t="shared" si="1"/>
        <v/>
      </c>
      <c r="Q41" s="171" t="str">
        <f t="shared" si="2"/>
        <v/>
      </c>
      <c r="R41" s="361" t="str">
        <f t="shared" si="3"/>
        <v/>
      </c>
      <c r="S41" s="837"/>
    </row>
    <row r="42" spans="1:19" ht="15.75" thickBot="1" x14ac:dyDescent="0.25">
      <c r="A42" s="374">
        <v>39</v>
      </c>
      <c r="B42" s="382" t="str">
        <f>IF(F24="","",IF(F24=D24,B24,IF(F24=B24,D24)))</f>
        <v/>
      </c>
      <c r="C42" s="148" t="str">
        <f>IF(B42="","",VLOOKUP(B42,'Списки участников'!A:O,12,FALSE))</f>
        <v/>
      </c>
      <c r="D42" s="334" t="str">
        <f>IF(F25="","",IF(F25=B25,D25,IF(F25=D25,B25)))</f>
        <v/>
      </c>
      <c r="E42" s="383" t="str">
        <f>IF(D42="",D42,VLOOKUP(D42,'Списки участников'!A:O,12,FALSE))</f>
        <v/>
      </c>
      <c r="F42" s="395"/>
      <c r="G42" s="400" t="str">
        <f>IF(F42="","",VLOOKUP(F42,'Списки участников'!A:O,12,FALSE))</f>
        <v/>
      </c>
      <c r="H42" s="336"/>
      <c r="I42" s="336"/>
      <c r="J42" s="336"/>
      <c r="K42" s="337"/>
      <c r="L42" s="337"/>
      <c r="M42" s="337"/>
      <c r="N42" s="337"/>
      <c r="O42" s="338" t="str">
        <f t="shared" si="0"/>
        <v/>
      </c>
      <c r="P42" s="339" t="str">
        <f t="shared" si="1"/>
        <v/>
      </c>
      <c r="Q42" s="340" t="str">
        <f t="shared" si="2"/>
        <v/>
      </c>
      <c r="R42" s="362" t="str">
        <f t="shared" si="3"/>
        <v/>
      </c>
      <c r="S42" s="837"/>
    </row>
    <row r="43" spans="1:19" ht="15.75" thickBot="1" x14ac:dyDescent="0.25">
      <c r="A43" s="349">
        <v>40</v>
      </c>
      <c r="B43" s="382" t="str">
        <f>IF(F26="","",IF(F26=D26,B26,IF(F26=B26,D26)))</f>
        <v/>
      </c>
      <c r="C43" s="327" t="str">
        <f>IF(B43="","",VLOOKUP(B43,'Списки участников'!A:O,12,FALSE))</f>
        <v/>
      </c>
      <c r="D43" s="334" t="str">
        <f>IF(F27="","",IF(F27=B27,D27,IF(F27=D27,B27)))</f>
        <v/>
      </c>
      <c r="E43" s="379" t="str">
        <f>IF(D43="",D43,VLOOKUP(D43,'Списки участников'!A:O,12,FALSE))</f>
        <v/>
      </c>
      <c r="F43" s="392"/>
      <c r="G43" s="398" t="str">
        <f>IF(F43="","",VLOOKUP(F43,'Списки участников'!A:O,12,FALSE))</f>
        <v/>
      </c>
      <c r="H43" s="329"/>
      <c r="I43" s="329"/>
      <c r="J43" s="329"/>
      <c r="K43" s="330"/>
      <c r="L43" s="330"/>
      <c r="M43" s="330"/>
      <c r="N43" s="330"/>
      <c r="O43" s="331" t="str">
        <f t="shared" si="0"/>
        <v/>
      </c>
      <c r="P43" s="332" t="str">
        <f t="shared" si="1"/>
        <v/>
      </c>
      <c r="Q43" s="333" t="str">
        <f t="shared" si="2"/>
        <v/>
      </c>
      <c r="R43" s="360" t="str">
        <f t="shared" si="3"/>
        <v/>
      </c>
      <c r="S43" s="837"/>
    </row>
    <row r="44" spans="1:19" ht="15.75" thickBot="1" x14ac:dyDescent="0.25">
      <c r="A44" s="374">
        <v>41</v>
      </c>
      <c r="B44" s="387">
        <f>F40</f>
        <v>0</v>
      </c>
      <c r="C44" s="145" t="e">
        <f>IF(B44="","",VLOOKUP(B44,'Списки участников'!A:O,12,FALSE))</f>
        <v>#N/A</v>
      </c>
      <c r="D44" s="157">
        <f>F41</f>
        <v>0</v>
      </c>
      <c r="E44" s="381" t="e">
        <f>IF(D44="",D44,VLOOKUP(D44,'Списки участников'!A:O,12,FALSE))</f>
        <v>#N/A</v>
      </c>
      <c r="F44" s="393"/>
      <c r="G44" s="399" t="str">
        <f>IF(F44="","",VLOOKUP(F44,'Списки участников'!A:O,12,FALSE))</f>
        <v/>
      </c>
      <c r="H44" s="194"/>
      <c r="I44" s="194"/>
      <c r="J44" s="194"/>
      <c r="K44" s="165"/>
      <c r="L44" s="165"/>
      <c r="M44" s="165"/>
      <c r="N44" s="165"/>
      <c r="O44" s="168" t="str">
        <f t="shared" si="0"/>
        <v/>
      </c>
      <c r="P44" s="197" t="str">
        <f t="shared" si="1"/>
        <v/>
      </c>
      <c r="Q44" s="171" t="str">
        <f t="shared" si="2"/>
        <v/>
      </c>
      <c r="R44" s="361" t="str">
        <f t="shared" si="3"/>
        <v/>
      </c>
      <c r="S44" s="837"/>
    </row>
    <row r="45" spans="1:19" ht="15.75" thickBot="1" x14ac:dyDescent="0.25">
      <c r="A45" s="349">
        <v>42</v>
      </c>
      <c r="B45" s="387">
        <f>F42</f>
        <v>0</v>
      </c>
      <c r="C45" s="145" t="e">
        <f>IF(B45="","",VLOOKUP(B45,'Списки участников'!A:O,12,FALSE))</f>
        <v>#N/A</v>
      </c>
      <c r="D45" s="157">
        <f>F43</f>
        <v>0</v>
      </c>
      <c r="E45" s="381" t="e">
        <f>IF(D45="",D45,VLOOKUP(D45,'Списки участников'!A:O,12,FALSE))</f>
        <v>#N/A</v>
      </c>
      <c r="F45" s="393"/>
      <c r="G45" s="399" t="str">
        <f>IF(F45="","",VLOOKUP(F45,'Списки участников'!A:O,12,FALSE))</f>
        <v/>
      </c>
      <c r="H45" s="158"/>
      <c r="I45" s="158"/>
      <c r="J45" s="159"/>
      <c r="K45" s="165"/>
      <c r="L45" s="165"/>
      <c r="M45" s="165"/>
      <c r="N45" s="165"/>
      <c r="O45" s="168" t="str">
        <f t="shared" si="0"/>
        <v/>
      </c>
      <c r="P45" s="197" t="str">
        <f t="shared" si="1"/>
        <v/>
      </c>
      <c r="Q45" s="171" t="str">
        <f t="shared" si="2"/>
        <v/>
      </c>
      <c r="R45" s="361" t="str">
        <f t="shared" si="3"/>
        <v/>
      </c>
      <c r="S45" s="837"/>
    </row>
    <row r="46" spans="1:19" ht="15.75" thickBot="1" x14ac:dyDescent="0.25">
      <c r="A46" s="374">
        <v>43</v>
      </c>
      <c r="B46" s="388">
        <f>F44</f>
        <v>0</v>
      </c>
      <c r="C46" s="148" t="e">
        <f>IF(B46="","",VLOOKUP(B46,'Списки участников'!A:O,12,FALSE))</f>
        <v>#N/A</v>
      </c>
      <c r="D46" s="335">
        <f>F45</f>
        <v>0</v>
      </c>
      <c r="E46" s="383" t="e">
        <f>IF(D46="",D46,VLOOKUP(D46,'Списки участников'!A:O,12,FALSE))</f>
        <v>#N/A</v>
      </c>
      <c r="F46" s="395"/>
      <c r="G46" s="400" t="str">
        <f>IF(F46="","",VLOOKUP(F46,'Списки участников'!A:O,12,FALSE))</f>
        <v/>
      </c>
      <c r="H46" s="336"/>
      <c r="I46" s="336"/>
      <c r="J46" s="336"/>
      <c r="K46" s="337"/>
      <c r="L46" s="337"/>
      <c r="M46" s="337"/>
      <c r="N46" s="337"/>
      <c r="O46" s="338" t="str">
        <f t="shared" si="0"/>
        <v/>
      </c>
      <c r="P46" s="339" t="str">
        <f t="shared" si="1"/>
        <v/>
      </c>
      <c r="Q46" s="340" t="str">
        <f t="shared" si="2"/>
        <v/>
      </c>
      <c r="R46" s="362" t="str">
        <f t="shared" si="3"/>
        <v/>
      </c>
      <c r="S46" s="837" t="s">
        <v>2396</v>
      </c>
    </row>
    <row r="47" spans="1:19" ht="15.75" thickBot="1" x14ac:dyDescent="0.25">
      <c r="A47" s="349">
        <v>44</v>
      </c>
      <c r="B47" s="378" t="str">
        <f>IF(F44="","",IF(F44=D44,B44,IF(F44=B44,D44)))</f>
        <v/>
      </c>
      <c r="C47" s="327" t="str">
        <f>IF(B47="","",VLOOKUP(B47,'Списки участников'!A:O,12,FALSE))</f>
        <v/>
      </c>
      <c r="D47" s="326" t="str">
        <f>IF(F45="","",IF(F45=B45,D45,IF(F45=D45,B45)))</f>
        <v/>
      </c>
      <c r="E47" s="379" t="str">
        <f>IF(D47="",D47,VLOOKUP(D47,'Списки участников'!A:O,12,FALSE))</f>
        <v/>
      </c>
      <c r="F47" s="392"/>
      <c r="G47" s="398" t="str">
        <f>IF(F47="","",VLOOKUP(F47,'Списки участников'!A:O,12,FALSE))</f>
        <v/>
      </c>
      <c r="H47" s="329"/>
      <c r="I47" s="329"/>
      <c r="J47" s="329"/>
      <c r="K47" s="330"/>
      <c r="L47" s="330"/>
      <c r="M47" s="330"/>
      <c r="N47" s="330"/>
      <c r="O47" s="331" t="str">
        <f t="shared" si="0"/>
        <v/>
      </c>
      <c r="P47" s="332" t="str">
        <f t="shared" si="1"/>
        <v/>
      </c>
      <c r="Q47" s="333" t="str">
        <f t="shared" si="2"/>
        <v/>
      </c>
      <c r="R47" s="360" t="str">
        <f t="shared" si="3"/>
        <v/>
      </c>
      <c r="S47" s="837" t="s">
        <v>2397</v>
      </c>
    </row>
    <row r="48" spans="1:19" ht="15.75" thickBot="1" x14ac:dyDescent="0.25">
      <c r="A48" s="374">
        <v>45</v>
      </c>
      <c r="B48" s="382" t="str">
        <f>IF(F40="","",IF(F40=B40,D40,IF(F40=D40,B40)))</f>
        <v/>
      </c>
      <c r="C48" s="148" t="str">
        <f>IF(B48="","",VLOOKUP(B48,'Списки участников'!A:O,12,FALSE))</f>
        <v/>
      </c>
      <c r="D48" s="334" t="str">
        <f>IF(F41="","",IF(F41=B41,D41,IF(F41=D41,B41)))</f>
        <v/>
      </c>
      <c r="E48" s="383" t="str">
        <f>IF(D48="",D48,VLOOKUP(D48,'Списки участников'!A:O,12,FALSE))</f>
        <v/>
      </c>
      <c r="F48" s="395"/>
      <c r="G48" s="400" t="str">
        <f>IF(F48="","",VLOOKUP(F48,'Списки участников'!A:O,12,FALSE))</f>
        <v/>
      </c>
      <c r="H48" s="336"/>
      <c r="I48" s="336"/>
      <c r="J48" s="336"/>
      <c r="K48" s="337"/>
      <c r="L48" s="337"/>
      <c r="M48" s="337"/>
      <c r="N48" s="337"/>
      <c r="O48" s="338" t="str">
        <f t="shared" si="0"/>
        <v/>
      </c>
      <c r="P48" s="339" t="str">
        <f t="shared" si="1"/>
        <v/>
      </c>
      <c r="Q48" s="340" t="str">
        <f t="shared" si="2"/>
        <v/>
      </c>
      <c r="R48" s="362" t="str">
        <f t="shared" si="3"/>
        <v/>
      </c>
      <c r="S48" s="837"/>
    </row>
    <row r="49" spans="1:19" ht="15.75" thickBot="1" x14ac:dyDescent="0.25">
      <c r="A49" s="349">
        <v>46</v>
      </c>
      <c r="B49" s="382" t="str">
        <f>IF(F42="","",IF(F42=B42,D42,IF(F42=D42,B42)))</f>
        <v/>
      </c>
      <c r="C49" s="365" t="str">
        <f>IF(B49="","",VLOOKUP(B49,'Списки участников'!A:O,12,FALSE))</f>
        <v/>
      </c>
      <c r="D49" s="334" t="str">
        <f>IF(F43="","",IF(F43=B43,D43,IF(F43=D43,B43)))</f>
        <v/>
      </c>
      <c r="E49" s="390" t="str">
        <f>IF(D49="",D49,VLOOKUP(D49,'Списки участников'!A:O,12,FALSE))</f>
        <v/>
      </c>
      <c r="F49" s="397"/>
      <c r="G49" s="402" t="str">
        <f>IF(F49="","",VLOOKUP(F49,'Списки участников'!A:O,12,FALSE))</f>
        <v/>
      </c>
      <c r="H49" s="367"/>
      <c r="I49" s="367"/>
      <c r="J49" s="367"/>
      <c r="K49" s="368"/>
      <c r="L49" s="368"/>
      <c r="M49" s="368"/>
      <c r="N49" s="368"/>
      <c r="O49" s="369" t="str">
        <f t="shared" si="0"/>
        <v/>
      </c>
      <c r="P49" s="370" t="str">
        <f t="shared" si="1"/>
        <v/>
      </c>
      <c r="Q49" s="371" t="str">
        <f t="shared" si="2"/>
        <v/>
      </c>
      <c r="R49" s="372" t="str">
        <f t="shared" si="3"/>
        <v/>
      </c>
      <c r="S49" s="837"/>
    </row>
    <row r="50" spans="1:19" ht="15.75" thickBot="1" x14ac:dyDescent="0.25">
      <c r="A50" s="374">
        <v>47</v>
      </c>
      <c r="B50" s="437">
        <f>F48</f>
        <v>0</v>
      </c>
      <c r="C50" s="365" t="e">
        <f>IF(B50="","",VLOOKUP(B50,'Списки участников'!A:O,12,FALSE))</f>
        <v>#N/A</v>
      </c>
      <c r="D50" s="366">
        <f>F49</f>
        <v>0</v>
      </c>
      <c r="E50" s="390" t="e">
        <f>IF(D50="",D50,VLOOKUP(D50,'Списки участников'!A:O,12,FALSE))</f>
        <v>#N/A</v>
      </c>
      <c r="F50" s="397"/>
      <c r="G50" s="402" t="str">
        <f>IF(F50="","",VLOOKUP(F50,'Списки участников'!A:O,12,FALSE))</f>
        <v/>
      </c>
      <c r="H50" s="367"/>
      <c r="I50" s="367"/>
      <c r="J50" s="367"/>
      <c r="K50" s="368"/>
      <c r="L50" s="368"/>
      <c r="M50" s="368"/>
      <c r="N50" s="368"/>
      <c r="O50" s="369" t="str">
        <f t="shared" si="0"/>
        <v/>
      </c>
      <c r="P50" s="370" t="str">
        <f t="shared" si="1"/>
        <v/>
      </c>
      <c r="Q50" s="371" t="str">
        <f t="shared" si="2"/>
        <v/>
      </c>
      <c r="R50" s="372" t="str">
        <f t="shared" si="3"/>
        <v/>
      </c>
      <c r="S50" s="837" t="s">
        <v>2398</v>
      </c>
    </row>
    <row r="51" spans="1:19" ht="15.75" thickBot="1" x14ac:dyDescent="0.25">
      <c r="A51" s="349">
        <v>48</v>
      </c>
      <c r="B51" s="404" t="str">
        <f>IF(B48=F48,D48,B48)</f>
        <v/>
      </c>
      <c r="C51" s="327" t="str">
        <f>IF(B51="","",VLOOKUP(B51,'Списки участников'!A:O,12,FALSE))</f>
        <v/>
      </c>
      <c r="D51" s="405" t="str">
        <f>IF(B49=F49,D49,B49)</f>
        <v/>
      </c>
      <c r="E51" s="406" t="str">
        <f>IF(D51="","",VLOOKUP(D51,'Списки участников'!A:O,12,FALSE))</f>
        <v/>
      </c>
      <c r="F51" s="407"/>
      <c r="G51" s="408" t="str">
        <f>IF(F51="","",VLOOKUP(F51,'Списки участников'!A:O,12,FALSE))</f>
        <v/>
      </c>
      <c r="H51" s="329"/>
      <c r="I51" s="329"/>
      <c r="J51" s="329"/>
      <c r="K51" s="329"/>
      <c r="L51" s="329"/>
      <c r="M51" s="329"/>
      <c r="N51" s="329"/>
      <c r="O51" s="409" t="str">
        <f t="shared" si="0"/>
        <v/>
      </c>
      <c r="P51" s="410" t="str">
        <f t="shared" si="1"/>
        <v/>
      </c>
      <c r="Q51" s="411" t="str">
        <f t="shared" si="2"/>
        <v/>
      </c>
      <c r="R51" s="360" t="str">
        <f t="shared" si="3"/>
        <v/>
      </c>
      <c r="S51" s="837" t="s">
        <v>2399</v>
      </c>
    </row>
    <row r="52" spans="1:19" ht="15.75" thickBot="1" x14ac:dyDescent="0.25">
      <c r="A52" s="374">
        <v>49</v>
      </c>
      <c r="B52" s="412" t="str">
        <f>IF(F4="","",(B4=F4,D4,B4))</f>
        <v/>
      </c>
      <c r="C52" s="148" t="str">
        <f>IF(B52="","",VLOOKUP(B52,'Списки участников'!A:O,12,FALSE))</f>
        <v/>
      </c>
      <c r="D52" s="413" t="str">
        <f>IF(F5="","",(B5=F5,D5,B5))</f>
        <v/>
      </c>
      <c r="E52" s="414" t="str">
        <f>IF(D52="","",VLOOKUP(D52,'Списки участников'!A:O,12,FALSE))</f>
        <v/>
      </c>
      <c r="F52" s="415"/>
      <c r="G52" s="416" t="str">
        <f>IF(F52="","",VLOOKUP(F52,'Списки участников'!A:O,12,FALSE))</f>
        <v/>
      </c>
      <c r="H52" s="355"/>
      <c r="I52" s="355"/>
      <c r="J52" s="355"/>
      <c r="K52" s="336"/>
      <c r="L52" s="336"/>
      <c r="M52" s="336"/>
      <c r="N52" s="336"/>
      <c r="O52" s="417" t="str">
        <f t="shared" si="0"/>
        <v/>
      </c>
      <c r="P52" s="418" t="str">
        <f t="shared" si="1"/>
        <v/>
      </c>
      <c r="Q52" s="419" t="str">
        <f t="shared" si="2"/>
        <v/>
      </c>
      <c r="R52" s="362" t="str">
        <f t="shared" si="3"/>
        <v/>
      </c>
      <c r="S52" s="837"/>
    </row>
    <row r="53" spans="1:19" ht="15.75" thickBot="1" x14ac:dyDescent="0.25">
      <c r="A53" s="349">
        <v>50</v>
      </c>
      <c r="B53" s="412" t="str">
        <f>IF(F6="","",(B6=F6,D6,B6))</f>
        <v/>
      </c>
      <c r="C53" s="365" t="str">
        <f>IF(B53="","",VLOOKUP(B53,'Списки участников'!A:O,12,FALSE))</f>
        <v/>
      </c>
      <c r="D53" s="413" t="str">
        <f>IF(F7="","",(B7=F7,D7,B7))</f>
        <v/>
      </c>
      <c r="E53" s="424" t="str">
        <f>IF(D53="","",VLOOKUP(D53,'Списки участников'!A:O,12,FALSE))</f>
        <v/>
      </c>
      <c r="F53" s="425"/>
      <c r="G53" s="402" t="str">
        <f>IF(F53="","",VLOOKUP(F53,'Списки участников'!A:O,12,FALSE))</f>
        <v/>
      </c>
      <c r="H53" s="367"/>
      <c r="I53" s="367"/>
      <c r="J53" s="426"/>
      <c r="K53" s="368"/>
      <c r="L53" s="368"/>
      <c r="M53" s="368"/>
      <c r="N53" s="368"/>
      <c r="O53" s="417" t="str">
        <f t="shared" si="0"/>
        <v/>
      </c>
      <c r="P53" s="370" t="str">
        <f t="shared" si="1"/>
        <v/>
      </c>
      <c r="Q53" s="371" t="str">
        <f t="shared" si="2"/>
        <v/>
      </c>
      <c r="R53" s="372" t="str">
        <f t="shared" si="3"/>
        <v/>
      </c>
      <c r="S53" s="838"/>
    </row>
    <row r="54" spans="1:19" ht="15.75" thickBot="1" x14ac:dyDescent="0.25">
      <c r="A54" s="374">
        <v>51</v>
      </c>
      <c r="B54" s="412" t="str">
        <f>IF(F8="","",(B8=F8,D8,B8))</f>
        <v/>
      </c>
      <c r="C54" s="365" t="str">
        <f>IF(B54="","",VLOOKUP(B54,'Списки участников'!A:O,12,FALSE))</f>
        <v/>
      </c>
      <c r="D54" s="413" t="str">
        <f>IF(F9="","",(B9=F9,D9,B9))</f>
        <v/>
      </c>
      <c r="E54" s="424" t="str">
        <f>IF(D54="","",VLOOKUP(D54,'Списки участников'!A:O,12,FALSE))</f>
        <v/>
      </c>
      <c r="F54" s="425"/>
      <c r="G54" s="402" t="str">
        <f>IF(F54="","",VLOOKUP(F54,'Списки участников'!A:O,12,FALSE))</f>
        <v/>
      </c>
      <c r="H54" s="367"/>
      <c r="I54" s="367"/>
      <c r="J54" s="367"/>
      <c r="K54" s="368"/>
      <c r="L54" s="368"/>
      <c r="M54" s="368"/>
      <c r="N54" s="368"/>
      <c r="O54" s="417" t="str">
        <f t="shared" si="0"/>
        <v/>
      </c>
      <c r="P54" s="370" t="str">
        <f t="shared" si="1"/>
        <v/>
      </c>
      <c r="Q54" s="371" t="str">
        <f t="shared" si="2"/>
        <v/>
      </c>
      <c r="R54" s="372" t="str">
        <f t="shared" si="3"/>
        <v/>
      </c>
      <c r="S54" s="837"/>
    </row>
    <row r="55" spans="1:19" ht="15.75" thickBot="1" x14ac:dyDescent="0.25">
      <c r="A55" s="349">
        <v>52</v>
      </c>
      <c r="B55" s="412" t="str">
        <f>IF(F10="","",(B10=F10,D10,B10))</f>
        <v/>
      </c>
      <c r="C55" s="345" t="str">
        <f>IF(B55="","",VLOOKUP(B55,'Списки участников'!A:O,12,FALSE))</f>
        <v/>
      </c>
      <c r="D55" s="413" t="str">
        <f>IF(F11="","",(B11=F11,D11,B11))</f>
        <v/>
      </c>
      <c r="E55" s="406" t="str">
        <f>IF(D55="","",VLOOKUP(D55,'Списки участников'!A:O,12,FALSE))</f>
        <v/>
      </c>
      <c r="F55" s="392"/>
      <c r="G55" s="398" t="str">
        <f>IF(F55="","",VLOOKUP(F55,'Списки участников'!A:O,12,FALSE))</f>
        <v/>
      </c>
      <c r="H55" s="329"/>
      <c r="I55" s="329"/>
      <c r="J55" s="329"/>
      <c r="K55" s="330"/>
      <c r="L55" s="330"/>
      <c r="M55" s="330"/>
      <c r="N55" s="330"/>
      <c r="O55" s="417" t="str">
        <f t="shared" si="0"/>
        <v/>
      </c>
      <c r="P55" s="332" t="str">
        <f t="shared" si="1"/>
        <v/>
      </c>
      <c r="Q55" s="333" t="str">
        <f t="shared" si="2"/>
        <v/>
      </c>
      <c r="R55" s="360" t="str">
        <f t="shared" si="3"/>
        <v/>
      </c>
      <c r="S55" s="837"/>
    </row>
    <row r="56" spans="1:19" ht="15.75" thickBot="1" x14ac:dyDescent="0.25">
      <c r="A56" s="374">
        <v>53</v>
      </c>
      <c r="B56" s="412" t="str">
        <f>IF(F12="","",(B12=F12,D12,B12))</f>
        <v/>
      </c>
      <c r="C56" s="167" t="str">
        <f>IF(B56="","",VLOOKUP(B56,'Списки участников'!A:O,12,FALSE))</f>
        <v/>
      </c>
      <c r="D56" s="413" t="str">
        <f>IF(F13="","",(B13=F13,D13,B13))</f>
        <v/>
      </c>
      <c r="E56" s="423" t="str">
        <f>IF(D56="","",VLOOKUP(D56,'Списки участников'!A:O,12,FALSE))</f>
        <v/>
      </c>
      <c r="F56" s="393"/>
      <c r="G56" s="399" t="str">
        <f>IF(F56="","",VLOOKUP(F56,'Списки участников'!A:O,12,FALSE))</f>
        <v/>
      </c>
      <c r="H56" s="158"/>
      <c r="I56" s="158"/>
      <c r="J56" s="158"/>
      <c r="K56" s="165"/>
      <c r="L56" s="165"/>
      <c r="M56" s="165"/>
      <c r="N56" s="165"/>
      <c r="O56" s="417" t="str">
        <f t="shared" si="0"/>
        <v/>
      </c>
      <c r="P56" s="197" t="str">
        <f t="shared" si="1"/>
        <v/>
      </c>
      <c r="Q56" s="171" t="str">
        <f t="shared" si="2"/>
        <v/>
      </c>
      <c r="R56" s="361" t="str">
        <f t="shared" si="3"/>
        <v/>
      </c>
      <c r="S56" s="837"/>
    </row>
    <row r="57" spans="1:19" ht="15.75" thickBot="1" x14ac:dyDescent="0.25">
      <c r="A57" s="349">
        <v>54</v>
      </c>
      <c r="B57" s="412" t="str">
        <f>IF(F14="","",(B14=F14,D14,B14))</f>
        <v/>
      </c>
      <c r="C57" s="167" t="str">
        <f>IF(B57="","",VLOOKUP(B57,'Списки участников'!A:O,12,FALSE))</f>
        <v/>
      </c>
      <c r="D57" s="413" t="str">
        <f>IF(F15="","",(B15=F15,D15,B15))</f>
        <v/>
      </c>
      <c r="E57" s="423" t="str">
        <f>IF(D57="","",VLOOKUP(D57,'Списки участников'!A:O,12,FALSE))</f>
        <v/>
      </c>
      <c r="F57" s="393"/>
      <c r="G57" s="399" t="str">
        <f>IF(F57="","",VLOOKUP(F57,'Списки участников'!A:O,12,FALSE))</f>
        <v/>
      </c>
      <c r="H57" s="158"/>
      <c r="I57" s="158"/>
      <c r="J57" s="158"/>
      <c r="K57" s="165"/>
      <c r="L57" s="165"/>
      <c r="M57" s="165"/>
      <c r="N57" s="165"/>
      <c r="O57" s="417" t="str">
        <f t="shared" si="0"/>
        <v/>
      </c>
      <c r="P57" s="197" t="str">
        <f t="shared" si="1"/>
        <v/>
      </c>
      <c r="Q57" s="171" t="str">
        <f t="shared" si="2"/>
        <v/>
      </c>
      <c r="R57" s="361" t="str">
        <f t="shared" si="3"/>
        <v/>
      </c>
      <c r="S57" s="837"/>
    </row>
    <row r="58" spans="1:19" ht="15.75" thickBot="1" x14ac:dyDescent="0.25">
      <c r="A58" s="374">
        <v>55</v>
      </c>
      <c r="B58" s="412" t="str">
        <f>IF(F16="","",(B16=F16,D16,B16))</f>
        <v/>
      </c>
      <c r="C58" s="350" t="str">
        <f>IF(B58="","",VLOOKUP(B58,'Списки участников'!A:O,12,FALSE))</f>
        <v/>
      </c>
      <c r="D58" s="413" t="str">
        <f>IF(F17="","",(B17=F17,D17,B17))</f>
        <v/>
      </c>
      <c r="E58" s="414" t="str">
        <f>IF(D58="","",VLOOKUP(D58,'Списки участников'!A:O,12,FALSE))</f>
        <v/>
      </c>
      <c r="F58" s="395"/>
      <c r="G58" s="400" t="str">
        <f>IF(F58="","",VLOOKUP(F58,'Списки участников'!A:O,12,FALSE))</f>
        <v/>
      </c>
      <c r="H58" s="336"/>
      <c r="I58" s="336"/>
      <c r="J58" s="336"/>
      <c r="K58" s="337"/>
      <c r="L58" s="337"/>
      <c r="M58" s="337"/>
      <c r="N58" s="337"/>
      <c r="O58" s="417" t="str">
        <f t="shared" si="0"/>
        <v/>
      </c>
      <c r="P58" s="339" t="str">
        <f t="shared" si="1"/>
        <v/>
      </c>
      <c r="Q58" s="340" t="str">
        <f t="shared" si="2"/>
        <v/>
      </c>
      <c r="R58" s="362" t="str">
        <f t="shared" si="3"/>
        <v/>
      </c>
      <c r="S58" s="837"/>
    </row>
    <row r="59" spans="1:19" ht="15.75" thickBot="1" x14ac:dyDescent="0.25">
      <c r="A59" s="349">
        <v>56</v>
      </c>
      <c r="B59" s="412" t="str">
        <f>IF(F18="","",(B18=F18,D18,B18))</f>
        <v/>
      </c>
      <c r="C59" s="327" t="str">
        <f>IF(B59="","",VLOOKUP(B59,'Списки участников'!A:O,12,FALSE))</f>
        <v/>
      </c>
      <c r="D59" s="413" t="str">
        <f>IF(F19="","",(B19=F19,D19,B19))</f>
        <v/>
      </c>
      <c r="E59" s="406" t="str">
        <f>IF(D59="","",VLOOKUP(D59,'Списки участников'!A:O,12,FALSE))</f>
        <v/>
      </c>
      <c r="F59" s="392"/>
      <c r="G59" s="398" t="str">
        <f>IF(F59="","",VLOOKUP(F59,'Списки участников'!A:O,12,FALSE))</f>
        <v/>
      </c>
      <c r="H59" s="329"/>
      <c r="I59" s="329"/>
      <c r="J59" s="329"/>
      <c r="K59" s="330"/>
      <c r="L59" s="330"/>
      <c r="M59" s="330"/>
      <c r="N59" s="330"/>
      <c r="O59" s="417" t="str">
        <f t="shared" si="0"/>
        <v/>
      </c>
      <c r="P59" s="332" t="str">
        <f t="shared" si="1"/>
        <v/>
      </c>
      <c r="Q59" s="333" t="str">
        <f t="shared" si="2"/>
        <v/>
      </c>
      <c r="R59" s="360" t="str">
        <f t="shared" si="3"/>
        <v/>
      </c>
      <c r="S59" s="838"/>
    </row>
    <row r="60" spans="1:19" ht="15.75" thickBot="1" x14ac:dyDescent="0.25">
      <c r="A60" s="374">
        <v>57</v>
      </c>
      <c r="B60" s="388" t="str">
        <f>IF(F52="","",F52)</f>
        <v/>
      </c>
      <c r="C60" s="148" t="str">
        <f>IF(B60="","",VLOOKUP(B60,'Списки участников'!A:O,12,FALSE))</f>
        <v/>
      </c>
      <c r="D60" s="335" t="str">
        <f>IF(F53="","",F53)</f>
        <v/>
      </c>
      <c r="E60" s="414" t="str">
        <f>IF(D60="","",VLOOKUP(D60,'Списки участников'!A:O,12,FALSE))</f>
        <v/>
      </c>
      <c r="F60" s="395"/>
      <c r="G60" s="400" t="str">
        <f>IF(F60="","",VLOOKUP(F60,'Списки участников'!A:O,12,FALSE))</f>
        <v/>
      </c>
      <c r="H60" s="355"/>
      <c r="I60" s="355"/>
      <c r="J60" s="355"/>
      <c r="K60" s="337"/>
      <c r="L60" s="337"/>
      <c r="M60" s="337"/>
      <c r="N60" s="337"/>
      <c r="O60" s="417" t="str">
        <f t="shared" si="0"/>
        <v/>
      </c>
      <c r="P60" s="339" t="str">
        <f t="shared" si="1"/>
        <v/>
      </c>
      <c r="Q60" s="340" t="str">
        <f t="shared" si="2"/>
        <v/>
      </c>
      <c r="R60" s="362" t="str">
        <f t="shared" si="3"/>
        <v/>
      </c>
      <c r="S60" s="837"/>
    </row>
    <row r="61" spans="1:19" ht="15.75" thickBot="1" x14ac:dyDescent="0.25">
      <c r="A61" s="349">
        <v>58</v>
      </c>
      <c r="B61" s="366">
        <f>F54</f>
        <v>0</v>
      </c>
      <c r="C61" s="365" t="e">
        <f>IF(B61="","",VLOOKUP(B61,'Списки участников'!A:O,12,FALSE))</f>
        <v>#N/A</v>
      </c>
      <c r="D61" s="366">
        <f>F55</f>
        <v>0</v>
      </c>
      <c r="E61" s="427" t="e">
        <f>IF(D61="","",VLOOKUP(D61,'Списки участников'!A:O,12,FALSE))</f>
        <v>#N/A</v>
      </c>
      <c r="F61" s="394"/>
      <c r="G61" s="373" t="str">
        <f>IF(F61="","",VLOOKUP(F61,'Списки участников'!A:O,12,FALSE))</f>
        <v/>
      </c>
      <c r="H61" s="367"/>
      <c r="I61" s="367"/>
      <c r="J61" s="426"/>
      <c r="K61" s="368"/>
      <c r="L61" s="368"/>
      <c r="M61" s="368"/>
      <c r="N61" s="368"/>
      <c r="O61" s="417" t="str">
        <f t="shared" si="0"/>
        <v/>
      </c>
      <c r="P61" s="370" t="str">
        <f t="shared" si="1"/>
        <v/>
      </c>
      <c r="Q61" s="371" t="str">
        <f t="shared" si="2"/>
        <v/>
      </c>
      <c r="R61" s="372" t="str">
        <f t="shared" si="3"/>
        <v/>
      </c>
      <c r="S61" s="837"/>
    </row>
    <row r="62" spans="1:19" ht="15.75" thickBot="1" x14ac:dyDescent="0.25">
      <c r="A62" s="374">
        <v>59</v>
      </c>
      <c r="B62" s="198">
        <f>F56</f>
        <v>0</v>
      </c>
      <c r="C62" s="428" t="e">
        <f>IF(B62="","",VLOOKUP(B62,'Списки участников'!A:O,12,FALSE))</f>
        <v>#N/A</v>
      </c>
      <c r="D62" s="198">
        <f>F57</f>
        <v>0</v>
      </c>
      <c r="E62" s="429" t="e">
        <f>IF(D62="","",VLOOKUP(D62,'Списки участников'!A:O,12,FALSE))</f>
        <v>#N/A</v>
      </c>
      <c r="F62" s="430"/>
      <c r="G62" s="431" t="str">
        <f>IF(F62="","",VLOOKUP(F62,'Списки участников'!A:O,12,FALSE))</f>
        <v/>
      </c>
      <c r="H62" s="432"/>
      <c r="I62" s="432"/>
      <c r="J62" s="432"/>
      <c r="K62" s="433"/>
      <c r="L62" s="433"/>
      <c r="M62" s="433"/>
      <c r="N62" s="433"/>
      <c r="O62" s="417" t="str">
        <f t="shared" si="0"/>
        <v/>
      </c>
      <c r="P62" s="434" t="str">
        <f t="shared" si="1"/>
        <v/>
      </c>
      <c r="Q62" s="435" t="str">
        <f t="shared" si="2"/>
        <v/>
      </c>
      <c r="R62" s="436" t="str">
        <f t="shared" si="3"/>
        <v/>
      </c>
      <c r="S62" s="839"/>
    </row>
    <row r="63" spans="1:19" ht="15.75" thickBot="1" x14ac:dyDescent="0.25">
      <c r="A63" s="349">
        <v>60</v>
      </c>
      <c r="B63" s="386">
        <f>F58</f>
        <v>0</v>
      </c>
      <c r="C63" s="327" t="e">
        <f>IF(B63="","",VLOOKUP(B63,'Списки участников'!A:O,12,FALSE))</f>
        <v>#N/A</v>
      </c>
      <c r="D63" s="386">
        <f>F59</f>
        <v>0</v>
      </c>
      <c r="E63" s="406" t="e">
        <f>IF(D63="","",VLOOKUP(D63,'Списки участников'!A:O,12,FALSE))</f>
        <v>#N/A</v>
      </c>
      <c r="F63" s="392"/>
      <c r="G63" s="398" t="str">
        <f>IF(F63="","",VLOOKUP(F63,'Списки участников'!A:O,12,FALSE))</f>
        <v/>
      </c>
      <c r="H63" s="329"/>
      <c r="I63" s="329"/>
      <c r="J63" s="329"/>
      <c r="K63" s="330"/>
      <c r="L63" s="330"/>
      <c r="M63" s="330"/>
      <c r="N63" s="330"/>
      <c r="O63" s="417" t="str">
        <f t="shared" si="0"/>
        <v/>
      </c>
      <c r="P63" s="332" t="str">
        <f t="shared" si="1"/>
        <v/>
      </c>
      <c r="Q63" s="333" t="str">
        <f t="shared" si="2"/>
        <v/>
      </c>
      <c r="R63" s="360" t="str">
        <f t="shared" si="3"/>
        <v/>
      </c>
      <c r="S63" s="837"/>
    </row>
    <row r="64" spans="1:19" ht="15.75" thickBot="1" x14ac:dyDescent="0.25">
      <c r="A64" s="374">
        <v>61</v>
      </c>
      <c r="B64" s="388">
        <f>F60</f>
        <v>0</v>
      </c>
      <c r="C64" s="148" t="e">
        <f>IF(B64="","",VLOOKUP(B64,'Списки участников'!A:O,12,FALSE))</f>
        <v>#N/A</v>
      </c>
      <c r="D64" s="335">
        <f>F61</f>
        <v>0</v>
      </c>
      <c r="E64" s="414" t="e">
        <f>IF(D64="","",VLOOKUP(D64,'Списки участников'!A:O,12,FALSE))</f>
        <v>#N/A</v>
      </c>
      <c r="F64" s="395"/>
      <c r="G64" s="400" t="str">
        <f>IF(F64="","",VLOOKUP(F64,'Списки участников'!A:O,12,FALSE))</f>
        <v/>
      </c>
      <c r="H64" s="336"/>
      <c r="I64" s="336"/>
      <c r="J64" s="336"/>
      <c r="K64" s="337"/>
      <c r="L64" s="337"/>
      <c r="M64" s="337"/>
      <c r="N64" s="337"/>
      <c r="O64" s="417" t="str">
        <f t="shared" si="0"/>
        <v/>
      </c>
      <c r="P64" s="339" t="str">
        <f t="shared" si="1"/>
        <v/>
      </c>
      <c r="Q64" s="340" t="str">
        <f t="shared" si="2"/>
        <v/>
      </c>
      <c r="R64" s="362" t="str">
        <f t="shared" si="3"/>
        <v/>
      </c>
      <c r="S64" s="837"/>
    </row>
    <row r="65" spans="1:19" ht="15.75" thickBot="1" x14ac:dyDescent="0.25">
      <c r="A65" s="349">
        <v>62</v>
      </c>
      <c r="B65" s="437">
        <f>F62</f>
        <v>0</v>
      </c>
      <c r="C65" s="365" t="e">
        <f>IF(B65="","",VLOOKUP(B65,'Списки участников'!A:O,12,FALSE))</f>
        <v>#N/A</v>
      </c>
      <c r="D65" s="366">
        <f>F63</f>
        <v>0</v>
      </c>
      <c r="E65" s="424" t="e">
        <f>IF(D65="","",VLOOKUP(D65,'Списки участников'!A:O,12,FALSE))</f>
        <v>#N/A</v>
      </c>
      <c r="F65" s="397"/>
      <c r="G65" s="402" t="str">
        <f>IF(F65="","",VLOOKUP(F65,'Списки участников'!A:O,12,FALSE))</f>
        <v/>
      </c>
      <c r="H65" s="367"/>
      <c r="I65" s="367"/>
      <c r="J65" s="367"/>
      <c r="K65" s="368"/>
      <c r="L65" s="368"/>
      <c r="M65" s="368"/>
      <c r="N65" s="368"/>
      <c r="O65" s="417" t="str">
        <f t="shared" si="0"/>
        <v/>
      </c>
      <c r="P65" s="370" t="str">
        <f t="shared" si="1"/>
        <v/>
      </c>
      <c r="Q65" s="371" t="str">
        <f t="shared" si="2"/>
        <v/>
      </c>
      <c r="R65" s="372" t="str">
        <f t="shared" si="3"/>
        <v/>
      </c>
      <c r="S65" s="838"/>
    </row>
    <row r="66" spans="1:19" ht="15.75" thickBot="1" x14ac:dyDescent="0.25">
      <c r="A66" s="374">
        <v>63</v>
      </c>
      <c r="B66" s="437">
        <f>F64</f>
        <v>0</v>
      </c>
      <c r="C66" s="365" t="e">
        <f>IF(B66="","",VLOOKUP(B66,'Списки участников'!A:O,12,FALSE))</f>
        <v>#N/A</v>
      </c>
      <c r="D66" s="366">
        <f>F65</f>
        <v>0</v>
      </c>
      <c r="E66" s="424" t="e">
        <f>IF(D66="","",VLOOKUP(D66,'Списки участников'!A:O,12,FALSE))</f>
        <v>#N/A</v>
      </c>
      <c r="F66" s="397"/>
      <c r="G66" s="402" t="str">
        <f>IF(F66="","",VLOOKUP(F66,'Списки участников'!A:O,12,FALSE))</f>
        <v/>
      </c>
      <c r="H66" s="367"/>
      <c r="I66" s="367"/>
      <c r="J66" s="367"/>
      <c r="K66" s="368"/>
      <c r="L66" s="368"/>
      <c r="M66" s="368"/>
      <c r="N66" s="368"/>
      <c r="O66" s="417" t="str">
        <f t="shared" si="0"/>
        <v/>
      </c>
      <c r="P66" s="370" t="str">
        <f t="shared" si="1"/>
        <v/>
      </c>
      <c r="Q66" s="371" t="str">
        <f t="shared" si="2"/>
        <v/>
      </c>
      <c r="R66" s="372" t="str">
        <f t="shared" si="3"/>
        <v/>
      </c>
      <c r="S66" s="837" t="s">
        <v>2400</v>
      </c>
    </row>
    <row r="67" spans="1:19" ht="15.75" thickBot="1" x14ac:dyDescent="0.25">
      <c r="A67" s="349">
        <v>64</v>
      </c>
      <c r="B67" s="389" t="str">
        <f>IF(F64="","",IF(F64=B64,D64,IF(F64=D64,B64)))</f>
        <v/>
      </c>
      <c r="C67" s="365" t="str">
        <f>IF(B67="","",VLOOKUP(B67,'Списки участников'!A:O,12,FALSE))</f>
        <v/>
      </c>
      <c r="D67" s="364" t="str">
        <f>IF(F65="","",IF(F65=B65,D65,IF(F65=D65,B65)))</f>
        <v/>
      </c>
      <c r="E67" s="424" t="str">
        <f>IF(D67="","",VLOOKUP(D67,'Списки участников'!A:O,12,FALSE))</f>
        <v/>
      </c>
      <c r="F67" s="397"/>
      <c r="G67" s="402" t="str">
        <f>IF(F67="","",VLOOKUP(F67,'Списки участников'!A:O,12,FALSE))</f>
        <v/>
      </c>
      <c r="H67" s="367"/>
      <c r="I67" s="367"/>
      <c r="J67" s="367"/>
      <c r="K67" s="368"/>
      <c r="L67" s="368"/>
      <c r="M67" s="368"/>
      <c r="N67" s="368"/>
      <c r="O67" s="417" t="str">
        <f t="shared" si="0"/>
        <v/>
      </c>
      <c r="P67" s="370" t="str">
        <f t="shared" si="1"/>
        <v/>
      </c>
      <c r="Q67" s="371" t="str">
        <f t="shared" si="2"/>
        <v/>
      </c>
      <c r="R67" s="372" t="str">
        <f t="shared" si="3"/>
        <v/>
      </c>
      <c r="S67" s="837" t="s">
        <v>2401</v>
      </c>
    </row>
    <row r="68" spans="1:19" ht="15.75" thickBot="1" x14ac:dyDescent="0.25">
      <c r="A68" s="374">
        <v>65</v>
      </c>
      <c r="B68" s="389" t="str">
        <f>IF(F60="","",IF(F60=B60,D60,IF(F60=D60,B60)))</f>
        <v/>
      </c>
      <c r="C68" s="327" t="str">
        <f>IF(B68="","",VLOOKUP(B68,'Списки участников'!A:O,12,FALSE))</f>
        <v/>
      </c>
      <c r="D68" s="364" t="str">
        <f>IF(F61="","",IF(F61=B61,D61,IF(F61=D61,B61)))</f>
        <v/>
      </c>
      <c r="E68" s="406" t="str">
        <f>IF(D68="","",VLOOKUP(D68,'Списки участников'!A:O,12,FALSE))</f>
        <v/>
      </c>
      <c r="F68" s="392"/>
      <c r="G68" s="398" t="str">
        <f>IF(F68="","",VLOOKUP(F68,'Списки участников'!A:O,12,FALSE))</f>
        <v/>
      </c>
      <c r="H68" s="329"/>
      <c r="I68" s="329"/>
      <c r="J68" s="329"/>
      <c r="K68" s="330"/>
      <c r="L68" s="330"/>
      <c r="M68" s="330"/>
      <c r="N68" s="330"/>
      <c r="O68" s="417" t="str">
        <f t="shared" si="0"/>
        <v/>
      </c>
      <c r="P68" s="332" t="str">
        <f t="shared" si="1"/>
        <v/>
      </c>
      <c r="Q68" s="333" t="str">
        <f t="shared" si="2"/>
        <v/>
      </c>
      <c r="R68" s="360" t="str">
        <f t="shared" si="3"/>
        <v/>
      </c>
      <c r="S68" s="838"/>
    </row>
    <row r="69" spans="1:19" ht="15.75" thickBot="1" x14ac:dyDescent="0.25">
      <c r="A69" s="349">
        <v>66</v>
      </c>
      <c r="B69" s="389" t="str">
        <f>IF(F62="","",IF(F62=B62,D62,IF(F62=D62,B62)))</f>
        <v/>
      </c>
      <c r="C69" s="148" t="str">
        <f>IF(B69="","",VLOOKUP(B69,'Списки участников'!A:O,12,FALSE))</f>
        <v/>
      </c>
      <c r="D69" s="364" t="str">
        <f>IF(F63="","",IF(F63=B63,D63,IF(F63=D63,B63)))</f>
        <v/>
      </c>
      <c r="E69" s="414" t="str">
        <f>IF(D69="","",VLOOKUP(D69,'Списки участников'!A:O,12,FALSE))</f>
        <v/>
      </c>
      <c r="F69" s="395"/>
      <c r="G69" s="400" t="str">
        <f>IF(F69="","",VLOOKUP(F69,'Списки участников'!A:O,12,FALSE))</f>
        <v/>
      </c>
      <c r="H69" s="336"/>
      <c r="I69" s="336"/>
      <c r="J69" s="454"/>
      <c r="K69" s="337"/>
      <c r="L69" s="337"/>
      <c r="M69" s="337"/>
      <c r="N69" s="337"/>
      <c r="O69" s="417" t="str">
        <f t="shared" ref="O69:O83" si="5">IF(F69="","",COUNTIF(H69:N69,"&gt;=0"))</f>
        <v/>
      </c>
      <c r="P69" s="339" t="str">
        <f t="shared" ref="P69:P83" si="6">IF(F69="","",":")</f>
        <v/>
      </c>
      <c r="Q69" s="340" t="str">
        <f t="shared" si="2"/>
        <v/>
      </c>
      <c r="R69" s="362" t="str">
        <f t="shared" ref="R69:R83" si="7">IF(F69="","",IF(K69="",CONCATENATE(O69,"-",Q69,"(",H69,",",I69,",",J69,")"),IF(L69="",CONCATENATE(O69,"-",Q69,"(",H69,",",I69,",",J69,",",K69,")"),IF(M69="",CONCATENATE(O69,"-",Q69,"(",H69,",",I69,",",J69,",",K69,",",L69,")"),IF(N69="",CONCATENATE(O69,"-",Q69,"(",H69,",",I69,",",J69,",",K69,",",L69,",",M69,")"),IF(N69&lt;&gt;0,CONCATENATE(O69,"-",Q69,"(",H69,",",I69,",",J69,",",K69,",",L69,",",M69,",",N69,")")))))))</f>
        <v/>
      </c>
      <c r="S69" s="837"/>
    </row>
    <row r="70" spans="1:19" ht="15.75" thickBot="1" x14ac:dyDescent="0.25">
      <c r="A70" s="374">
        <v>67</v>
      </c>
      <c r="B70" s="437">
        <f>F68</f>
        <v>0</v>
      </c>
      <c r="C70" s="365" t="e">
        <f>IF(B70="","",VLOOKUP(B70,'Списки участников'!A:O,12,FALSE))</f>
        <v>#N/A</v>
      </c>
      <c r="D70" s="366">
        <f>F69</f>
        <v>0</v>
      </c>
      <c r="E70" s="424" t="e">
        <f>IF(D70="","",VLOOKUP(D70,'Списки участников'!A:O,12,FALSE))</f>
        <v>#N/A</v>
      </c>
      <c r="F70" s="397"/>
      <c r="G70" s="402" t="str">
        <f>IF(F70="","",VLOOKUP(F70,'Списки участников'!A:O,12,FALSE))</f>
        <v/>
      </c>
      <c r="H70" s="367"/>
      <c r="I70" s="367"/>
      <c r="J70" s="367"/>
      <c r="K70" s="368"/>
      <c r="L70" s="368"/>
      <c r="M70" s="368"/>
      <c r="N70" s="368"/>
      <c r="O70" s="417" t="str">
        <f t="shared" si="5"/>
        <v/>
      </c>
      <c r="P70" s="370" t="str">
        <f t="shared" si="6"/>
        <v/>
      </c>
      <c r="Q70" s="371" t="str">
        <f t="shared" si="2"/>
        <v/>
      </c>
      <c r="R70" s="372" t="str">
        <f t="shared" si="7"/>
        <v/>
      </c>
      <c r="S70" s="837" t="s">
        <v>2402</v>
      </c>
    </row>
    <row r="71" spans="1:19" ht="15.75" thickBot="1" x14ac:dyDescent="0.25">
      <c r="A71" s="349">
        <v>68</v>
      </c>
      <c r="B71" s="389" t="str">
        <f>IF(F68="","",IF(F68=B68,D68,IF(F68=D68,B68)))</f>
        <v/>
      </c>
      <c r="C71" s="365" t="str">
        <f>IF(B71="","",VLOOKUP(B71,'Списки участников'!A:O,12,FALSE))</f>
        <v/>
      </c>
      <c r="D71" s="364" t="str">
        <f>IF(F69="","",IF(F69=B69,D69,IF(F69=D69,B69)))</f>
        <v/>
      </c>
      <c r="E71" s="424" t="str">
        <f>IF(D71="","",VLOOKUP(D71,'Списки участников'!A:O,12,FALSE))</f>
        <v/>
      </c>
      <c r="F71" s="397"/>
      <c r="G71" s="402" t="str">
        <f>IF(F71="","",VLOOKUP(F71,'Списки участников'!A:O,12,FALSE))</f>
        <v/>
      </c>
      <c r="H71" s="367"/>
      <c r="I71" s="367"/>
      <c r="J71" s="367"/>
      <c r="K71" s="368"/>
      <c r="L71" s="368"/>
      <c r="M71" s="368"/>
      <c r="N71" s="368"/>
      <c r="O71" s="417" t="str">
        <f t="shared" si="5"/>
        <v/>
      </c>
      <c r="P71" s="370" t="str">
        <f t="shared" si="6"/>
        <v/>
      </c>
      <c r="Q71" s="371" t="str">
        <f t="shared" si="2"/>
        <v/>
      </c>
      <c r="R71" s="372" t="str">
        <f t="shared" si="7"/>
        <v/>
      </c>
      <c r="S71" s="837" t="s">
        <v>2403</v>
      </c>
    </row>
    <row r="72" spans="1:19" ht="15.75" thickBot="1" x14ac:dyDescent="0.25">
      <c r="A72" s="374">
        <v>69</v>
      </c>
      <c r="B72" s="389" t="str">
        <f>IF(F52="","",IF(F52=B52,D52,IF(F52=D52,B52)))</f>
        <v/>
      </c>
      <c r="C72" s="327" t="str">
        <f>IF(B72="","",VLOOKUP(B72,'Списки участников'!A:O,12,FALSE))</f>
        <v/>
      </c>
      <c r="D72" s="364" t="str">
        <f>IF(F53="","",IF(F53=B53,D53,IF(F53=D53,B53)))</f>
        <v/>
      </c>
      <c r="E72" s="406" t="str">
        <f>IF(D72="","",VLOOKUP(D72,'Списки участников'!A:O,12,FALSE))</f>
        <v/>
      </c>
      <c r="F72" s="392"/>
      <c r="G72" s="398" t="str">
        <f>IF(F72="","",VLOOKUP(F72,'Списки участников'!A:O,12,FALSE))</f>
        <v/>
      </c>
      <c r="H72" s="329"/>
      <c r="I72" s="329"/>
      <c r="J72" s="329"/>
      <c r="K72" s="330"/>
      <c r="L72" s="330"/>
      <c r="M72" s="330"/>
      <c r="N72" s="330"/>
      <c r="O72" s="417" t="str">
        <f t="shared" si="5"/>
        <v/>
      </c>
      <c r="P72" s="332" t="str">
        <f t="shared" si="6"/>
        <v/>
      </c>
      <c r="Q72" s="333" t="str">
        <f t="shared" si="2"/>
        <v/>
      </c>
      <c r="R72" s="360" t="str">
        <f t="shared" si="7"/>
        <v/>
      </c>
      <c r="S72" s="837"/>
    </row>
    <row r="73" spans="1:19" ht="15.75" thickBot="1" x14ac:dyDescent="0.25">
      <c r="A73" s="349">
        <v>70</v>
      </c>
      <c r="B73" s="389" t="str">
        <f>IF(F54="","",IF(F54=B54,D54,IF(F54=D54,B54)))</f>
        <v/>
      </c>
      <c r="C73" s="145" t="str">
        <f>IF(B73="","",VLOOKUP(B73,'Списки участников'!A:O,12,FALSE))</f>
        <v/>
      </c>
      <c r="D73" s="364" t="str">
        <f>IF(F55="","",IF(F55=B55,D55,IF(F55=D55,B55)))</f>
        <v/>
      </c>
      <c r="E73" s="423" t="str">
        <f>IF(D73="","",VLOOKUP(D73,'Списки участников'!A:O,12,FALSE))</f>
        <v/>
      </c>
      <c r="F73" s="393"/>
      <c r="G73" s="399" t="str">
        <f>IF(F73="","",VLOOKUP(F73,'Списки участников'!A:O,12,FALSE))</f>
        <v/>
      </c>
      <c r="H73" s="158"/>
      <c r="I73" s="158"/>
      <c r="J73" s="158"/>
      <c r="K73" s="165"/>
      <c r="L73" s="165"/>
      <c r="M73" s="165"/>
      <c r="N73" s="165"/>
      <c r="O73" s="417" t="str">
        <f t="shared" si="5"/>
        <v/>
      </c>
      <c r="P73" s="197" t="str">
        <f t="shared" si="6"/>
        <v/>
      </c>
      <c r="Q73" s="171" t="str">
        <f t="shared" si="2"/>
        <v/>
      </c>
      <c r="R73" s="361" t="str">
        <f t="shared" si="7"/>
        <v/>
      </c>
      <c r="S73" s="837"/>
    </row>
    <row r="74" spans="1:19" ht="15.75" thickBot="1" x14ac:dyDescent="0.25">
      <c r="A74" s="374">
        <v>71</v>
      </c>
      <c r="B74" s="389" t="str">
        <f>IF(F56="","",IF(F56=B56,D56,IF(F56=D56,B56)))</f>
        <v/>
      </c>
      <c r="C74" s="145" t="str">
        <f>IF(B74="","",VLOOKUP(B74,'Списки участников'!A:O,12,FALSE))</f>
        <v/>
      </c>
      <c r="D74" s="364" t="str">
        <f>IF(F57="","",IF(F57=B57,D57,IF(F57=D57,B57)))</f>
        <v/>
      </c>
      <c r="E74" s="423" t="str">
        <f>IF(D74="","",VLOOKUP(D74,'Списки участников'!A:O,12,FALSE))</f>
        <v/>
      </c>
      <c r="F74" s="393"/>
      <c r="G74" s="399" t="str">
        <f>IF(F74="","",VLOOKUP(F74,'Списки участников'!A:O,12,FALSE))</f>
        <v/>
      </c>
      <c r="H74" s="158"/>
      <c r="I74" s="158"/>
      <c r="J74" s="158"/>
      <c r="K74" s="165"/>
      <c r="L74" s="165"/>
      <c r="M74" s="165"/>
      <c r="N74" s="165"/>
      <c r="O74" s="417" t="str">
        <f t="shared" si="5"/>
        <v/>
      </c>
      <c r="P74" s="197" t="str">
        <f t="shared" si="6"/>
        <v/>
      </c>
      <c r="Q74" s="171" t="str">
        <f t="shared" si="2"/>
        <v/>
      </c>
      <c r="R74" s="361" t="str">
        <f t="shared" si="7"/>
        <v/>
      </c>
      <c r="S74" s="837"/>
    </row>
    <row r="75" spans="1:19" ht="15.75" thickBot="1" x14ac:dyDescent="0.25">
      <c r="A75" s="349">
        <v>72</v>
      </c>
      <c r="B75" s="389" t="str">
        <f>IF(F58="","",IF(F58=B58,D58,IF(F58=D58,B58)))</f>
        <v/>
      </c>
      <c r="C75" s="148" t="str">
        <f>IF(B75="","",VLOOKUP(B75,'Списки участников'!A:O,12,FALSE))</f>
        <v/>
      </c>
      <c r="D75" s="364" t="str">
        <f>IF(F59="","",IF(F59=B59,D59,IF(F59=D59,B59)))</f>
        <v/>
      </c>
      <c r="E75" s="414" t="str">
        <f>IF(D75="","",VLOOKUP(D75,'Списки участников'!A:O,12,FALSE))</f>
        <v/>
      </c>
      <c r="F75" s="395"/>
      <c r="G75" s="400" t="str">
        <f>IF(F75="","",VLOOKUP(F75,'Списки участников'!A:O,12,FALSE))</f>
        <v/>
      </c>
      <c r="H75" s="336"/>
      <c r="I75" s="336"/>
      <c r="J75" s="336"/>
      <c r="K75" s="337"/>
      <c r="L75" s="337"/>
      <c r="M75" s="337"/>
      <c r="N75" s="337"/>
      <c r="O75" s="417" t="str">
        <f t="shared" si="5"/>
        <v/>
      </c>
      <c r="P75" s="339" t="str">
        <f t="shared" si="6"/>
        <v/>
      </c>
      <c r="Q75" s="340" t="str">
        <f t="shared" si="2"/>
        <v/>
      </c>
      <c r="R75" s="362" t="str">
        <f t="shared" si="7"/>
        <v/>
      </c>
      <c r="S75" s="837"/>
    </row>
    <row r="76" spans="1:19" ht="15.75" thickBot="1" x14ac:dyDescent="0.25">
      <c r="A76" s="374">
        <v>73</v>
      </c>
      <c r="B76" s="386">
        <f>F72</f>
        <v>0</v>
      </c>
      <c r="C76" s="327" t="e">
        <f>IF(B76="","",VLOOKUP(B76,'Списки участников'!A:O,12,FALSE))</f>
        <v>#N/A</v>
      </c>
      <c r="D76" s="328">
        <f>F73</f>
        <v>0</v>
      </c>
      <c r="E76" s="406" t="e">
        <f>IF(D76="","",VLOOKUP(D76,'Списки участников'!A:O,12,FALSE))</f>
        <v>#N/A</v>
      </c>
      <c r="F76" s="392"/>
      <c r="G76" s="398" t="str">
        <f>IF(F76="","",VLOOKUP(F76,'Списки участников'!A:O,12,FALSE))</f>
        <v/>
      </c>
      <c r="H76" s="329"/>
      <c r="I76" s="329"/>
      <c r="J76" s="329"/>
      <c r="K76" s="330"/>
      <c r="L76" s="330"/>
      <c r="M76" s="330"/>
      <c r="N76" s="330"/>
      <c r="O76" s="417" t="str">
        <f t="shared" si="5"/>
        <v/>
      </c>
      <c r="P76" s="332" t="str">
        <f t="shared" si="6"/>
        <v/>
      </c>
      <c r="Q76" s="333" t="str">
        <f t="shared" si="2"/>
        <v/>
      </c>
      <c r="R76" s="360" t="str">
        <f t="shared" si="7"/>
        <v/>
      </c>
      <c r="S76" s="837"/>
    </row>
    <row r="77" spans="1:19" ht="15.75" thickBot="1" x14ac:dyDescent="0.25">
      <c r="A77" s="349">
        <v>74</v>
      </c>
      <c r="B77" s="388">
        <f>F74</f>
        <v>0</v>
      </c>
      <c r="C77" s="148" t="e">
        <f>IF(B77="","",VLOOKUP(B77,'Списки участников'!A:O,12,FALSE))</f>
        <v>#N/A</v>
      </c>
      <c r="D77" s="335">
        <f>F75</f>
        <v>0</v>
      </c>
      <c r="E77" s="414" t="e">
        <f>IF(D77="","",VLOOKUP(D77,'Списки участников'!A:O,12,FALSE))</f>
        <v>#N/A</v>
      </c>
      <c r="F77" s="395"/>
      <c r="G77" s="400" t="str">
        <f>IF(F77="","",VLOOKUP(F77,'Списки участников'!A:O,12,FALSE))</f>
        <v/>
      </c>
      <c r="H77" s="336"/>
      <c r="I77" s="336"/>
      <c r="J77" s="454"/>
      <c r="K77" s="337"/>
      <c r="L77" s="337"/>
      <c r="M77" s="337"/>
      <c r="N77" s="337"/>
      <c r="O77" s="417" t="str">
        <f t="shared" si="5"/>
        <v/>
      </c>
      <c r="P77" s="339" t="str">
        <f t="shared" si="6"/>
        <v/>
      </c>
      <c r="Q77" s="340" t="str">
        <f t="shared" si="2"/>
        <v/>
      </c>
      <c r="R77" s="362" t="str">
        <f t="shared" si="7"/>
        <v/>
      </c>
      <c r="S77" s="837"/>
    </row>
    <row r="78" spans="1:19" ht="15.75" thickBot="1" x14ac:dyDescent="0.25">
      <c r="A78" s="374">
        <v>75</v>
      </c>
      <c r="B78" s="437">
        <f>F76</f>
        <v>0</v>
      </c>
      <c r="C78" s="365" t="e">
        <f>IF(B78="","",VLOOKUP(B78,'Списки участников'!A:O,12,FALSE))</f>
        <v>#N/A</v>
      </c>
      <c r="D78" s="366">
        <f>F77</f>
        <v>0</v>
      </c>
      <c r="E78" s="424" t="e">
        <f>IF(D78="","",VLOOKUP(D78,'Списки участников'!A:O,12,FALSE))</f>
        <v>#N/A</v>
      </c>
      <c r="F78" s="397"/>
      <c r="G78" s="402" t="str">
        <f>IF(F78="","",VLOOKUP(F78,'Списки участников'!A:O,12,FALSE))</f>
        <v/>
      </c>
      <c r="H78" s="367"/>
      <c r="I78" s="367"/>
      <c r="J78" s="367"/>
      <c r="K78" s="368"/>
      <c r="L78" s="368"/>
      <c r="M78" s="368"/>
      <c r="N78" s="368"/>
      <c r="O78" s="417" t="str">
        <f t="shared" si="5"/>
        <v/>
      </c>
      <c r="P78" s="370" t="str">
        <f t="shared" si="6"/>
        <v/>
      </c>
      <c r="Q78" s="371" t="str">
        <f t="shared" si="2"/>
        <v/>
      </c>
      <c r="R78" s="372" t="str">
        <f t="shared" si="7"/>
        <v/>
      </c>
      <c r="S78" s="837" t="s">
        <v>2404</v>
      </c>
    </row>
    <row r="79" spans="1:19" ht="15.75" thickBot="1" x14ac:dyDescent="0.25">
      <c r="A79" s="349">
        <v>76</v>
      </c>
      <c r="B79" s="389">
        <f>IF(B76=F76,D76,B76)</f>
        <v>0</v>
      </c>
      <c r="C79" s="365" t="e">
        <f>IF(B79="","",VLOOKUP(B79,'Списки участников'!A:O,12,FALSE))</f>
        <v>#N/A</v>
      </c>
      <c r="D79" s="364">
        <f>IF(B77=F77,D77,B77)</f>
        <v>0</v>
      </c>
      <c r="E79" s="424" t="e">
        <f>IF(D79="","",VLOOKUP(D79,'Списки участников'!A:O,12,FALSE))</f>
        <v>#N/A</v>
      </c>
      <c r="F79" s="397"/>
      <c r="G79" s="402" t="str">
        <f>IF(F79="","",VLOOKUP(F79,'Списки участников'!A:O,12,FALSE))</f>
        <v/>
      </c>
      <c r="H79" s="367"/>
      <c r="I79" s="367"/>
      <c r="J79" s="367"/>
      <c r="K79" s="368"/>
      <c r="L79" s="368"/>
      <c r="M79" s="368"/>
      <c r="N79" s="368"/>
      <c r="O79" s="417" t="str">
        <f t="shared" si="5"/>
        <v/>
      </c>
      <c r="P79" s="370" t="str">
        <f t="shared" si="6"/>
        <v/>
      </c>
      <c r="Q79" s="371" t="str">
        <f t="shared" si="2"/>
        <v/>
      </c>
      <c r="R79" s="372" t="str">
        <f t="shared" si="7"/>
        <v/>
      </c>
      <c r="S79" s="837" t="s">
        <v>2405</v>
      </c>
    </row>
    <row r="80" spans="1:19" ht="15.75" thickBot="1" x14ac:dyDescent="0.25">
      <c r="A80" s="374">
        <v>77</v>
      </c>
      <c r="B80" s="386" t="str">
        <f>IF(B72=F72,D72,B72)</f>
        <v/>
      </c>
      <c r="C80" s="327" t="str">
        <f>IF(B80="","",VLOOKUP(B80,'Списки участников'!A:O,12,FALSE))</f>
        <v/>
      </c>
      <c r="D80" s="328" t="str">
        <f>IF(B73=F73,D73,B73)</f>
        <v/>
      </c>
      <c r="E80" s="406" t="str">
        <f>IF(D80="","",VLOOKUP(D80,'Списки участников'!A:O,12,FALSE))</f>
        <v/>
      </c>
      <c r="F80" s="392"/>
      <c r="G80" s="398" t="str">
        <f>IF(F80="","",VLOOKUP(F80,'Списки участников'!A:O,12,FALSE))</f>
        <v/>
      </c>
      <c r="H80" s="329"/>
      <c r="I80" s="329"/>
      <c r="J80" s="329"/>
      <c r="K80" s="330"/>
      <c r="L80" s="330"/>
      <c r="M80" s="330"/>
      <c r="N80" s="330"/>
      <c r="O80" s="417" t="str">
        <f t="shared" si="5"/>
        <v/>
      </c>
      <c r="P80" s="332" t="str">
        <f t="shared" si="6"/>
        <v/>
      </c>
      <c r="Q80" s="333" t="str">
        <f t="shared" si="2"/>
        <v/>
      </c>
      <c r="R80" s="360" t="str">
        <f t="shared" si="7"/>
        <v/>
      </c>
      <c r="S80" s="837"/>
    </row>
    <row r="81" spans="1:19" ht="15.75" thickBot="1" x14ac:dyDescent="0.25">
      <c r="A81" s="349">
        <v>78</v>
      </c>
      <c r="B81" s="388" t="str">
        <f>IF(B74=F74,D74,B74)</f>
        <v/>
      </c>
      <c r="C81" s="148" t="str">
        <f>IF(B81="","",VLOOKUP(B81,'Списки участников'!A:O,12,FALSE))</f>
        <v/>
      </c>
      <c r="D81" s="335" t="str">
        <f>IF(B75=F75,D75,B75)</f>
        <v/>
      </c>
      <c r="E81" s="414" t="str">
        <f>IF(D81="","",VLOOKUP(D81,'Списки участников'!A:O,12,FALSE))</f>
        <v/>
      </c>
      <c r="F81" s="395"/>
      <c r="G81" s="400" t="str">
        <f>IF(F81="","",VLOOKUP(F81,'Списки участников'!A:O,12,FALSE))</f>
        <v/>
      </c>
      <c r="H81" s="336"/>
      <c r="I81" s="336"/>
      <c r="J81" s="336"/>
      <c r="K81" s="337"/>
      <c r="L81" s="337"/>
      <c r="M81" s="337"/>
      <c r="N81" s="337"/>
      <c r="O81" s="417" t="str">
        <f t="shared" si="5"/>
        <v/>
      </c>
      <c r="P81" s="339" t="str">
        <f t="shared" si="6"/>
        <v/>
      </c>
      <c r="Q81" s="340" t="str">
        <f t="shared" si="2"/>
        <v/>
      </c>
      <c r="R81" s="362" t="str">
        <f t="shared" si="7"/>
        <v/>
      </c>
      <c r="S81" s="837"/>
    </row>
    <row r="82" spans="1:19" ht="15.75" thickBot="1" x14ac:dyDescent="0.25">
      <c r="A82" s="374">
        <v>79</v>
      </c>
      <c r="B82" s="437">
        <f>F80</f>
        <v>0</v>
      </c>
      <c r="C82" s="365" t="e">
        <f>IF(B82="","",VLOOKUP(B82,'Списки участников'!A:O,12,FALSE))</f>
        <v>#N/A</v>
      </c>
      <c r="D82" s="366">
        <f>F81</f>
        <v>0</v>
      </c>
      <c r="E82" s="424" t="e">
        <f>IF(D82="","",VLOOKUP(D82,'Списки участников'!A:O,12,FALSE))</f>
        <v>#N/A</v>
      </c>
      <c r="F82" s="397"/>
      <c r="G82" s="402" t="str">
        <f>IF(F82="","",VLOOKUP(F82,'Списки участников'!A:O,12,FALSE))</f>
        <v/>
      </c>
      <c r="H82" s="367"/>
      <c r="I82" s="367"/>
      <c r="J82" s="367"/>
      <c r="K82" s="368"/>
      <c r="L82" s="368"/>
      <c r="M82" s="368"/>
      <c r="N82" s="368"/>
      <c r="O82" s="417" t="str">
        <f t="shared" si="5"/>
        <v/>
      </c>
      <c r="P82" s="370" t="str">
        <f t="shared" si="6"/>
        <v/>
      </c>
      <c r="Q82" s="371" t="str">
        <f t="shared" si="2"/>
        <v/>
      </c>
      <c r="R82" s="372" t="str">
        <f t="shared" si="7"/>
        <v/>
      </c>
      <c r="S82" s="837" t="s">
        <v>2406</v>
      </c>
    </row>
    <row r="83" spans="1:19" ht="15.75" thickBot="1" x14ac:dyDescent="0.25">
      <c r="A83" s="349">
        <v>80</v>
      </c>
      <c r="B83" s="458" t="str">
        <f>IF(B80=F80,D80,B80)</f>
        <v/>
      </c>
      <c r="C83" s="459" t="str">
        <f>IF(B83="","",VLOOKUP(B83,'Списки участников'!A:O,12,FALSE))</f>
        <v/>
      </c>
      <c r="D83" s="460" t="str">
        <f>IF(B81=F81,D81,B81)</f>
        <v/>
      </c>
      <c r="E83" s="461" t="str">
        <f>IF(D83="","",VLOOKUP(D83,'Списки участников'!A:O,12,FALSE))</f>
        <v/>
      </c>
      <c r="F83" s="396"/>
      <c r="G83" s="401" t="str">
        <f>IF(F83="","",VLOOKUP(F83,'Списки участников'!A:O,12,FALSE))</f>
        <v/>
      </c>
      <c r="H83" s="355"/>
      <c r="I83" s="355"/>
      <c r="J83" s="355"/>
      <c r="K83" s="356"/>
      <c r="L83" s="356"/>
      <c r="M83" s="356"/>
      <c r="N83" s="356"/>
      <c r="O83" s="417" t="str">
        <f t="shared" si="5"/>
        <v/>
      </c>
      <c r="P83" s="358" t="str">
        <f t="shared" si="6"/>
        <v/>
      </c>
      <c r="Q83" s="359" t="str">
        <f t="shared" si="2"/>
        <v/>
      </c>
      <c r="R83" s="363" t="str">
        <f t="shared" si="7"/>
        <v/>
      </c>
      <c r="S83" s="837" t="s">
        <v>2407</v>
      </c>
    </row>
    <row r="84" spans="1:19" ht="15" x14ac:dyDescent="0.2">
      <c r="A84" s="468"/>
      <c r="B84" s="469"/>
      <c r="C84" s="469"/>
      <c r="D84" s="469"/>
      <c r="E84" s="470"/>
      <c r="F84" s="469"/>
      <c r="G84" s="471"/>
      <c r="H84" s="472"/>
      <c r="I84" s="472"/>
      <c r="J84" s="472"/>
      <c r="K84" s="473"/>
      <c r="L84" s="473"/>
      <c r="M84" s="473"/>
      <c r="N84" s="473"/>
      <c r="O84" s="473"/>
      <c r="P84" s="473"/>
      <c r="Q84" s="473"/>
      <c r="R84" s="474"/>
      <c r="S84" s="470"/>
    </row>
    <row r="85" spans="1:19" ht="15" x14ac:dyDescent="0.2">
      <c r="A85" s="462"/>
      <c r="B85" s="463"/>
      <c r="C85" s="463"/>
      <c r="D85" s="463"/>
      <c r="E85" s="183"/>
      <c r="F85" s="463"/>
      <c r="G85" s="464"/>
      <c r="H85" s="465"/>
      <c r="I85" s="465"/>
      <c r="J85" s="465"/>
      <c r="K85" s="466"/>
      <c r="L85" s="466"/>
      <c r="M85" s="466"/>
      <c r="N85" s="466"/>
      <c r="O85" s="466"/>
      <c r="P85" s="466"/>
      <c r="Q85" s="466"/>
      <c r="R85" s="467"/>
      <c r="S85" s="183"/>
    </row>
    <row r="86" spans="1:19" ht="15" x14ac:dyDescent="0.2">
      <c r="A86" s="462"/>
      <c r="B86" s="463"/>
      <c r="C86" s="463"/>
      <c r="D86" s="463"/>
      <c r="E86" s="183"/>
      <c r="F86" s="463"/>
      <c r="G86" s="464"/>
      <c r="H86" s="465"/>
      <c r="I86" s="465"/>
      <c r="J86" s="465"/>
      <c r="K86" s="466"/>
      <c r="L86" s="466"/>
      <c r="M86" s="466"/>
      <c r="N86" s="466"/>
      <c r="O86" s="466"/>
      <c r="P86" s="466"/>
      <c r="Q86" s="466"/>
      <c r="R86" s="467"/>
      <c r="S86" s="183"/>
    </row>
    <row r="87" spans="1:19" ht="15" x14ac:dyDescent="0.2">
      <c r="A87" s="462"/>
      <c r="B87" s="463"/>
      <c r="C87" s="463"/>
      <c r="D87" s="463"/>
      <c r="E87" s="183"/>
      <c r="F87" s="463"/>
      <c r="G87" s="464"/>
      <c r="H87" s="465"/>
      <c r="I87" s="465"/>
      <c r="J87" s="465"/>
      <c r="K87" s="466"/>
      <c r="L87" s="466"/>
      <c r="M87" s="466"/>
      <c r="N87" s="466"/>
      <c r="O87" s="466"/>
      <c r="P87" s="466"/>
      <c r="Q87" s="466"/>
      <c r="R87" s="467"/>
      <c r="S87" s="183"/>
    </row>
    <row r="88" spans="1:19" ht="15" x14ac:dyDescent="0.2">
      <c r="A88" s="462"/>
      <c r="B88" s="463"/>
      <c r="C88" s="463"/>
      <c r="D88" s="463"/>
      <c r="E88" s="183"/>
      <c r="F88" s="463"/>
      <c r="G88" s="464"/>
      <c r="H88" s="465"/>
      <c r="I88" s="465"/>
      <c r="J88" s="465"/>
      <c r="K88" s="466"/>
      <c r="L88" s="466"/>
      <c r="M88" s="466"/>
      <c r="N88" s="466"/>
      <c r="O88" s="466"/>
      <c r="P88" s="466"/>
      <c r="Q88" s="466"/>
      <c r="R88" s="467"/>
      <c r="S88" s="183"/>
    </row>
    <row r="89" spans="1:19" ht="15" x14ac:dyDescent="0.2">
      <c r="A89" s="462"/>
      <c r="B89" s="463"/>
      <c r="C89" s="463"/>
      <c r="D89" s="463"/>
      <c r="E89" s="183"/>
      <c r="F89" s="463"/>
      <c r="G89" s="464"/>
      <c r="H89" s="465"/>
      <c r="I89" s="465"/>
      <c r="J89" s="465"/>
      <c r="K89" s="466"/>
      <c r="L89" s="466"/>
      <c r="M89" s="466"/>
      <c r="N89" s="466"/>
      <c r="O89" s="466"/>
      <c r="P89" s="466"/>
      <c r="Q89" s="466"/>
      <c r="R89" s="467"/>
      <c r="S89" s="183"/>
    </row>
    <row r="90" spans="1:19" ht="15" x14ac:dyDescent="0.2">
      <c r="A90" s="462"/>
      <c r="B90" s="463"/>
      <c r="C90" s="463"/>
      <c r="D90" s="463"/>
      <c r="E90" s="183"/>
      <c r="F90" s="463"/>
      <c r="G90" s="464"/>
      <c r="H90" s="465"/>
      <c r="I90" s="465"/>
      <c r="J90" s="465"/>
      <c r="K90" s="466"/>
      <c r="L90" s="466"/>
      <c r="M90" s="466"/>
      <c r="N90" s="466"/>
      <c r="O90" s="466"/>
      <c r="P90" s="466"/>
      <c r="Q90" s="466"/>
      <c r="R90" s="467"/>
      <c r="S90" s="183"/>
    </row>
    <row r="91" spans="1:19" ht="15" x14ac:dyDescent="0.2">
      <c r="A91" s="462"/>
      <c r="B91" s="463"/>
      <c r="C91" s="463"/>
      <c r="D91" s="463"/>
      <c r="E91" s="183"/>
      <c r="F91" s="463"/>
      <c r="G91" s="464"/>
      <c r="H91" s="465"/>
      <c r="I91" s="465"/>
      <c r="J91" s="465"/>
      <c r="K91" s="466"/>
      <c r="L91" s="466"/>
      <c r="M91" s="466"/>
      <c r="N91" s="466"/>
      <c r="O91" s="466"/>
      <c r="P91" s="466"/>
      <c r="Q91" s="466"/>
      <c r="R91" s="467"/>
      <c r="S91" s="183"/>
    </row>
    <row r="92" spans="1:19" ht="15" x14ac:dyDescent="0.2">
      <c r="A92" s="462"/>
      <c r="B92" s="463"/>
      <c r="C92" s="463"/>
      <c r="D92" s="463"/>
      <c r="E92" s="183"/>
      <c r="F92" s="463"/>
      <c r="G92" s="464"/>
      <c r="H92" s="465"/>
      <c r="I92" s="465"/>
      <c r="J92" s="465"/>
      <c r="K92" s="466"/>
      <c r="L92" s="466"/>
      <c r="M92" s="466"/>
      <c r="N92" s="466"/>
      <c r="O92" s="466"/>
      <c r="P92" s="466"/>
      <c r="Q92" s="466"/>
      <c r="R92" s="467"/>
      <c r="S92" s="183"/>
    </row>
    <row r="93" spans="1:19" ht="15" x14ac:dyDescent="0.2">
      <c r="A93" s="462"/>
      <c r="B93" s="463"/>
      <c r="C93" s="463"/>
      <c r="D93" s="463"/>
      <c r="E93" s="183"/>
      <c r="F93" s="463"/>
      <c r="G93" s="464"/>
      <c r="H93" s="465"/>
      <c r="I93" s="465"/>
      <c r="J93" s="465"/>
      <c r="K93" s="466"/>
      <c r="L93" s="466"/>
      <c r="M93" s="466"/>
      <c r="N93" s="466"/>
      <c r="O93" s="466"/>
      <c r="P93" s="466"/>
      <c r="Q93" s="466"/>
      <c r="R93" s="467"/>
      <c r="S93" s="183"/>
    </row>
    <row r="94" spans="1:19" ht="15" x14ac:dyDescent="0.2">
      <c r="A94" s="462"/>
      <c r="B94" s="463"/>
      <c r="C94" s="463"/>
      <c r="D94" s="463"/>
      <c r="E94" s="183"/>
      <c r="F94" s="463"/>
      <c r="G94" s="464"/>
      <c r="H94" s="465"/>
      <c r="I94" s="465"/>
      <c r="J94" s="465"/>
      <c r="K94" s="466"/>
      <c r="L94" s="466"/>
      <c r="M94" s="466"/>
      <c r="N94" s="466"/>
      <c r="O94" s="466"/>
      <c r="P94" s="466"/>
      <c r="Q94" s="466"/>
      <c r="R94" s="467"/>
      <c r="S94" s="183"/>
    </row>
    <row r="95" spans="1:19" ht="15" x14ac:dyDescent="0.2">
      <c r="A95" s="462"/>
      <c r="B95" s="463"/>
      <c r="C95" s="463"/>
      <c r="D95" s="463"/>
      <c r="E95" s="183"/>
      <c r="F95" s="463"/>
      <c r="G95" s="464"/>
      <c r="H95" s="465"/>
      <c r="I95" s="465"/>
      <c r="J95" s="465"/>
      <c r="K95" s="466"/>
      <c r="L95" s="466"/>
      <c r="M95" s="466"/>
      <c r="N95" s="466"/>
      <c r="O95" s="466"/>
      <c r="P95" s="466"/>
      <c r="Q95" s="466"/>
      <c r="R95" s="467"/>
      <c r="S95" s="183"/>
    </row>
    <row r="96" spans="1:19" ht="15" x14ac:dyDescent="0.2">
      <c r="A96" s="462"/>
      <c r="B96" s="463"/>
      <c r="C96" s="463"/>
      <c r="D96" s="463"/>
      <c r="E96" s="183"/>
      <c r="F96" s="463"/>
      <c r="G96" s="464"/>
      <c r="H96" s="465"/>
      <c r="I96" s="465"/>
      <c r="J96" s="465"/>
      <c r="K96" s="466"/>
      <c r="L96" s="466"/>
      <c r="M96" s="466"/>
      <c r="N96" s="466"/>
      <c r="O96" s="466"/>
      <c r="P96" s="466"/>
      <c r="Q96" s="466"/>
      <c r="R96" s="467"/>
      <c r="S96" s="183"/>
    </row>
    <row r="97" spans="1:19" ht="15" x14ac:dyDescent="0.2">
      <c r="A97" s="462"/>
      <c r="B97" s="463"/>
      <c r="C97" s="463"/>
      <c r="D97" s="463"/>
      <c r="E97" s="183"/>
      <c r="F97" s="463"/>
      <c r="G97" s="464"/>
      <c r="H97" s="465"/>
      <c r="I97" s="465"/>
      <c r="J97" s="465"/>
      <c r="K97" s="466"/>
      <c r="L97" s="466"/>
      <c r="M97" s="466"/>
      <c r="N97" s="466"/>
      <c r="O97" s="466"/>
      <c r="P97" s="466"/>
      <c r="Q97" s="466"/>
      <c r="R97" s="467"/>
      <c r="S97" s="183"/>
    </row>
  </sheetData>
  <mergeCells count="9">
    <mergeCell ref="R2:R3"/>
    <mergeCell ref="S2:S3"/>
    <mergeCell ref="H2:N2"/>
    <mergeCell ref="A2:A3"/>
    <mergeCell ref="B2:B3"/>
    <mergeCell ref="C2:C3"/>
    <mergeCell ref="D2:D3"/>
    <mergeCell ref="E2:E3"/>
    <mergeCell ref="G2:G3"/>
  </mergeCells>
  <pageMargins left="0.7" right="0.7" top="0.75" bottom="0.75" header="0.3" footer="0.3"/>
  <pageSetup paperSize="9" orientation="portrait" verticalDpi="0" r:id="rId1"/>
  <ignoredErrors>
    <ignoredError sqref="D51" 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W97"/>
  <sheetViews>
    <sheetView workbookViewId="0">
      <selection activeCell="V86" sqref="V86"/>
    </sheetView>
  </sheetViews>
  <sheetFormatPr defaultRowHeight="12.75" outlineLevelCol="1" x14ac:dyDescent="0.2"/>
  <cols>
    <col min="1" max="1" width="9" style="91" customWidth="1"/>
    <col min="2" max="2" width="6" style="91" customWidth="1" outlineLevel="1"/>
    <col min="3" max="3" width="20.83203125" style="91" customWidth="1"/>
    <col min="4" max="4" width="6.6640625" style="91" customWidth="1"/>
    <col min="5" max="5" width="20.83203125" style="91" customWidth="1"/>
    <col min="6" max="6" width="5.1640625" style="91" customWidth="1" outlineLevel="1"/>
    <col min="7" max="7" width="20.83203125" style="91" customWidth="1"/>
    <col min="8" max="8" width="5.33203125" style="91" customWidth="1"/>
    <col min="9" max="9" width="6.1640625" style="91" customWidth="1"/>
    <col min="10" max="11" width="5.33203125" style="91" customWidth="1"/>
    <col min="12" max="12" width="4.6640625" style="91" customWidth="1"/>
    <col min="13" max="13" width="4.5" style="91" customWidth="1"/>
    <col min="14" max="14" width="4.33203125" style="91" customWidth="1"/>
    <col min="15" max="15" width="3.6640625" style="91" customWidth="1"/>
    <col min="16" max="16" width="2.6640625" style="91" customWidth="1"/>
    <col min="17" max="17" width="3.5" style="91" customWidth="1"/>
    <col min="18" max="18" width="19.1640625" style="91" customWidth="1"/>
    <col min="19" max="19" width="18.6640625" style="91" customWidth="1"/>
    <col min="20" max="20" width="18.33203125" style="91" customWidth="1"/>
    <col min="21" max="21" width="5.5" style="91" customWidth="1"/>
    <col min="22" max="22" width="18.83203125" style="91" customWidth="1"/>
    <col min="23" max="23" width="5.33203125" style="91" customWidth="1"/>
    <col min="24" max="16384" width="9.33203125" style="91"/>
  </cols>
  <sheetData>
    <row r="2" spans="1:23" x14ac:dyDescent="0.2">
      <c r="A2" s="1305" t="s">
        <v>762</v>
      </c>
      <c r="B2" s="1307"/>
      <c r="C2" s="1304" t="s">
        <v>763</v>
      </c>
      <c r="D2" s="1307"/>
      <c r="E2" s="1304" t="s">
        <v>763</v>
      </c>
      <c r="F2" s="144"/>
      <c r="G2" s="1304" t="s">
        <v>764</v>
      </c>
      <c r="H2" s="1301" t="s">
        <v>765</v>
      </c>
      <c r="I2" s="1302"/>
      <c r="J2" s="1302"/>
      <c r="K2" s="1302"/>
      <c r="L2" s="1302"/>
      <c r="M2" s="1302"/>
      <c r="N2" s="1303"/>
      <c r="O2" s="145"/>
      <c r="P2" s="145"/>
      <c r="Q2" s="145"/>
      <c r="R2" s="1304" t="s">
        <v>2408</v>
      </c>
      <c r="S2" s="1304" t="s">
        <v>2409</v>
      </c>
    </row>
    <row r="3" spans="1:23" ht="13.5" thickBot="1" x14ac:dyDescent="0.25">
      <c r="A3" s="1306"/>
      <c r="B3" s="1160"/>
      <c r="C3" s="1298"/>
      <c r="D3" s="1160"/>
      <c r="E3" s="1298"/>
      <c r="F3" s="146"/>
      <c r="G3" s="1298"/>
      <c r="H3" s="147">
        <v>1</v>
      </c>
      <c r="I3" s="147">
        <v>2</v>
      </c>
      <c r="J3" s="147">
        <v>3</v>
      </c>
      <c r="K3" s="147">
        <v>4</v>
      </c>
      <c r="L3" s="147">
        <v>5</v>
      </c>
      <c r="M3" s="147">
        <v>6</v>
      </c>
      <c r="N3" s="147">
        <v>7</v>
      </c>
      <c r="O3" s="148"/>
      <c r="P3" s="148"/>
      <c r="Q3" s="148"/>
      <c r="R3" s="1298"/>
      <c r="S3" s="1298"/>
    </row>
    <row r="4" spans="1:23" ht="15" x14ac:dyDescent="0.2">
      <c r="A4" s="172">
        <v>1</v>
      </c>
      <c r="B4" s="198">
        <f>'2Ф(-32)'!B7</f>
        <v>0</v>
      </c>
      <c r="C4" s="166" t="e">
        <f>IF(B4="",B4,VLOOKUP(B4,'Списки участников'!A:O,12,FALSE))</f>
        <v>#N/A</v>
      </c>
      <c r="D4" s="198">
        <f>'2Ф(-32)'!B9</f>
        <v>0</v>
      </c>
      <c r="E4" s="167" t="e">
        <f>IF(D4="",D4,VLOOKUP(D4,'Списки участников'!A:O,12,FALSE))</f>
        <v>#N/A</v>
      </c>
      <c r="F4" s="195"/>
      <c r="G4" s="145" t="str">
        <f>IF(F4="","",VLOOKUP(F4,'Списки участников'!A:O,12,FALSE))</f>
        <v/>
      </c>
      <c r="H4" s="150"/>
      <c r="I4" s="150"/>
      <c r="J4" s="150"/>
      <c r="K4" s="150"/>
      <c r="L4" s="150"/>
      <c r="M4" s="151"/>
      <c r="N4" s="151"/>
      <c r="O4" s="152" t="str">
        <f>IF(F4="","",COUNTIF(H4:N4,"&gt;=0"))</f>
        <v/>
      </c>
      <c r="P4" s="153" t="str">
        <f>IF(F4="","",":")</f>
        <v/>
      </c>
      <c r="Q4" s="154" t="str">
        <f>IF(F4="","",COUNTIF(H4:N4,"&lt;0"))</f>
        <v/>
      </c>
      <c r="R4" s="155"/>
      <c r="S4" s="840" t="s">
        <v>958</v>
      </c>
      <c r="W4" s="91" t="str">
        <f>IF(N4="","",-N4)</f>
        <v/>
      </c>
    </row>
    <row r="5" spans="1:23" ht="15" x14ac:dyDescent="0.2">
      <c r="A5" s="173">
        <v>2</v>
      </c>
      <c r="B5" s="199">
        <f>'2Ф(-32)'!B11</f>
        <v>0</v>
      </c>
      <c r="C5" s="166" t="e">
        <f>IF(B5="",B5,VLOOKUP(B5,'Списки участников'!A:O,12,FALSE))</f>
        <v>#N/A</v>
      </c>
      <c r="D5" s="199">
        <f>'2Ф(-32)'!B13</f>
        <v>0</v>
      </c>
      <c r="E5" s="167" t="e">
        <f>IF(D5="",D5,VLOOKUP(D5,'Списки участников'!A:O,12,FALSE))</f>
        <v>#N/A</v>
      </c>
      <c r="F5" s="196"/>
      <c r="G5" s="145" t="str">
        <f>IF(F5="","",VLOOKUP(F5,'Списки участников'!A:O,12,FALSE))</f>
        <v/>
      </c>
      <c r="H5" s="158"/>
      <c r="I5" s="158"/>
      <c r="J5" s="159"/>
      <c r="K5" s="159"/>
      <c r="L5" s="159"/>
      <c r="M5" s="158"/>
      <c r="N5" s="158"/>
      <c r="O5" s="152" t="str">
        <f t="shared" ref="O5:O68" si="0">IF(F5="","",COUNTIF(H5:N5,"&gt;=0"))</f>
        <v/>
      </c>
      <c r="P5" s="161" t="str">
        <f t="shared" ref="P5:P68" si="1">IF(F5="","",":")</f>
        <v/>
      </c>
      <c r="Q5" s="154" t="str">
        <f t="shared" ref="Q5:Q68" si="2">IF(F5="","",COUNTIF(H5:N5,"&lt;0"))</f>
        <v/>
      </c>
      <c r="R5" s="163" t="str">
        <f t="shared" ref="R5:R68" si="3">IF(F5="","",IF(K5="",CONCATENATE(O5,"-",Q5,"(",H5,",",I5,",",J5,")"),IF(L5="",CONCATENATE(O5,"-",Q5,"(",H5,",",I5,",",J5,",",K5,")"),IF(M5="",CONCATENATE(O5,"-",Q5,"(",H5,",",I5,",",J5,",",K5,",",L5,")"),IF(N5="",CONCATENATE(O5,"-",Q5,"(",H5,",",I5,",",J5,",",K5,",",L5,",",M5,")"),IF(N5&lt;&gt;0,CONCATENATE(O5,"-",Q5,"(",H5,",",I5,",",J5,",",K5,",",L5,",",M5,",",N5,")")))))))</f>
        <v/>
      </c>
      <c r="S5" s="840" t="s">
        <v>958</v>
      </c>
      <c r="W5" s="91" t="str">
        <f>IF(N5="","",-N5)</f>
        <v/>
      </c>
    </row>
    <row r="6" spans="1:23" ht="15" x14ac:dyDescent="0.2">
      <c r="A6" s="173">
        <v>3</v>
      </c>
      <c r="B6" s="199">
        <f>'2Ф(-32)'!B15</f>
        <v>0</v>
      </c>
      <c r="C6" s="166" t="e">
        <f>IF(B6="",B6,VLOOKUP(B6,'Списки участников'!A:O,12,FALSE))</f>
        <v>#N/A</v>
      </c>
      <c r="D6" s="199">
        <f>'2Ф(-32)'!B17</f>
        <v>0</v>
      </c>
      <c r="E6" s="167" t="e">
        <f>IF(D6="",D6,VLOOKUP(D6,'Списки участников'!A:O,12,FALSE))</f>
        <v>#N/A</v>
      </c>
      <c r="F6" s="195"/>
      <c r="G6" s="145" t="str">
        <f>IF(F6="","",VLOOKUP(F6,'Списки участников'!A:O,12,FALSE))</f>
        <v/>
      </c>
      <c r="H6" s="158"/>
      <c r="I6" s="158"/>
      <c r="J6" s="158"/>
      <c r="K6" s="158"/>
      <c r="L6" s="158"/>
      <c r="M6" s="158"/>
      <c r="N6" s="158"/>
      <c r="O6" s="152" t="str">
        <f t="shared" si="0"/>
        <v/>
      </c>
      <c r="P6" s="161" t="str">
        <f t="shared" si="1"/>
        <v/>
      </c>
      <c r="Q6" s="154" t="str">
        <f t="shared" si="2"/>
        <v/>
      </c>
      <c r="R6" s="163"/>
      <c r="S6" s="840" t="s">
        <v>958</v>
      </c>
      <c r="W6" s="91" t="str">
        <f t="shared" ref="W6:W21" si="4">IF(N6="","",-N6)</f>
        <v/>
      </c>
    </row>
    <row r="7" spans="1:23" ht="15" x14ac:dyDescent="0.2">
      <c r="A7" s="173">
        <v>4</v>
      </c>
      <c r="B7" s="199">
        <f>'2Ф(-32)'!B19</f>
        <v>0</v>
      </c>
      <c r="C7" s="166" t="e">
        <f>IF(B7="",B7,VLOOKUP(B7,'Списки участников'!A:O,12,FALSE))</f>
        <v>#N/A</v>
      </c>
      <c r="D7" s="199">
        <f>'2Ф(-32)'!B21</f>
        <v>0</v>
      </c>
      <c r="E7" s="167" t="e">
        <f>IF(D7="",D7,VLOOKUP(D7,'Списки участников'!A:O,12,FALSE))</f>
        <v>#N/A</v>
      </c>
      <c r="F7" s="196"/>
      <c r="G7" s="145" t="str">
        <f>IF(F7="","",VLOOKUP(F7,'Списки участников'!A:O,12,FALSE))</f>
        <v/>
      </c>
      <c r="H7" s="158"/>
      <c r="I7" s="158"/>
      <c r="J7" s="158"/>
      <c r="K7" s="158"/>
      <c r="L7" s="158"/>
      <c r="M7" s="158"/>
      <c r="N7" s="158"/>
      <c r="O7" s="152" t="str">
        <f t="shared" si="0"/>
        <v/>
      </c>
      <c r="P7" s="161" t="str">
        <f t="shared" si="1"/>
        <v/>
      </c>
      <c r="Q7" s="154" t="str">
        <f t="shared" si="2"/>
        <v/>
      </c>
      <c r="R7" s="163"/>
      <c r="S7" s="840" t="s">
        <v>958</v>
      </c>
      <c r="W7" s="91" t="str">
        <f t="shared" si="4"/>
        <v/>
      </c>
    </row>
    <row r="8" spans="1:23" ht="15" x14ac:dyDescent="0.2">
      <c r="A8" s="173">
        <v>5</v>
      </c>
      <c r="B8" s="199">
        <f>'2Ф(-32)'!B23</f>
        <v>0</v>
      </c>
      <c r="C8" s="166" t="e">
        <f>IF(B8="",B8,VLOOKUP(B8,'Списки участников'!A:O,12,FALSE))</f>
        <v>#N/A</v>
      </c>
      <c r="D8" s="199">
        <f>'2Ф(-32)'!B25</f>
        <v>0</v>
      </c>
      <c r="E8" s="167" t="e">
        <f>IF(D8="",D8,VLOOKUP(D8,'Списки участников'!A:O,12,FALSE))</f>
        <v>#N/A</v>
      </c>
      <c r="F8" s="195"/>
      <c r="G8" s="145" t="str">
        <f>IF(F8="","",VLOOKUP(F8,'Списки участников'!A:O,12,FALSE))</f>
        <v/>
      </c>
      <c r="H8" s="158"/>
      <c r="I8" s="158"/>
      <c r="J8" s="158"/>
      <c r="K8" s="158"/>
      <c r="L8" s="158"/>
      <c r="M8" s="158"/>
      <c r="N8" s="158"/>
      <c r="O8" s="152" t="str">
        <f t="shared" si="0"/>
        <v/>
      </c>
      <c r="P8" s="161" t="str">
        <f t="shared" si="1"/>
        <v/>
      </c>
      <c r="Q8" s="154" t="str">
        <f t="shared" si="2"/>
        <v/>
      </c>
      <c r="R8" s="163"/>
      <c r="S8" s="840" t="s">
        <v>958</v>
      </c>
      <c r="W8" s="91" t="str">
        <f t="shared" si="4"/>
        <v/>
      </c>
    </row>
    <row r="9" spans="1:23" ht="15" x14ac:dyDescent="0.2">
      <c r="A9" s="173">
        <v>6</v>
      </c>
      <c r="B9" s="199">
        <f>'2Ф(-32)'!B27</f>
        <v>0</v>
      </c>
      <c r="C9" s="166" t="e">
        <f>IF(B9="",B9,VLOOKUP(B9,'Списки участников'!A:O,12,FALSE))</f>
        <v>#N/A</v>
      </c>
      <c r="D9" s="199">
        <f>'2Ф(-32)'!B29</f>
        <v>0</v>
      </c>
      <c r="E9" s="167" t="e">
        <f>IF(D9="",D9,VLOOKUP(D9,'Списки участников'!A:O,12,FALSE))</f>
        <v>#N/A</v>
      </c>
      <c r="F9" s="196"/>
      <c r="G9" s="145" t="str">
        <f>IF(F9="","",VLOOKUP(F9,'Списки участников'!A:O,12,FALSE))</f>
        <v/>
      </c>
      <c r="H9" s="158"/>
      <c r="I9" s="158"/>
      <c r="J9" s="158"/>
      <c r="K9" s="158"/>
      <c r="L9" s="158"/>
      <c r="M9" s="158"/>
      <c r="N9" s="158"/>
      <c r="O9" s="152" t="str">
        <f t="shared" si="0"/>
        <v/>
      </c>
      <c r="P9" s="161" t="str">
        <f t="shared" si="1"/>
        <v/>
      </c>
      <c r="Q9" s="154" t="str">
        <f t="shared" si="2"/>
        <v/>
      </c>
      <c r="R9" s="163" t="str">
        <f t="shared" si="3"/>
        <v/>
      </c>
      <c r="S9" s="840" t="s">
        <v>958</v>
      </c>
      <c r="W9" s="91" t="str">
        <f t="shared" si="4"/>
        <v/>
      </c>
    </row>
    <row r="10" spans="1:23" ht="15" x14ac:dyDescent="0.2">
      <c r="A10" s="173">
        <v>7</v>
      </c>
      <c r="B10" s="199">
        <f>'2Ф(-32)'!B31</f>
        <v>0</v>
      </c>
      <c r="C10" s="166" t="e">
        <f>IF(B10="",B10,VLOOKUP(B10,'Списки участников'!A:O,12,FALSE))</f>
        <v>#N/A</v>
      </c>
      <c r="D10" s="199">
        <f>'2Ф(-32)'!B33</f>
        <v>0</v>
      </c>
      <c r="E10" s="167" t="e">
        <f>IF(D10="",D10,VLOOKUP(D10,'Списки участников'!A:O,12,FALSE))</f>
        <v>#N/A</v>
      </c>
      <c r="F10" s="195"/>
      <c r="G10" s="145" t="str">
        <f>IF(F10="","",VLOOKUP(F10,'Списки участников'!A:O,12,FALSE))</f>
        <v/>
      </c>
      <c r="H10" s="158"/>
      <c r="I10" s="158"/>
      <c r="J10" s="158"/>
      <c r="K10" s="158"/>
      <c r="L10" s="158"/>
      <c r="M10" s="158"/>
      <c r="N10" s="158"/>
      <c r="O10" s="152" t="str">
        <f t="shared" si="0"/>
        <v/>
      </c>
      <c r="P10" s="161" t="str">
        <f t="shared" si="1"/>
        <v/>
      </c>
      <c r="Q10" s="154" t="str">
        <f t="shared" si="2"/>
        <v/>
      </c>
      <c r="R10" s="163"/>
      <c r="S10" s="840" t="s">
        <v>958</v>
      </c>
      <c r="W10" s="91" t="str">
        <f t="shared" si="4"/>
        <v/>
      </c>
    </row>
    <row r="11" spans="1:23" ht="15" x14ac:dyDescent="0.2">
      <c r="A11" s="173">
        <v>8</v>
      </c>
      <c r="B11" s="199">
        <f>'2Ф(-32)'!B35</f>
        <v>0</v>
      </c>
      <c r="C11" s="166" t="e">
        <f>IF(B11="",B11,VLOOKUP(B11,'Списки участников'!A:O,12,FALSE))</f>
        <v>#N/A</v>
      </c>
      <c r="D11" s="199">
        <f>'2Ф(-32)'!B37</f>
        <v>0</v>
      </c>
      <c r="E11" s="167" t="e">
        <f>IF(D11="",D11,VLOOKUP(D11,'Списки участников'!A:O,12,FALSE))</f>
        <v>#N/A</v>
      </c>
      <c r="F11" s="196"/>
      <c r="G11" s="145" t="str">
        <f>IF(F11="","",VLOOKUP(F11,'Списки участников'!A:O,12,FALSE))</f>
        <v/>
      </c>
      <c r="H11" s="158"/>
      <c r="I11" s="158"/>
      <c r="J11" s="158"/>
      <c r="K11" s="158"/>
      <c r="L11" s="158"/>
      <c r="M11" s="158"/>
      <c r="N11" s="158"/>
      <c r="O11" s="152" t="str">
        <f t="shared" si="0"/>
        <v/>
      </c>
      <c r="P11" s="161" t="str">
        <f t="shared" si="1"/>
        <v/>
      </c>
      <c r="Q11" s="154" t="str">
        <f t="shared" si="2"/>
        <v/>
      </c>
      <c r="R11" s="163"/>
      <c r="S11" s="840" t="s">
        <v>958</v>
      </c>
      <c r="T11" s="164"/>
      <c r="W11" s="91" t="str">
        <f t="shared" si="4"/>
        <v/>
      </c>
    </row>
    <row r="12" spans="1:23" ht="15" x14ac:dyDescent="0.2">
      <c r="A12" s="173">
        <v>9</v>
      </c>
      <c r="B12" s="199">
        <f>'2Ф(-32)'!B39</f>
        <v>0</v>
      </c>
      <c r="C12" s="166" t="e">
        <f>IF(B12="",B12,VLOOKUP(B12,'Списки участников'!A:O,12,FALSE))</f>
        <v>#N/A</v>
      </c>
      <c r="D12" s="199">
        <f>'2Ф(-32)'!B41</f>
        <v>0</v>
      </c>
      <c r="E12" s="167" t="e">
        <f>IF(D12="",D12,VLOOKUP(D12,'Списки участников'!A:O,12,FALSE))</f>
        <v>#N/A</v>
      </c>
      <c r="F12" s="195"/>
      <c r="G12" s="145" t="str">
        <f>IF(F12="","",VLOOKUP(F12,'Списки участников'!A:O,12,FALSE))</f>
        <v/>
      </c>
      <c r="H12" s="158"/>
      <c r="I12" s="158"/>
      <c r="J12" s="158"/>
      <c r="K12" s="158"/>
      <c r="L12" s="158"/>
      <c r="M12" s="158"/>
      <c r="N12" s="158"/>
      <c r="O12" s="152" t="str">
        <f t="shared" si="0"/>
        <v/>
      </c>
      <c r="P12" s="161" t="str">
        <f t="shared" si="1"/>
        <v/>
      </c>
      <c r="Q12" s="154" t="str">
        <f t="shared" si="2"/>
        <v/>
      </c>
      <c r="R12" s="163"/>
      <c r="S12" s="840" t="s">
        <v>958</v>
      </c>
      <c r="W12" s="91" t="str">
        <f t="shared" si="4"/>
        <v/>
      </c>
    </row>
    <row r="13" spans="1:23" ht="15" x14ac:dyDescent="0.2">
      <c r="A13" s="173">
        <v>10</v>
      </c>
      <c r="B13" s="199">
        <f>'2Ф(-32)'!B43</f>
        <v>0</v>
      </c>
      <c r="C13" s="166" t="e">
        <f>IF(B13="",B13,VLOOKUP(B13,'Списки участников'!A:O,12,FALSE))</f>
        <v>#N/A</v>
      </c>
      <c r="D13" s="199">
        <f>'2Ф(-32)'!B45</f>
        <v>0</v>
      </c>
      <c r="E13" s="167" t="e">
        <f>IF(D13="",D13,VLOOKUP(D13,'Списки участников'!A:O,12,FALSE))</f>
        <v>#N/A</v>
      </c>
      <c r="F13" s="196"/>
      <c r="G13" s="145" t="str">
        <f>IF(F13="","",VLOOKUP(F13,'Списки участников'!A:O,12,FALSE))</f>
        <v/>
      </c>
      <c r="H13" s="158"/>
      <c r="I13" s="158"/>
      <c r="J13" s="158"/>
      <c r="K13" s="158"/>
      <c r="L13" s="158"/>
      <c r="M13" s="158"/>
      <c r="N13" s="158"/>
      <c r="O13" s="152" t="str">
        <f t="shared" si="0"/>
        <v/>
      </c>
      <c r="P13" s="161" t="str">
        <f t="shared" si="1"/>
        <v/>
      </c>
      <c r="Q13" s="154" t="str">
        <f t="shared" si="2"/>
        <v/>
      </c>
      <c r="R13" s="163"/>
      <c r="S13" s="840" t="s">
        <v>958</v>
      </c>
      <c r="W13" s="91" t="str">
        <f t="shared" si="4"/>
        <v/>
      </c>
    </row>
    <row r="14" spans="1:23" ht="15" x14ac:dyDescent="0.2">
      <c r="A14" s="173">
        <v>11</v>
      </c>
      <c r="B14" s="199">
        <f>'2Ф(-32)'!B47</f>
        <v>0</v>
      </c>
      <c r="C14" s="166" t="e">
        <f>IF(B14="",B14,VLOOKUP(B14,'Списки участников'!A:O,12,FALSE))</f>
        <v>#N/A</v>
      </c>
      <c r="D14" s="199">
        <f>'2Ф(-32)'!B49</f>
        <v>0</v>
      </c>
      <c r="E14" s="167" t="e">
        <f>IF(D14="",D14,VLOOKUP(D14,'Списки участников'!A:O,12,FALSE))</f>
        <v>#N/A</v>
      </c>
      <c r="F14" s="195"/>
      <c r="G14" s="145" t="str">
        <f>IF(F14="","",VLOOKUP(F14,'Списки участников'!A:O,12,FALSE))</f>
        <v/>
      </c>
      <c r="H14" s="158"/>
      <c r="I14" s="158"/>
      <c r="J14" s="158"/>
      <c r="K14" s="158"/>
      <c r="L14" s="158"/>
      <c r="M14" s="158"/>
      <c r="N14" s="158"/>
      <c r="O14" s="152" t="str">
        <f t="shared" si="0"/>
        <v/>
      </c>
      <c r="P14" s="161" t="str">
        <f t="shared" si="1"/>
        <v/>
      </c>
      <c r="Q14" s="154" t="str">
        <f t="shared" si="2"/>
        <v/>
      </c>
      <c r="R14" s="163"/>
      <c r="S14" s="840" t="s">
        <v>958</v>
      </c>
      <c r="W14" s="91" t="str">
        <f t="shared" si="4"/>
        <v/>
      </c>
    </row>
    <row r="15" spans="1:23" ht="15" x14ac:dyDescent="0.2">
      <c r="A15" s="173">
        <v>12</v>
      </c>
      <c r="B15" s="199">
        <f>'2Ф(-32)'!B51</f>
        <v>0</v>
      </c>
      <c r="C15" s="166" t="e">
        <f>IF(B15="",B15,VLOOKUP(B15,'Списки участников'!A:O,12,FALSE))</f>
        <v>#N/A</v>
      </c>
      <c r="D15" s="199">
        <f>'2Ф(-32)'!B53</f>
        <v>0</v>
      </c>
      <c r="E15" s="167" t="e">
        <f>IF(D15="",D15,VLOOKUP(D15,'Списки участников'!A:O,12,FALSE))</f>
        <v>#N/A</v>
      </c>
      <c r="F15" s="196"/>
      <c r="G15" s="145" t="str">
        <f>IF(F15="","",VLOOKUP(F15,'Списки участников'!A:O,12,FALSE))</f>
        <v/>
      </c>
      <c r="H15" s="158"/>
      <c r="I15" s="158"/>
      <c r="J15" s="158"/>
      <c r="K15" s="158"/>
      <c r="L15" s="158"/>
      <c r="M15" s="158"/>
      <c r="N15" s="158"/>
      <c r="O15" s="152" t="str">
        <f t="shared" si="0"/>
        <v/>
      </c>
      <c r="P15" s="161" t="str">
        <f t="shared" si="1"/>
        <v/>
      </c>
      <c r="Q15" s="154" t="str">
        <f t="shared" si="2"/>
        <v/>
      </c>
      <c r="R15" s="163"/>
      <c r="S15" s="840" t="s">
        <v>958</v>
      </c>
      <c r="W15" s="91" t="str">
        <f t="shared" si="4"/>
        <v/>
      </c>
    </row>
    <row r="16" spans="1:23" ht="15" x14ac:dyDescent="0.2">
      <c r="A16" s="173">
        <v>13</v>
      </c>
      <c r="B16" s="199">
        <f>'2Ф(-32)'!B55</f>
        <v>0</v>
      </c>
      <c r="C16" s="166" t="e">
        <f>IF(B16="",B16,VLOOKUP(B16,'Списки участников'!A:O,12,FALSE))</f>
        <v>#N/A</v>
      </c>
      <c r="D16" s="199">
        <f>'2Ф(-32)'!B57</f>
        <v>0</v>
      </c>
      <c r="E16" s="167" t="e">
        <f>IF(D16="",D16,VLOOKUP(D16,'Списки участников'!A:O,12,FALSE))</f>
        <v>#N/A</v>
      </c>
      <c r="F16" s="195"/>
      <c r="G16" s="145" t="str">
        <f>IF(F16="","",VLOOKUP(F16,'Списки участников'!A:O,12,FALSE))</f>
        <v/>
      </c>
      <c r="H16" s="158"/>
      <c r="I16" s="158"/>
      <c r="J16" s="158"/>
      <c r="K16" s="158"/>
      <c r="L16" s="158"/>
      <c r="M16" s="158"/>
      <c r="N16" s="158"/>
      <c r="O16" s="152" t="str">
        <f t="shared" si="0"/>
        <v/>
      </c>
      <c r="P16" s="161" t="str">
        <f t="shared" si="1"/>
        <v/>
      </c>
      <c r="Q16" s="154" t="str">
        <f t="shared" si="2"/>
        <v/>
      </c>
      <c r="R16" s="163"/>
      <c r="S16" s="840" t="s">
        <v>958</v>
      </c>
      <c r="W16" s="91" t="str">
        <f t="shared" si="4"/>
        <v/>
      </c>
    </row>
    <row r="17" spans="1:23" ht="15" x14ac:dyDescent="0.2">
      <c r="A17" s="173">
        <v>14</v>
      </c>
      <c r="B17" s="199">
        <f>'2Ф(-32)'!B59</f>
        <v>0</v>
      </c>
      <c r="C17" s="166" t="e">
        <f>IF(B17="",B17,VLOOKUP(B17,'Списки участников'!A:O,12,FALSE))</f>
        <v>#N/A</v>
      </c>
      <c r="D17" s="199">
        <f>'2Ф(-32)'!B61</f>
        <v>0</v>
      </c>
      <c r="E17" s="167" t="e">
        <f>IF(D17="",D17,VLOOKUP(D17,'Списки участников'!A:O,12,FALSE))</f>
        <v>#N/A</v>
      </c>
      <c r="F17" s="196"/>
      <c r="G17" s="145" t="str">
        <f>IF(F17="","",VLOOKUP(F17,'Списки участников'!A:O,12,FALSE))</f>
        <v/>
      </c>
      <c r="H17" s="158"/>
      <c r="I17" s="158"/>
      <c r="J17" s="158"/>
      <c r="K17" s="158"/>
      <c r="L17" s="158"/>
      <c r="M17" s="158"/>
      <c r="N17" s="158"/>
      <c r="O17" s="152" t="str">
        <f t="shared" si="0"/>
        <v/>
      </c>
      <c r="P17" s="161" t="str">
        <f t="shared" si="1"/>
        <v/>
      </c>
      <c r="Q17" s="154" t="str">
        <f t="shared" si="2"/>
        <v/>
      </c>
      <c r="R17" s="163" t="str">
        <f t="shared" si="3"/>
        <v/>
      </c>
      <c r="S17" s="840" t="s">
        <v>958</v>
      </c>
      <c r="W17" s="91" t="str">
        <f t="shared" si="4"/>
        <v/>
      </c>
    </row>
    <row r="18" spans="1:23" ht="15" x14ac:dyDescent="0.2">
      <c r="A18" s="173">
        <v>15</v>
      </c>
      <c r="B18" s="199">
        <f>'2Ф(-32)'!B63</f>
        <v>0</v>
      </c>
      <c r="C18" s="166" t="e">
        <f>IF(B18="",B18,VLOOKUP(B18,'Списки участников'!A:O,12,FALSE))</f>
        <v>#N/A</v>
      </c>
      <c r="D18" s="199">
        <f>'2Ф(-32)'!B65</f>
        <v>0</v>
      </c>
      <c r="E18" s="167" t="e">
        <f>IF(D18="",D18,VLOOKUP(D18,'Списки участников'!A:O,12,FALSE))</f>
        <v>#N/A</v>
      </c>
      <c r="F18" s="195"/>
      <c r="G18" s="145" t="str">
        <f>IF(F18="","",VLOOKUP(F18,'Списки участников'!A:O,12,FALSE))</f>
        <v/>
      </c>
      <c r="H18" s="158"/>
      <c r="I18" s="158"/>
      <c r="J18" s="158"/>
      <c r="K18" s="158"/>
      <c r="L18" s="158"/>
      <c r="M18" s="158"/>
      <c r="N18" s="158"/>
      <c r="O18" s="152" t="str">
        <f t="shared" si="0"/>
        <v/>
      </c>
      <c r="P18" s="161" t="str">
        <f t="shared" si="1"/>
        <v/>
      </c>
      <c r="Q18" s="154" t="str">
        <f t="shared" si="2"/>
        <v/>
      </c>
      <c r="R18" s="163" t="str">
        <f t="shared" si="3"/>
        <v/>
      </c>
      <c r="S18" s="840" t="s">
        <v>958</v>
      </c>
      <c r="W18" s="91" t="str">
        <f t="shared" si="4"/>
        <v/>
      </c>
    </row>
    <row r="19" spans="1:23" ht="15" x14ac:dyDescent="0.2">
      <c r="A19" s="173">
        <v>16</v>
      </c>
      <c r="B19" s="149">
        <f>'2Ф(-32)'!B67</f>
        <v>0</v>
      </c>
      <c r="C19" s="166" t="e">
        <f>IF(B19="",B19,VLOOKUP(B19,'Списки участников'!A:O,12,FALSE))</f>
        <v>#N/A</v>
      </c>
      <c r="D19" s="149">
        <f>'2Ф(-32)'!B69</f>
        <v>0</v>
      </c>
      <c r="E19" s="167" t="e">
        <f>IF(D19="",D19,VLOOKUP(D19,'Списки участников'!A:O,12,FALSE))</f>
        <v>#N/A</v>
      </c>
      <c r="F19" s="196"/>
      <c r="G19" s="145" t="str">
        <f>IF(F19="","",VLOOKUP(F19,'Списки участников'!A:O,12,FALSE))</f>
        <v/>
      </c>
      <c r="H19" s="158"/>
      <c r="I19" s="158"/>
      <c r="J19" s="158"/>
      <c r="K19" s="158"/>
      <c r="L19" s="158"/>
      <c r="M19" s="158"/>
      <c r="N19" s="158"/>
      <c r="O19" s="152" t="str">
        <f t="shared" si="0"/>
        <v/>
      </c>
      <c r="P19" s="161" t="str">
        <f t="shared" si="1"/>
        <v/>
      </c>
      <c r="Q19" s="154" t="str">
        <f t="shared" si="2"/>
        <v/>
      </c>
      <c r="R19" s="163"/>
      <c r="S19" s="840" t="s">
        <v>958</v>
      </c>
      <c r="W19" s="91" t="str">
        <f t="shared" si="4"/>
        <v/>
      </c>
    </row>
    <row r="20" spans="1:23" ht="15" x14ac:dyDescent="0.2">
      <c r="A20" s="156">
        <v>17</v>
      </c>
      <c r="B20" s="196" t="str">
        <f>IF(F4="","",F4)</f>
        <v/>
      </c>
      <c r="C20" s="145" t="str">
        <f>IF(B20="",B20,VLOOKUP(B20,'Списки участников'!A:O,12,FALSE))</f>
        <v/>
      </c>
      <c r="D20" s="196" t="str">
        <f>IF(F5="","",F5)</f>
        <v/>
      </c>
      <c r="E20" s="145" t="str">
        <f>IF(D20="",D20,VLOOKUP(D20,'Списки участников'!A:O,12,FALSE))</f>
        <v/>
      </c>
      <c r="F20" s="157"/>
      <c r="G20" s="145" t="str">
        <f>IF(F20="","",VLOOKUP(F20,'Списки участников'!A:O,12,FALSE))</f>
        <v/>
      </c>
      <c r="H20" s="158"/>
      <c r="I20" s="158"/>
      <c r="J20" s="158"/>
      <c r="K20" s="158"/>
      <c r="L20" s="158"/>
      <c r="M20" s="158"/>
      <c r="N20" s="158"/>
      <c r="O20" s="152" t="str">
        <f t="shared" si="0"/>
        <v/>
      </c>
      <c r="P20" s="161" t="str">
        <f t="shared" si="1"/>
        <v/>
      </c>
      <c r="Q20" s="154" t="str">
        <f t="shared" si="2"/>
        <v/>
      </c>
      <c r="R20" s="163" t="str">
        <f t="shared" si="3"/>
        <v/>
      </c>
      <c r="S20" s="841" t="s">
        <v>2389</v>
      </c>
      <c r="W20" s="91" t="str">
        <f t="shared" si="4"/>
        <v/>
      </c>
    </row>
    <row r="21" spans="1:23" ht="15" x14ac:dyDescent="0.2">
      <c r="A21" s="156">
        <v>18</v>
      </c>
      <c r="B21" s="196" t="str">
        <f>IF(F6="","",F6)</f>
        <v/>
      </c>
      <c r="C21" s="145" t="str">
        <f>IF(B21="",B21,VLOOKUP(B21,'Списки участников'!A:O,12,FALSE))</f>
        <v/>
      </c>
      <c r="D21" s="196" t="str">
        <f>IF(F7="","",F7)</f>
        <v/>
      </c>
      <c r="E21" s="145" t="str">
        <f>IF(D21="",D21,VLOOKUP(D21,'Списки участников'!A:O,12,FALSE))</f>
        <v/>
      </c>
      <c r="F21" s="157"/>
      <c r="G21" s="145" t="str">
        <f>IF(F21="","",VLOOKUP(F21,'Списки участников'!A:O,12,FALSE))</f>
        <v/>
      </c>
      <c r="H21" s="158"/>
      <c r="I21" s="158"/>
      <c r="J21" s="158"/>
      <c r="K21" s="158"/>
      <c r="L21" s="158"/>
      <c r="M21" s="158"/>
      <c r="N21" s="158"/>
      <c r="O21" s="152" t="str">
        <f t="shared" si="0"/>
        <v/>
      </c>
      <c r="P21" s="161" t="str">
        <f t="shared" si="1"/>
        <v/>
      </c>
      <c r="Q21" s="154" t="str">
        <f t="shared" si="2"/>
        <v/>
      </c>
      <c r="R21" s="163" t="str">
        <f t="shared" si="3"/>
        <v/>
      </c>
      <c r="S21" s="841" t="s">
        <v>2389</v>
      </c>
      <c r="W21" s="91" t="str">
        <f t="shared" si="4"/>
        <v/>
      </c>
    </row>
    <row r="22" spans="1:23" ht="15" x14ac:dyDescent="0.2">
      <c r="A22" s="156">
        <v>19</v>
      </c>
      <c r="B22" s="196" t="str">
        <f>IF(F8="","",F8)</f>
        <v/>
      </c>
      <c r="C22" s="145" t="str">
        <f>IF(B22="",B22,VLOOKUP(B22,'Списки участников'!A:O,12,FALSE))</f>
        <v/>
      </c>
      <c r="D22" s="196" t="str">
        <f>IF(F9="","",F9)</f>
        <v/>
      </c>
      <c r="E22" s="145" t="str">
        <f>IF(D22="",D22,VLOOKUP(D22,'Списки участников'!A:O,12,FALSE))</f>
        <v/>
      </c>
      <c r="F22" s="157"/>
      <c r="G22" s="145" t="str">
        <f>IF(F22="","",VLOOKUP(F22,'Списки участников'!A:O,12,FALSE))</f>
        <v/>
      </c>
      <c r="H22" s="165"/>
      <c r="I22" s="165"/>
      <c r="J22" s="165"/>
      <c r="K22" s="165"/>
      <c r="L22" s="165"/>
      <c r="M22" s="165"/>
      <c r="N22" s="165"/>
      <c r="O22" s="152" t="str">
        <f t="shared" si="0"/>
        <v/>
      </c>
      <c r="P22" s="161" t="str">
        <f t="shared" si="1"/>
        <v/>
      </c>
      <c r="Q22" s="154" t="str">
        <f t="shared" si="2"/>
        <v/>
      </c>
      <c r="R22" s="163" t="str">
        <f t="shared" si="3"/>
        <v/>
      </c>
      <c r="S22" s="841" t="s">
        <v>2389</v>
      </c>
    </row>
    <row r="23" spans="1:23" ht="15" x14ac:dyDescent="0.2">
      <c r="A23" s="156">
        <v>20</v>
      </c>
      <c r="B23" s="196" t="str">
        <f>IF(F10="","",F10)</f>
        <v/>
      </c>
      <c r="C23" s="145" t="str">
        <f>IF(B23="",B23,VLOOKUP(B23,'Списки участников'!A:O,12,FALSE))</f>
        <v/>
      </c>
      <c r="D23" s="196" t="str">
        <f>IF(F11="","",F11)</f>
        <v/>
      </c>
      <c r="E23" s="145" t="str">
        <f>IF(D23="",D23,VLOOKUP(D23,'Списки участников'!A:O,12,FALSE))</f>
        <v/>
      </c>
      <c r="F23" s="157"/>
      <c r="G23" s="145" t="str">
        <f>IF(F23="","",VLOOKUP(F23,'Списки участников'!A:O,12,FALSE))</f>
        <v/>
      </c>
      <c r="H23" s="165"/>
      <c r="I23" s="165"/>
      <c r="J23" s="165"/>
      <c r="K23" s="165"/>
      <c r="L23" s="165"/>
      <c r="M23" s="165"/>
      <c r="N23" s="165"/>
      <c r="O23" s="152" t="str">
        <f t="shared" si="0"/>
        <v/>
      </c>
      <c r="P23" s="161" t="str">
        <f t="shared" si="1"/>
        <v/>
      </c>
      <c r="Q23" s="154" t="str">
        <f t="shared" si="2"/>
        <v/>
      </c>
      <c r="R23" s="163" t="str">
        <f t="shared" si="3"/>
        <v/>
      </c>
      <c r="S23" s="841" t="s">
        <v>2389</v>
      </c>
    </row>
    <row r="24" spans="1:23" ht="15" x14ac:dyDescent="0.2">
      <c r="A24" s="156">
        <v>21</v>
      </c>
      <c r="B24" s="196" t="str">
        <f>IF(F12="","",F12)</f>
        <v/>
      </c>
      <c r="C24" s="145" t="str">
        <f>IF(B24="",B24,VLOOKUP(B24,'Списки участников'!A:O,12,FALSE))</f>
        <v/>
      </c>
      <c r="D24" s="196" t="str">
        <f>IF(F13="","",F13)</f>
        <v/>
      </c>
      <c r="E24" s="145" t="str">
        <f>IF(D24="",D24,VLOOKUP(D24,'Списки участников'!A:O,12,FALSE))</f>
        <v/>
      </c>
      <c r="F24" s="157"/>
      <c r="G24" s="145" t="str">
        <f>IF(F24="","",VLOOKUP(F24,'Списки участников'!A:O,12,FALSE))</f>
        <v/>
      </c>
      <c r="H24" s="165"/>
      <c r="I24" s="165"/>
      <c r="J24" s="165"/>
      <c r="K24" s="165"/>
      <c r="L24" s="165"/>
      <c r="M24" s="165"/>
      <c r="N24" s="165"/>
      <c r="O24" s="152" t="str">
        <f t="shared" si="0"/>
        <v/>
      </c>
      <c r="P24" s="161" t="str">
        <f t="shared" si="1"/>
        <v/>
      </c>
      <c r="Q24" s="154" t="str">
        <f t="shared" si="2"/>
        <v/>
      </c>
      <c r="R24" s="163" t="str">
        <f t="shared" si="3"/>
        <v/>
      </c>
      <c r="S24" s="841" t="s">
        <v>2389</v>
      </c>
    </row>
    <row r="25" spans="1:23" ht="15" x14ac:dyDescent="0.2">
      <c r="A25" s="156">
        <v>22</v>
      </c>
      <c r="B25" s="196" t="str">
        <f>IF(F14="","",F14)</f>
        <v/>
      </c>
      <c r="C25" s="145" t="str">
        <f>IF(B25="",B25,VLOOKUP(B25,'Списки участников'!A:O,12,FALSE))</f>
        <v/>
      </c>
      <c r="D25" s="196" t="str">
        <f>IF(F15="","",F15)</f>
        <v/>
      </c>
      <c r="E25" s="145" t="str">
        <f>IF(D25="",D25,VLOOKUP(D25,'Списки участников'!A:O,12,FALSE))</f>
        <v/>
      </c>
      <c r="F25" s="157"/>
      <c r="G25" s="145" t="str">
        <f>IF(F25="","",VLOOKUP(F25,'Списки участников'!A:O,12,FALSE))</f>
        <v/>
      </c>
      <c r="H25" s="165"/>
      <c r="I25" s="165"/>
      <c r="J25" s="165"/>
      <c r="K25" s="165"/>
      <c r="L25" s="165"/>
      <c r="M25" s="165"/>
      <c r="N25" s="165"/>
      <c r="O25" s="152" t="str">
        <f t="shared" si="0"/>
        <v/>
      </c>
      <c r="P25" s="161" t="str">
        <f t="shared" si="1"/>
        <v/>
      </c>
      <c r="Q25" s="154" t="str">
        <f t="shared" si="2"/>
        <v/>
      </c>
      <c r="R25" s="163" t="str">
        <f t="shared" si="3"/>
        <v/>
      </c>
      <c r="S25" s="841" t="s">
        <v>2389</v>
      </c>
    </row>
    <row r="26" spans="1:23" ht="15" x14ac:dyDescent="0.2">
      <c r="A26" s="156">
        <v>23</v>
      </c>
      <c r="B26" s="196" t="str">
        <f>IF(F16="","",F16)</f>
        <v/>
      </c>
      <c r="C26" s="145" t="str">
        <f>IF(B26="",B26,VLOOKUP(B26,'Списки участников'!A:O,12,FALSE))</f>
        <v/>
      </c>
      <c r="D26" s="196" t="str">
        <f>IF(F17="","",F17)</f>
        <v/>
      </c>
      <c r="E26" s="145" t="str">
        <f>IF(D26="",D26,VLOOKUP(D26,'Списки участников'!A:O,12,FALSE))</f>
        <v/>
      </c>
      <c r="F26" s="157"/>
      <c r="G26" s="145" t="str">
        <f>IF(F26="","",VLOOKUP(F26,'Списки участников'!A:O,12,FALSE))</f>
        <v/>
      </c>
      <c r="H26" s="165"/>
      <c r="I26" s="165"/>
      <c r="J26" s="165"/>
      <c r="K26" s="165"/>
      <c r="L26" s="165"/>
      <c r="M26" s="165"/>
      <c r="N26" s="165"/>
      <c r="O26" s="152" t="str">
        <f t="shared" si="0"/>
        <v/>
      </c>
      <c r="P26" s="161" t="str">
        <f t="shared" si="1"/>
        <v/>
      </c>
      <c r="Q26" s="154" t="str">
        <f t="shared" si="2"/>
        <v/>
      </c>
      <c r="R26" s="163" t="str">
        <f t="shared" si="3"/>
        <v/>
      </c>
      <c r="S26" s="841" t="s">
        <v>2389</v>
      </c>
    </row>
    <row r="27" spans="1:23" ht="15" x14ac:dyDescent="0.2">
      <c r="A27" s="156">
        <v>24</v>
      </c>
      <c r="B27" s="196" t="str">
        <f>IF(F18="","",F18)</f>
        <v/>
      </c>
      <c r="C27" s="145" t="str">
        <f>IF(B27="",B27,VLOOKUP(B27,'Списки участников'!A:O,12,FALSE))</f>
        <v/>
      </c>
      <c r="D27" s="196" t="str">
        <f>IF(F19="","",F19)</f>
        <v/>
      </c>
      <c r="E27" s="145" t="str">
        <f>IF(D27="",D27,VLOOKUP(D27,'Списки участников'!A:O,12,FALSE))</f>
        <v/>
      </c>
      <c r="F27" s="157"/>
      <c r="G27" s="145" t="str">
        <f>IF(F27="","",VLOOKUP(F27,'Списки участников'!A:O,12,FALSE))</f>
        <v/>
      </c>
      <c r="H27" s="165"/>
      <c r="I27" s="165"/>
      <c r="J27" s="165"/>
      <c r="K27" s="165"/>
      <c r="L27" s="165"/>
      <c r="M27" s="165"/>
      <c r="N27" s="165"/>
      <c r="O27" s="152" t="str">
        <f t="shared" si="0"/>
        <v/>
      </c>
      <c r="P27" s="161" t="str">
        <f t="shared" si="1"/>
        <v/>
      </c>
      <c r="Q27" s="154" t="str">
        <f t="shared" si="2"/>
        <v/>
      </c>
      <c r="R27" s="163" t="str">
        <f t="shared" si="3"/>
        <v/>
      </c>
      <c r="S27" s="841" t="s">
        <v>2389</v>
      </c>
    </row>
    <row r="28" spans="1:23" ht="15" x14ac:dyDescent="0.2">
      <c r="A28" s="156">
        <v>25</v>
      </c>
      <c r="B28" s="196" t="str">
        <f>IF(F20="","",F20)</f>
        <v/>
      </c>
      <c r="C28" s="145" t="str">
        <f>IF(B28="",B28,VLOOKUP(B28,'Списки участников'!A:O,12,FALSE))</f>
        <v/>
      </c>
      <c r="D28" s="196" t="str">
        <f>IF(F21="","",F21)</f>
        <v/>
      </c>
      <c r="E28" s="145" t="str">
        <f>IF(D28="",D28,VLOOKUP(D28,'Списки участников'!A:O,12,FALSE))</f>
        <v/>
      </c>
      <c r="F28" s="157"/>
      <c r="G28" s="145" t="str">
        <f>IF(F28="","",VLOOKUP(F28,'Списки участников'!A:O,12,FALSE))</f>
        <v/>
      </c>
      <c r="H28" s="165"/>
      <c r="I28" s="165"/>
      <c r="J28" s="165"/>
      <c r="K28" s="165"/>
      <c r="L28" s="165"/>
      <c r="M28" s="165"/>
      <c r="N28" s="165"/>
      <c r="O28" s="152" t="str">
        <f t="shared" si="0"/>
        <v/>
      </c>
      <c r="P28" s="161" t="str">
        <f t="shared" si="1"/>
        <v/>
      </c>
      <c r="Q28" s="154" t="str">
        <f t="shared" si="2"/>
        <v/>
      </c>
      <c r="R28" s="163" t="str">
        <f t="shared" si="3"/>
        <v/>
      </c>
      <c r="S28" s="841" t="s">
        <v>2392</v>
      </c>
    </row>
    <row r="29" spans="1:23" ht="15" x14ac:dyDescent="0.2">
      <c r="A29" s="156">
        <v>26</v>
      </c>
      <c r="B29" s="196" t="str">
        <f>IF(F22="","",F22)</f>
        <v/>
      </c>
      <c r="C29" s="145" t="str">
        <f>IF(B29="",B29,VLOOKUP(B29,'Списки участников'!A:O,12,FALSE))</f>
        <v/>
      </c>
      <c r="D29" s="196" t="str">
        <f>IF(F23="","",F23)</f>
        <v/>
      </c>
      <c r="E29" s="145" t="str">
        <f>IF(D29="",D29,VLOOKUP(D29,'Списки участников'!A:O,12,FALSE))</f>
        <v/>
      </c>
      <c r="F29" s="157"/>
      <c r="G29" s="145" t="str">
        <f>IF(F29="","",VLOOKUP(F29,'Списки участников'!A:O,12,FALSE))</f>
        <v/>
      </c>
      <c r="H29" s="165"/>
      <c r="I29" s="165"/>
      <c r="J29" s="165"/>
      <c r="K29" s="165"/>
      <c r="L29" s="165"/>
      <c r="M29" s="165"/>
      <c r="N29" s="165"/>
      <c r="O29" s="152" t="str">
        <f t="shared" si="0"/>
        <v/>
      </c>
      <c r="P29" s="161" t="str">
        <f t="shared" si="1"/>
        <v/>
      </c>
      <c r="Q29" s="154" t="str">
        <f t="shared" si="2"/>
        <v/>
      </c>
      <c r="R29" s="163" t="str">
        <f t="shared" si="3"/>
        <v/>
      </c>
      <c r="S29" s="841" t="s">
        <v>2392</v>
      </c>
    </row>
    <row r="30" spans="1:23" ht="15" x14ac:dyDescent="0.2">
      <c r="A30" s="156">
        <v>27</v>
      </c>
      <c r="B30" s="196" t="str">
        <f>IF(F24="","",F24)</f>
        <v/>
      </c>
      <c r="C30" s="145" t="str">
        <f>IF(B30="",B30,VLOOKUP(B30,'Списки участников'!A:O,12,FALSE))</f>
        <v/>
      </c>
      <c r="D30" s="196" t="str">
        <f>IF(F25="","",F25)</f>
        <v/>
      </c>
      <c r="E30" s="145" t="str">
        <f>IF(D30="",D30,VLOOKUP(D30,'Списки участников'!A:O,12,FALSE))</f>
        <v/>
      </c>
      <c r="F30" s="157"/>
      <c r="G30" s="145" t="str">
        <f>IF(F30="","",VLOOKUP(F30,'Списки участников'!A:O,12,FALSE))</f>
        <v/>
      </c>
      <c r="H30" s="165"/>
      <c r="I30" s="165"/>
      <c r="J30" s="165"/>
      <c r="K30" s="165"/>
      <c r="L30" s="165"/>
      <c r="M30" s="165"/>
      <c r="N30" s="165"/>
      <c r="O30" s="152" t="str">
        <f t="shared" si="0"/>
        <v/>
      </c>
      <c r="P30" s="169" t="str">
        <f t="shared" si="1"/>
        <v/>
      </c>
      <c r="Q30" s="154" t="str">
        <f t="shared" si="2"/>
        <v/>
      </c>
      <c r="R30" s="163" t="str">
        <f t="shared" si="3"/>
        <v/>
      </c>
      <c r="S30" s="841" t="s">
        <v>2392</v>
      </c>
    </row>
    <row r="31" spans="1:23" ht="15" x14ac:dyDescent="0.2">
      <c r="A31" s="156">
        <v>28</v>
      </c>
      <c r="B31" s="196" t="str">
        <f>IF(F26="","",F26)</f>
        <v/>
      </c>
      <c r="C31" s="145" t="str">
        <f>IF(B31="",B31,VLOOKUP(B31,'Списки участников'!A:O,12,FALSE))</f>
        <v/>
      </c>
      <c r="D31" s="196" t="str">
        <f>IF(F27="","",F27)</f>
        <v/>
      </c>
      <c r="E31" s="145" t="str">
        <f>IF(D31="",D31,VLOOKUP(D31,'Списки участников'!A:O,12,FALSE))</f>
        <v/>
      </c>
      <c r="F31" s="157"/>
      <c r="G31" s="145" t="str">
        <f>IF(F31="","",VLOOKUP(F31,'Списки участников'!A:O,12,FALSE))</f>
        <v/>
      </c>
      <c r="H31" s="165"/>
      <c r="I31" s="165"/>
      <c r="J31" s="165"/>
      <c r="K31" s="165"/>
      <c r="L31" s="165"/>
      <c r="M31" s="165"/>
      <c r="N31" s="165"/>
      <c r="O31" s="152" t="str">
        <f t="shared" si="0"/>
        <v/>
      </c>
      <c r="P31" s="197" t="str">
        <f t="shared" si="1"/>
        <v/>
      </c>
      <c r="Q31" s="154" t="str">
        <f t="shared" si="2"/>
        <v/>
      </c>
      <c r="R31" s="163" t="str">
        <f t="shared" si="3"/>
        <v/>
      </c>
      <c r="S31" s="841" t="s">
        <v>2392</v>
      </c>
    </row>
    <row r="32" spans="1:23" ht="15" x14ac:dyDescent="0.2">
      <c r="A32" s="156">
        <v>29</v>
      </c>
      <c r="B32" s="196" t="str">
        <f>IF(F28="","",F28)</f>
        <v/>
      </c>
      <c r="C32" s="145" t="str">
        <f>IF(B32="",B32,VLOOKUP(B32,'Списки участников'!A:O,12,FALSE))</f>
        <v/>
      </c>
      <c r="D32" s="196" t="str">
        <f>IF(F29="","",F29)</f>
        <v/>
      </c>
      <c r="E32" s="145" t="str">
        <f>IF(D32="",D32,VLOOKUP(D32,'Списки участников'!A:O,12,FALSE))</f>
        <v/>
      </c>
      <c r="F32" s="157"/>
      <c r="G32" s="145" t="str">
        <f>IF(F32="","",VLOOKUP(F32,'Списки участников'!A:O,12,FALSE))</f>
        <v/>
      </c>
      <c r="H32" s="165"/>
      <c r="I32" s="165"/>
      <c r="J32" s="165"/>
      <c r="K32" s="165"/>
      <c r="L32" s="165"/>
      <c r="M32" s="165"/>
      <c r="N32" s="165"/>
      <c r="O32" s="152" t="str">
        <f t="shared" si="0"/>
        <v/>
      </c>
      <c r="P32" s="197" t="str">
        <f t="shared" si="1"/>
        <v/>
      </c>
      <c r="Q32" s="154" t="str">
        <f t="shared" si="2"/>
        <v/>
      </c>
      <c r="R32" s="163" t="str">
        <f t="shared" si="3"/>
        <v/>
      </c>
      <c r="S32" s="841" t="s">
        <v>2391</v>
      </c>
    </row>
    <row r="33" spans="1:19" ht="15" x14ac:dyDescent="0.2">
      <c r="A33" s="156">
        <v>30</v>
      </c>
      <c r="B33" s="196" t="str">
        <f>IF(F30="","",F30)</f>
        <v/>
      </c>
      <c r="C33" s="145" t="str">
        <f>IF(B33="",B33,VLOOKUP(B33,'Списки участников'!A:O,12,FALSE))</f>
        <v/>
      </c>
      <c r="D33" s="196" t="str">
        <f>IF(F31="","",F31)</f>
        <v/>
      </c>
      <c r="E33" s="145" t="str">
        <f>IF(D33="",D33,VLOOKUP(D33,'Списки участников'!A:O,12,FALSE))</f>
        <v/>
      </c>
      <c r="F33" s="157"/>
      <c r="G33" s="145" t="str">
        <f>IF(F33="","",VLOOKUP(F33,'Списки участников'!A:O,12,FALSE))</f>
        <v/>
      </c>
      <c r="H33" s="165"/>
      <c r="I33" s="165"/>
      <c r="J33" s="165"/>
      <c r="K33" s="165"/>
      <c r="L33" s="165"/>
      <c r="M33" s="165"/>
      <c r="N33" s="165"/>
      <c r="O33" s="152" t="str">
        <f t="shared" si="0"/>
        <v/>
      </c>
      <c r="P33" s="197" t="str">
        <f t="shared" si="1"/>
        <v/>
      </c>
      <c r="Q33" s="154" t="str">
        <f t="shared" si="2"/>
        <v/>
      </c>
      <c r="R33" s="163" t="str">
        <f t="shared" si="3"/>
        <v/>
      </c>
      <c r="S33" s="841" t="s">
        <v>2391</v>
      </c>
    </row>
    <row r="34" spans="1:19" ht="15" x14ac:dyDescent="0.2">
      <c r="A34" s="156">
        <v>31</v>
      </c>
      <c r="B34" s="196" t="str">
        <f>IF(F32="","",F32)</f>
        <v/>
      </c>
      <c r="C34" s="145" t="str">
        <f>IF(B34="",B34,VLOOKUP(B34,'Списки участников'!A:O,12,FALSE))</f>
        <v/>
      </c>
      <c r="D34" s="196" t="str">
        <f>IF(F33="","",F33)</f>
        <v/>
      </c>
      <c r="E34" s="145" t="str">
        <f>IF(D34="",D34,VLOOKUP(D34,'Списки участников'!A:O,12,FALSE))</f>
        <v/>
      </c>
      <c r="F34" s="157"/>
      <c r="G34" s="145" t="str">
        <f>IF(F34="","",VLOOKUP(F34,'Списки участников'!A:O,12,FALSE))</f>
        <v/>
      </c>
      <c r="H34" s="165"/>
      <c r="I34" s="165"/>
      <c r="J34" s="165"/>
      <c r="K34" s="165"/>
      <c r="L34" s="165"/>
      <c r="M34" s="165"/>
      <c r="N34" s="165"/>
      <c r="O34" s="152" t="str">
        <f t="shared" si="0"/>
        <v/>
      </c>
      <c r="P34" s="197" t="str">
        <f t="shared" si="1"/>
        <v/>
      </c>
      <c r="Q34" s="154" t="str">
        <f t="shared" si="2"/>
        <v/>
      </c>
      <c r="R34" s="163" t="str">
        <f t="shared" si="3"/>
        <v/>
      </c>
      <c r="S34" s="841" t="s">
        <v>2390</v>
      </c>
    </row>
    <row r="35" spans="1:19" ht="15" x14ac:dyDescent="0.2">
      <c r="A35" s="156">
        <v>32</v>
      </c>
      <c r="B35" s="157" t="str">
        <f>IF(F4="","",IF(F4=D4,B4,IF(F4=B4,D4)))</f>
        <v/>
      </c>
      <c r="C35" s="145" t="str">
        <f>IF(B35="",B35,VLOOKUP(B35,'Списки участников'!A:O,12,FALSE))</f>
        <v/>
      </c>
      <c r="D35" s="157" t="str">
        <f>IF(F5="","",IF(F5=B5,D5,IF(F5=D5,B5)))</f>
        <v/>
      </c>
      <c r="E35" s="145" t="str">
        <f>IF(D35="",D35,VLOOKUP(D35,'Списки участников'!A:O,12,FALSE))</f>
        <v/>
      </c>
      <c r="F35" s="157"/>
      <c r="G35" s="145" t="str">
        <f>IF(F35="","",VLOOKUP(F35,'Списки участников'!A:O,12,FALSE))</f>
        <v/>
      </c>
      <c r="H35" s="165"/>
      <c r="I35" s="165"/>
      <c r="J35" s="165"/>
      <c r="K35" s="165"/>
      <c r="L35" s="165"/>
      <c r="M35" s="165"/>
      <c r="N35" s="165"/>
      <c r="O35" s="152" t="str">
        <f t="shared" si="0"/>
        <v/>
      </c>
      <c r="P35" s="197" t="str">
        <f t="shared" si="1"/>
        <v/>
      </c>
      <c r="Q35" s="154" t="str">
        <f t="shared" si="2"/>
        <v/>
      </c>
      <c r="R35" s="163"/>
      <c r="S35" s="841"/>
    </row>
    <row r="36" spans="1:19" ht="15" x14ac:dyDescent="0.2">
      <c r="A36" s="156">
        <v>33</v>
      </c>
      <c r="B36" s="157" t="str">
        <f>IF(F6="","",IF(F6=D6,B6,IF(F6=B6,D6)))</f>
        <v/>
      </c>
      <c r="C36" s="145" t="str">
        <f>IF(B36="",B36,VLOOKUP(B36,'Списки участников'!A:O,12,FALSE))</f>
        <v/>
      </c>
      <c r="D36" s="157" t="str">
        <f>IF(F7="","",IF(F7=B7,D7,IF(F7=D7,B7)))</f>
        <v/>
      </c>
      <c r="E36" s="145" t="str">
        <f>IF(D36="",D36,VLOOKUP(D36,'Списки участников'!A:O,12,FALSE))</f>
        <v/>
      </c>
      <c r="F36" s="157"/>
      <c r="G36" s="145" t="str">
        <f>IF(F36="","",VLOOKUP(F36,'Списки участников'!A:O,12,FALSE))</f>
        <v/>
      </c>
      <c r="H36" s="165"/>
      <c r="I36" s="165"/>
      <c r="J36" s="165"/>
      <c r="K36" s="165"/>
      <c r="L36" s="165"/>
      <c r="M36" s="165"/>
      <c r="N36" s="165"/>
      <c r="O36" s="152" t="str">
        <f t="shared" si="0"/>
        <v/>
      </c>
      <c r="P36" s="197" t="str">
        <f t="shared" si="1"/>
        <v/>
      </c>
      <c r="Q36" s="154" t="str">
        <f t="shared" si="2"/>
        <v/>
      </c>
      <c r="R36" s="163"/>
      <c r="S36" s="841"/>
    </row>
    <row r="37" spans="1:19" ht="15" x14ac:dyDescent="0.2">
      <c r="A37" s="156">
        <v>34</v>
      </c>
      <c r="B37" s="157" t="str">
        <f>IF(F8="","",IF(F8=D8,B8,IF(F8=B8,D8)))</f>
        <v/>
      </c>
      <c r="C37" s="145" t="str">
        <f>IF(B37="",B37,VLOOKUP(B37,'Списки участников'!A:O,12,FALSE))</f>
        <v/>
      </c>
      <c r="D37" s="157" t="str">
        <f>IF(F9="","",IF(F9=B9,D9,IF(F9=D9,B9)))</f>
        <v/>
      </c>
      <c r="E37" s="145" t="str">
        <f>IF(D37="",D37,VLOOKUP(D37,'Списки участников'!A:O,12,FALSE))</f>
        <v/>
      </c>
      <c r="F37" s="157"/>
      <c r="G37" s="145" t="str">
        <f>IF(F37="","",VLOOKUP(F37,'Списки участников'!A:O,12,FALSE))</f>
        <v/>
      </c>
      <c r="H37" s="165"/>
      <c r="I37" s="165"/>
      <c r="J37" s="165"/>
      <c r="K37" s="165"/>
      <c r="L37" s="165"/>
      <c r="M37" s="165"/>
      <c r="N37" s="165"/>
      <c r="O37" s="152" t="str">
        <f t="shared" si="0"/>
        <v/>
      </c>
      <c r="P37" s="197" t="str">
        <f t="shared" si="1"/>
        <v/>
      </c>
      <c r="Q37" s="154" t="str">
        <f t="shared" si="2"/>
        <v/>
      </c>
      <c r="R37" s="163"/>
      <c r="S37" s="841"/>
    </row>
    <row r="38" spans="1:19" ht="15" x14ac:dyDescent="0.2">
      <c r="A38" s="156">
        <v>35</v>
      </c>
      <c r="B38" s="157" t="str">
        <f>IF(F10="","",IF(F10=D10,B10,IF(F10=B10,D10)))</f>
        <v/>
      </c>
      <c r="C38" s="145" t="str">
        <f>IF(B38="",B38,VLOOKUP(B38,'Списки участников'!A:O,12,FALSE))</f>
        <v/>
      </c>
      <c r="D38" s="157" t="str">
        <f>IF(F11="","",IF(F11=B11,D11,IF(F11=D11,B11)))</f>
        <v/>
      </c>
      <c r="E38" s="145" t="str">
        <f>IF(D38="",D38,VLOOKUP(D38,'Списки участников'!A:O,12,FALSE))</f>
        <v/>
      </c>
      <c r="F38" s="157"/>
      <c r="G38" s="145" t="str">
        <f>IF(F38="","",VLOOKUP(F38,'Списки участников'!A:O,12,FALSE))</f>
        <v/>
      </c>
      <c r="H38" s="165"/>
      <c r="I38" s="165"/>
      <c r="J38" s="165"/>
      <c r="K38" s="165"/>
      <c r="L38" s="165"/>
      <c r="M38" s="165"/>
      <c r="N38" s="165"/>
      <c r="O38" s="152" t="str">
        <f t="shared" si="0"/>
        <v/>
      </c>
      <c r="P38" s="197" t="str">
        <f t="shared" si="1"/>
        <v/>
      </c>
      <c r="Q38" s="154" t="str">
        <f t="shared" si="2"/>
        <v/>
      </c>
      <c r="R38" s="163"/>
      <c r="S38" s="841"/>
    </row>
    <row r="39" spans="1:19" ht="15" x14ac:dyDescent="0.2">
      <c r="A39" s="156">
        <v>36</v>
      </c>
      <c r="B39" s="157" t="str">
        <f>IF(F12="","",IF(F12=D12,B12,IF(F12=B12,D12)))</f>
        <v/>
      </c>
      <c r="C39" s="145" t="str">
        <f>IF(B39="",B39,VLOOKUP(B39,'Списки участников'!A:O,12,FALSE))</f>
        <v/>
      </c>
      <c r="D39" s="157" t="str">
        <f>IF(F13="","",IF(F13=B13,D13,IF(F13=D13,B13)))</f>
        <v/>
      </c>
      <c r="E39" s="145" t="str">
        <f>IF(D39="",D39,VLOOKUP(D39,'Списки участников'!A:O,12,FALSE))</f>
        <v/>
      </c>
      <c r="F39" s="157"/>
      <c r="G39" s="145" t="str">
        <f>IF(F39="","",VLOOKUP(F39,'Списки участников'!A:O,12,FALSE))</f>
        <v/>
      </c>
      <c r="H39" s="165"/>
      <c r="I39" s="165"/>
      <c r="J39" s="165"/>
      <c r="K39" s="165"/>
      <c r="L39" s="165"/>
      <c r="M39" s="165"/>
      <c r="N39" s="165"/>
      <c r="O39" s="152" t="str">
        <f t="shared" si="0"/>
        <v/>
      </c>
      <c r="P39" s="197" t="str">
        <f t="shared" si="1"/>
        <v/>
      </c>
      <c r="Q39" s="154" t="str">
        <f t="shared" si="2"/>
        <v/>
      </c>
      <c r="R39" s="163"/>
      <c r="S39" s="841"/>
    </row>
    <row r="40" spans="1:19" ht="15" x14ac:dyDescent="0.2">
      <c r="A40" s="156">
        <v>37</v>
      </c>
      <c r="B40" s="157" t="str">
        <f>IF(F14="","",IF(F14=D14,B14,IF(F14=B14,D14)))</f>
        <v/>
      </c>
      <c r="C40" s="145" t="str">
        <f>IF(B40="",B40,VLOOKUP(B40,'Списки участников'!A:O,12,FALSE))</f>
        <v/>
      </c>
      <c r="D40" s="157" t="str">
        <f>IF(F15="","",IF(F15=B15,D15,IF(F15=D15,B15)))</f>
        <v/>
      </c>
      <c r="E40" s="145" t="str">
        <f>IF(D40="",D40,VLOOKUP(D40,'Списки участников'!A:O,12,FALSE))</f>
        <v/>
      </c>
      <c r="F40" s="157"/>
      <c r="G40" s="145" t="str">
        <f>IF(F40="","",VLOOKUP(F40,'Списки участников'!A:O,12,FALSE))</f>
        <v/>
      </c>
      <c r="H40" s="165"/>
      <c r="I40" s="165"/>
      <c r="J40" s="165"/>
      <c r="K40" s="165"/>
      <c r="L40" s="165"/>
      <c r="M40" s="165"/>
      <c r="N40" s="165"/>
      <c r="O40" s="152" t="str">
        <f t="shared" si="0"/>
        <v/>
      </c>
      <c r="P40" s="197" t="str">
        <f t="shared" si="1"/>
        <v/>
      </c>
      <c r="Q40" s="154" t="str">
        <f t="shared" si="2"/>
        <v/>
      </c>
      <c r="R40" s="163"/>
      <c r="S40" s="841"/>
    </row>
    <row r="41" spans="1:19" ht="15" x14ac:dyDescent="0.2">
      <c r="A41" s="156">
        <v>38</v>
      </c>
      <c r="B41" s="157" t="str">
        <f>IF(F16="","",IF(F16=D16,B16,IF(F16=B16,D16)))</f>
        <v/>
      </c>
      <c r="C41" s="145" t="str">
        <f>IF(B41="",B41,VLOOKUP(B41,'Списки участников'!A:O,12,FALSE))</f>
        <v/>
      </c>
      <c r="D41" s="157" t="str">
        <f>IF(F17="","",IF(F17=B17,D17,IF(F17=D17,B17)))</f>
        <v/>
      </c>
      <c r="E41" s="145" t="str">
        <f>IF(D41="",D41,VLOOKUP(D41,'Списки участников'!A:O,12,FALSE))</f>
        <v/>
      </c>
      <c r="F41" s="157"/>
      <c r="G41" s="145" t="str">
        <f>IF(F41="","",VLOOKUP(F41,'Списки участников'!A:O,12,FALSE))</f>
        <v/>
      </c>
      <c r="H41" s="165"/>
      <c r="I41" s="165"/>
      <c r="J41" s="165"/>
      <c r="K41" s="165"/>
      <c r="L41" s="165"/>
      <c r="M41" s="165"/>
      <c r="N41" s="165"/>
      <c r="O41" s="152" t="str">
        <f t="shared" si="0"/>
        <v/>
      </c>
      <c r="P41" s="197" t="str">
        <f t="shared" si="1"/>
        <v/>
      </c>
      <c r="Q41" s="154" t="str">
        <f t="shared" si="2"/>
        <v/>
      </c>
      <c r="R41" s="163"/>
      <c r="S41" s="841"/>
    </row>
    <row r="42" spans="1:19" ht="15" x14ac:dyDescent="0.2">
      <c r="A42" s="156">
        <v>39</v>
      </c>
      <c r="B42" s="157" t="str">
        <f>IF(F18="","",IF(F18=D18,B18,IF(F18=B18,D18)))</f>
        <v/>
      </c>
      <c r="C42" s="145" t="str">
        <f>IF(B42="",B42,VLOOKUP(B42,'Списки участников'!A:O,12,FALSE))</f>
        <v/>
      </c>
      <c r="D42" s="157" t="str">
        <f>IF(F19="","",IF(F19=B19,D19,IF(F19=D19,B19)))</f>
        <v/>
      </c>
      <c r="E42" s="145" t="str">
        <f>IF(D42="",D42,VLOOKUP(D42,'Списки участников'!A:O,12,FALSE))</f>
        <v/>
      </c>
      <c r="F42" s="157"/>
      <c r="G42" s="145" t="str">
        <f>IF(F42="","",VLOOKUP(F42,'Списки участников'!A:O,12,FALSE))</f>
        <v/>
      </c>
      <c r="H42" s="165"/>
      <c r="I42" s="165"/>
      <c r="J42" s="165"/>
      <c r="K42" s="165"/>
      <c r="L42" s="165"/>
      <c r="M42" s="165"/>
      <c r="N42" s="165"/>
      <c r="O42" s="152" t="str">
        <f t="shared" si="0"/>
        <v/>
      </c>
      <c r="P42" s="197" t="str">
        <f t="shared" si="1"/>
        <v/>
      </c>
      <c r="Q42" s="154" t="str">
        <f t="shared" si="2"/>
        <v/>
      </c>
      <c r="R42" s="163"/>
      <c r="S42" s="841"/>
    </row>
    <row r="43" spans="1:19" ht="15" x14ac:dyDescent="0.2">
      <c r="A43" s="156">
        <v>40</v>
      </c>
      <c r="B43" s="196">
        <f>F35</f>
        <v>0</v>
      </c>
      <c r="C43" s="145" t="e">
        <f>IF(B43="",B43,VLOOKUP(B43,'Списки участников'!A:O,12,FALSE))</f>
        <v>#N/A</v>
      </c>
      <c r="D43" s="157" t="str">
        <f>IF(F27="","",IF(F27=B27,D27,IF(F27=D27,B27)))</f>
        <v/>
      </c>
      <c r="E43" s="145" t="str">
        <f>IF(D43="",D43,VLOOKUP(D43,'Списки участников'!A:O,12,FALSE))</f>
        <v/>
      </c>
      <c r="F43" s="157"/>
      <c r="G43" s="145" t="str">
        <f>IF(F43="","",VLOOKUP(F43,'Списки участников'!A:O,12,FALSE))</f>
        <v/>
      </c>
      <c r="H43" s="165"/>
      <c r="I43" s="165"/>
      <c r="J43" s="165"/>
      <c r="K43" s="165"/>
      <c r="L43" s="165"/>
      <c r="M43" s="165"/>
      <c r="N43" s="165"/>
      <c r="O43" s="152" t="str">
        <f t="shared" si="0"/>
        <v/>
      </c>
      <c r="P43" s="197" t="str">
        <f t="shared" si="1"/>
        <v/>
      </c>
      <c r="Q43" s="154" t="str">
        <f t="shared" si="2"/>
        <v/>
      </c>
      <c r="R43" s="163" t="str">
        <f t="shared" si="3"/>
        <v/>
      </c>
      <c r="S43" s="841"/>
    </row>
    <row r="44" spans="1:19" ht="15" x14ac:dyDescent="0.2">
      <c r="A44" s="156">
        <v>41</v>
      </c>
      <c r="B44" s="196">
        <f t="shared" ref="B44:B50" si="5">F36</f>
        <v>0</v>
      </c>
      <c r="C44" s="145" t="e">
        <f>IF(B44="",B44,VLOOKUP(B44,'Списки участников'!A:O,12,FALSE))</f>
        <v>#N/A</v>
      </c>
      <c r="D44" s="157" t="str">
        <f>IF(F26="","",IF(F26=B26,D26,IF(F26=D26,B26)))</f>
        <v/>
      </c>
      <c r="E44" s="145" t="str">
        <f>IF(D44="",D44,VLOOKUP(D44,'Списки участников'!A:O,12,FALSE))</f>
        <v/>
      </c>
      <c r="F44" s="157"/>
      <c r="G44" s="145" t="str">
        <f>IF(F44="","",VLOOKUP(F44,'Списки участников'!A:O,12,FALSE))</f>
        <v/>
      </c>
      <c r="H44" s="165"/>
      <c r="I44" s="165"/>
      <c r="J44" s="165"/>
      <c r="K44" s="165"/>
      <c r="L44" s="165"/>
      <c r="M44" s="165"/>
      <c r="N44" s="165"/>
      <c r="O44" s="152" t="str">
        <f t="shared" si="0"/>
        <v/>
      </c>
      <c r="P44" s="197" t="str">
        <f t="shared" si="1"/>
        <v/>
      </c>
      <c r="Q44" s="154" t="str">
        <f t="shared" si="2"/>
        <v/>
      </c>
      <c r="R44" s="163"/>
      <c r="S44" s="841"/>
    </row>
    <row r="45" spans="1:19" ht="15" x14ac:dyDescent="0.2">
      <c r="A45" s="156">
        <v>42</v>
      </c>
      <c r="B45" s="196">
        <f t="shared" si="5"/>
        <v>0</v>
      </c>
      <c r="C45" s="145" t="e">
        <f>IF(B45="",B45,VLOOKUP(B45,'Списки участников'!A:O,12,FALSE))</f>
        <v>#N/A</v>
      </c>
      <c r="D45" s="157" t="str">
        <f>IF(F25="","",IF(F25=B25,D25,IF(F25=D25,B25)))</f>
        <v/>
      </c>
      <c r="E45" s="145" t="str">
        <f>IF(D45="",D45,VLOOKUP(D45,'Списки участников'!A:O,12,FALSE))</f>
        <v/>
      </c>
      <c r="F45" s="157"/>
      <c r="G45" s="145" t="str">
        <f>IF(F45="","",VLOOKUP(F45,'Списки участников'!A:O,12,FALSE))</f>
        <v/>
      </c>
      <c r="H45" s="165"/>
      <c r="I45" s="165"/>
      <c r="J45" s="165"/>
      <c r="K45" s="165"/>
      <c r="L45" s="165"/>
      <c r="M45" s="165"/>
      <c r="N45" s="165"/>
      <c r="O45" s="152" t="str">
        <f t="shared" si="0"/>
        <v/>
      </c>
      <c r="P45" s="197" t="str">
        <f t="shared" si="1"/>
        <v/>
      </c>
      <c r="Q45" s="154" t="str">
        <f t="shared" si="2"/>
        <v/>
      </c>
      <c r="R45" s="163" t="str">
        <f t="shared" si="3"/>
        <v/>
      </c>
      <c r="S45" s="841"/>
    </row>
    <row r="46" spans="1:19" ht="15" x14ac:dyDescent="0.2">
      <c r="A46" s="156">
        <v>43</v>
      </c>
      <c r="B46" s="196">
        <f t="shared" si="5"/>
        <v>0</v>
      </c>
      <c r="C46" s="145" t="e">
        <f>IF(B46="",B46,VLOOKUP(B46,'Списки участников'!A:O,12,FALSE))</f>
        <v>#N/A</v>
      </c>
      <c r="D46" s="157" t="str">
        <f>IF(F24="","",IF(F24=B24,D24,IF(F24=D24,B24)))</f>
        <v/>
      </c>
      <c r="E46" s="145" t="str">
        <f>IF(D46="",D46,VLOOKUP(D46,'Списки участников'!A:O,12,FALSE))</f>
        <v/>
      </c>
      <c r="F46" s="157"/>
      <c r="G46" s="145" t="str">
        <f>IF(F46="","",VLOOKUP(F46,'Списки участников'!A:O,12,FALSE))</f>
        <v/>
      </c>
      <c r="H46" s="165"/>
      <c r="I46" s="165"/>
      <c r="J46" s="165"/>
      <c r="K46" s="165"/>
      <c r="L46" s="165"/>
      <c r="M46" s="165"/>
      <c r="N46" s="165"/>
      <c r="O46" s="152" t="str">
        <f t="shared" si="0"/>
        <v/>
      </c>
      <c r="P46" s="197" t="str">
        <f t="shared" si="1"/>
        <v/>
      </c>
      <c r="Q46" s="154" t="str">
        <f t="shared" si="2"/>
        <v/>
      </c>
      <c r="R46" s="163"/>
      <c r="S46" s="841"/>
    </row>
    <row r="47" spans="1:19" ht="15" x14ac:dyDescent="0.2">
      <c r="A47" s="156">
        <v>44</v>
      </c>
      <c r="B47" s="196">
        <f t="shared" si="5"/>
        <v>0</v>
      </c>
      <c r="C47" s="145" t="e">
        <f>IF(B47="",B47,VLOOKUP(B47,'Списки участников'!A:O,12,FALSE))</f>
        <v>#N/A</v>
      </c>
      <c r="D47" s="157" t="str">
        <f>IF(F23="","",IF(F23=B23,D23,IF(F23=D23,B23)))</f>
        <v/>
      </c>
      <c r="E47" s="145" t="str">
        <f>IF(D47="",D47,VLOOKUP(D47,'Списки участников'!A:O,12,FALSE))</f>
        <v/>
      </c>
      <c r="F47" s="157"/>
      <c r="G47" s="145" t="str">
        <f>IF(F47="","",VLOOKUP(F47,'Списки участников'!A:O,12,FALSE))</f>
        <v/>
      </c>
      <c r="H47" s="165"/>
      <c r="I47" s="165"/>
      <c r="J47" s="165"/>
      <c r="K47" s="165"/>
      <c r="L47" s="165"/>
      <c r="M47" s="165"/>
      <c r="N47" s="165"/>
      <c r="O47" s="152" t="str">
        <f t="shared" si="0"/>
        <v/>
      </c>
      <c r="P47" s="197" t="str">
        <f t="shared" si="1"/>
        <v/>
      </c>
      <c r="Q47" s="154" t="str">
        <f t="shared" si="2"/>
        <v/>
      </c>
      <c r="R47" s="163"/>
      <c r="S47" s="841"/>
    </row>
    <row r="48" spans="1:19" ht="15" x14ac:dyDescent="0.2">
      <c r="A48" s="156">
        <v>45</v>
      </c>
      <c r="B48" s="196">
        <f t="shared" si="5"/>
        <v>0</v>
      </c>
      <c r="C48" s="145" t="e">
        <f>IF(B48="",B48,VLOOKUP(B48,'Списки участников'!A:O,12,FALSE))</f>
        <v>#N/A</v>
      </c>
      <c r="D48" s="157" t="str">
        <f>IF(F22="","",IF(F22=B22,D22,IF(F22=D22,B22)))</f>
        <v/>
      </c>
      <c r="E48" s="145" t="str">
        <f>IF(D48="",D48,VLOOKUP(D48,'Списки участников'!A:O,12,FALSE))</f>
        <v/>
      </c>
      <c r="F48" s="157"/>
      <c r="G48" s="145" t="str">
        <f>IF(F48="","",VLOOKUP(F48,'Списки участников'!A:O,12,FALSE))</f>
        <v/>
      </c>
      <c r="H48" s="165"/>
      <c r="I48" s="165"/>
      <c r="J48" s="165"/>
      <c r="K48" s="165"/>
      <c r="L48" s="165"/>
      <c r="M48" s="165"/>
      <c r="N48" s="165"/>
      <c r="O48" s="152" t="str">
        <f t="shared" si="0"/>
        <v/>
      </c>
      <c r="P48" s="197" t="str">
        <f t="shared" si="1"/>
        <v/>
      </c>
      <c r="Q48" s="154" t="str">
        <f t="shared" si="2"/>
        <v/>
      </c>
      <c r="R48" s="163"/>
      <c r="S48" s="841"/>
    </row>
    <row r="49" spans="1:19" ht="15" x14ac:dyDescent="0.2">
      <c r="A49" s="156">
        <v>46</v>
      </c>
      <c r="B49" s="196">
        <f t="shared" si="5"/>
        <v>0</v>
      </c>
      <c r="C49" s="145" t="e">
        <f>IF(B49="",B49,VLOOKUP(B49,'Списки участников'!A:O,12,FALSE))</f>
        <v>#N/A</v>
      </c>
      <c r="D49" s="157" t="str">
        <f>IF(F21="","",IF(F21=B21,D21,IF(F21=D21,B21)))</f>
        <v/>
      </c>
      <c r="E49" s="145" t="str">
        <f>IF(D49="",D49,VLOOKUP(D49,'Списки участников'!A:O,12,FALSE))</f>
        <v/>
      </c>
      <c r="F49" s="157"/>
      <c r="G49" s="145" t="str">
        <f>IF(F49="","",VLOOKUP(F49,'Списки участников'!A:O,12,FALSE))</f>
        <v/>
      </c>
      <c r="H49" s="165"/>
      <c r="I49" s="165"/>
      <c r="J49" s="165"/>
      <c r="K49" s="165"/>
      <c r="L49" s="165"/>
      <c r="M49" s="165"/>
      <c r="N49" s="165"/>
      <c r="O49" s="152" t="str">
        <f t="shared" si="0"/>
        <v/>
      </c>
      <c r="P49" s="197" t="str">
        <f t="shared" si="1"/>
        <v/>
      </c>
      <c r="Q49" s="154" t="str">
        <f t="shared" si="2"/>
        <v/>
      </c>
      <c r="R49" s="163" t="str">
        <f t="shared" si="3"/>
        <v/>
      </c>
      <c r="S49" s="841"/>
    </row>
    <row r="50" spans="1:19" ht="15" x14ac:dyDescent="0.2">
      <c r="A50" s="156">
        <v>47</v>
      </c>
      <c r="B50" s="196">
        <f t="shared" si="5"/>
        <v>0</v>
      </c>
      <c r="C50" s="145" t="e">
        <f>IF(B50="",B50,VLOOKUP(B50,'Списки участников'!A:O,12,FALSE))</f>
        <v>#N/A</v>
      </c>
      <c r="D50" s="157" t="str">
        <f>IF(F20="","",IF(F20=B20,D20,IF(F20=D20,B20)))</f>
        <v/>
      </c>
      <c r="E50" s="145" t="str">
        <f>IF(D50="",D50,VLOOKUP(D50,'Списки участников'!A:O,12,FALSE))</f>
        <v/>
      </c>
      <c r="F50" s="157"/>
      <c r="G50" s="145" t="str">
        <f>IF(F50="","",VLOOKUP(F50,'Списки участников'!A:O,12,FALSE))</f>
        <v/>
      </c>
      <c r="H50" s="165"/>
      <c r="I50" s="165"/>
      <c r="J50" s="165"/>
      <c r="K50" s="165"/>
      <c r="L50" s="165"/>
      <c r="M50" s="165"/>
      <c r="N50" s="165"/>
      <c r="O50" s="152" t="str">
        <f t="shared" si="0"/>
        <v/>
      </c>
      <c r="P50" s="197" t="str">
        <f t="shared" si="1"/>
        <v/>
      </c>
      <c r="Q50" s="154" t="str">
        <f t="shared" si="2"/>
        <v/>
      </c>
      <c r="R50" s="163" t="str">
        <f t="shared" si="3"/>
        <v/>
      </c>
      <c r="S50" s="841"/>
    </row>
    <row r="51" spans="1:19" ht="15" x14ac:dyDescent="0.2">
      <c r="A51" s="156">
        <v>48</v>
      </c>
      <c r="B51" s="196">
        <f>F43</f>
        <v>0</v>
      </c>
      <c r="C51" s="145" t="e">
        <f>IF(B51="",B51,VLOOKUP(B51,'Списки участников'!A:O,12,FALSE))</f>
        <v>#N/A</v>
      </c>
      <c r="D51" s="196">
        <f>F44</f>
        <v>0</v>
      </c>
      <c r="E51" s="145" t="e">
        <f>IF(D51="",D51,VLOOKUP(D51,'Списки участников'!A:O,12,FALSE))</f>
        <v>#N/A</v>
      </c>
      <c r="F51" s="157"/>
      <c r="G51" s="145" t="str">
        <f>IF(F51="","",VLOOKUP(F51,'Списки участников'!A:O,12,FALSE))</f>
        <v/>
      </c>
      <c r="H51" s="165"/>
      <c r="I51" s="165"/>
      <c r="J51" s="165"/>
      <c r="K51" s="165"/>
      <c r="L51" s="165"/>
      <c r="M51" s="165"/>
      <c r="N51" s="165"/>
      <c r="O51" s="152" t="str">
        <f t="shared" si="0"/>
        <v/>
      </c>
      <c r="P51" s="197" t="str">
        <f t="shared" si="1"/>
        <v/>
      </c>
      <c r="Q51" s="154" t="str">
        <f t="shared" si="2"/>
        <v/>
      </c>
      <c r="R51" s="163" t="str">
        <f t="shared" si="3"/>
        <v/>
      </c>
      <c r="S51" s="841"/>
    </row>
    <row r="52" spans="1:19" ht="15" x14ac:dyDescent="0.2">
      <c r="A52" s="156">
        <v>49</v>
      </c>
      <c r="B52" s="196">
        <f>F45</f>
        <v>0</v>
      </c>
      <c r="C52" s="145" t="e">
        <f>IF(B52="",B52,VLOOKUP(B52,'Списки участников'!A:O,12,FALSE))</f>
        <v>#N/A</v>
      </c>
      <c r="D52" s="196">
        <f>F46</f>
        <v>0</v>
      </c>
      <c r="E52" s="145" t="e">
        <f>IF(D52="",D52,VLOOKUP(D52,'Списки участников'!A:O,12,FALSE))</f>
        <v>#N/A</v>
      </c>
      <c r="F52" s="157"/>
      <c r="G52" s="145" t="str">
        <f>IF(F52="","",VLOOKUP(F52,'Списки участников'!A:O,12,FALSE))</f>
        <v/>
      </c>
      <c r="H52" s="165"/>
      <c r="I52" s="165"/>
      <c r="J52" s="165"/>
      <c r="K52" s="165"/>
      <c r="L52" s="165"/>
      <c r="M52" s="165"/>
      <c r="N52" s="165"/>
      <c r="O52" s="152" t="str">
        <f t="shared" si="0"/>
        <v/>
      </c>
      <c r="P52" s="197" t="str">
        <f t="shared" si="1"/>
        <v/>
      </c>
      <c r="Q52" s="154" t="str">
        <f t="shared" si="2"/>
        <v/>
      </c>
      <c r="R52" s="163" t="str">
        <f t="shared" si="3"/>
        <v/>
      </c>
      <c r="S52" s="841"/>
    </row>
    <row r="53" spans="1:19" ht="15" x14ac:dyDescent="0.2">
      <c r="A53" s="156">
        <v>50</v>
      </c>
      <c r="B53" s="196">
        <f>F47</f>
        <v>0</v>
      </c>
      <c r="C53" s="145" t="e">
        <f>IF(B53="",B53,VLOOKUP(B53,'Списки участников'!A:O,12,FALSE))</f>
        <v>#N/A</v>
      </c>
      <c r="D53" s="196">
        <f>F48</f>
        <v>0</v>
      </c>
      <c r="E53" s="145" t="e">
        <f>IF(D53="",D53,VLOOKUP(D53,'Списки участников'!A:O,12,FALSE))</f>
        <v>#N/A</v>
      </c>
      <c r="F53" s="157"/>
      <c r="G53" s="145" t="str">
        <f>IF(F53="","",VLOOKUP(F53,'Списки участников'!A:O,12,FALSE))</f>
        <v/>
      </c>
      <c r="H53" s="165"/>
      <c r="I53" s="165"/>
      <c r="J53" s="165"/>
      <c r="K53" s="165"/>
      <c r="L53" s="165"/>
      <c r="M53" s="165"/>
      <c r="N53" s="165"/>
      <c r="O53" s="152" t="str">
        <f t="shared" si="0"/>
        <v/>
      </c>
      <c r="P53" s="197" t="str">
        <f t="shared" si="1"/>
        <v/>
      </c>
      <c r="Q53" s="154" t="str">
        <f t="shared" si="2"/>
        <v/>
      </c>
      <c r="R53" s="163" t="str">
        <f t="shared" si="3"/>
        <v/>
      </c>
      <c r="S53" s="841"/>
    </row>
    <row r="54" spans="1:19" ht="15" x14ac:dyDescent="0.2">
      <c r="A54" s="156">
        <v>51</v>
      </c>
      <c r="B54" s="196">
        <f>F49</f>
        <v>0</v>
      </c>
      <c r="C54" s="145" t="e">
        <f>IF(B54="",B54,VLOOKUP(B54,'Списки участников'!A:O,12,FALSE))</f>
        <v>#N/A</v>
      </c>
      <c r="D54" s="196">
        <f>F50</f>
        <v>0</v>
      </c>
      <c r="E54" s="145" t="e">
        <f>IF(D54="",D54,VLOOKUP(D54,'Списки участников'!A:O,12,FALSE))</f>
        <v>#N/A</v>
      </c>
      <c r="F54" s="157"/>
      <c r="G54" s="145" t="str">
        <f>IF(F54="","",VLOOKUP(F54,'Списки участников'!A:O,12,FALSE))</f>
        <v/>
      </c>
      <c r="H54" s="165"/>
      <c r="I54" s="165"/>
      <c r="J54" s="165"/>
      <c r="K54" s="165"/>
      <c r="L54" s="165"/>
      <c r="M54" s="165"/>
      <c r="N54" s="165"/>
      <c r="O54" s="152" t="str">
        <f t="shared" si="0"/>
        <v/>
      </c>
      <c r="P54" s="197" t="str">
        <f t="shared" si="1"/>
        <v/>
      </c>
      <c r="Q54" s="154" t="str">
        <f t="shared" si="2"/>
        <v/>
      </c>
      <c r="R54" s="163" t="str">
        <f t="shared" si="3"/>
        <v/>
      </c>
      <c r="S54" s="841"/>
    </row>
    <row r="55" spans="1:19" ht="15" x14ac:dyDescent="0.2">
      <c r="A55" s="156">
        <v>52</v>
      </c>
      <c r="B55" s="196">
        <f>F51</f>
        <v>0</v>
      </c>
      <c r="C55" s="145" t="e">
        <f>IF(B55="",B55,VLOOKUP(B55,'Списки участников'!A:O,12,FALSE))</f>
        <v>#N/A</v>
      </c>
      <c r="D55" s="157" t="str">
        <f>IF(F29="","",IF(F29=B29,D29,IF(F29=D29,B29)))</f>
        <v/>
      </c>
      <c r="E55" s="145" t="str">
        <f>IF(D55="",D55,VLOOKUP(D55,'Списки участников'!A:O,12,FALSE))</f>
        <v/>
      </c>
      <c r="F55" s="157"/>
      <c r="G55" s="145" t="str">
        <f>IF(F55="","",VLOOKUP(F55,'Списки участников'!A:O,12,FALSE))</f>
        <v/>
      </c>
      <c r="H55" s="165"/>
      <c r="I55" s="165"/>
      <c r="J55" s="165"/>
      <c r="K55" s="165"/>
      <c r="L55" s="165"/>
      <c r="M55" s="165"/>
      <c r="N55" s="165"/>
      <c r="O55" s="152" t="str">
        <f t="shared" si="0"/>
        <v/>
      </c>
      <c r="P55" s="197" t="str">
        <f t="shared" si="1"/>
        <v/>
      </c>
      <c r="Q55" s="154" t="str">
        <f t="shared" si="2"/>
        <v/>
      </c>
      <c r="R55" s="163" t="str">
        <f t="shared" si="3"/>
        <v/>
      </c>
      <c r="S55" s="841"/>
    </row>
    <row r="56" spans="1:19" ht="15" x14ac:dyDescent="0.2">
      <c r="A56" s="156">
        <v>53</v>
      </c>
      <c r="B56" s="196">
        <f>F52</f>
        <v>0</v>
      </c>
      <c r="C56" s="145" t="e">
        <f>IF(B56="",B56,VLOOKUP(B56,'Списки участников'!A:O,12,FALSE))</f>
        <v>#N/A</v>
      </c>
      <c r="D56" s="157" t="str">
        <f>IF(F28="","",IF(F28=B28,D28,IF(F28=D28,B28)))</f>
        <v/>
      </c>
      <c r="E56" s="145" t="str">
        <f>IF(D56="",D56,VLOOKUP(D56,'Списки участников'!A:O,12,FALSE))</f>
        <v/>
      </c>
      <c r="F56" s="157"/>
      <c r="G56" s="145" t="str">
        <f>IF(F56="","",VLOOKUP(F56,'Списки участников'!A:O,12,FALSE))</f>
        <v/>
      </c>
      <c r="H56" s="165"/>
      <c r="I56" s="165"/>
      <c r="J56" s="165"/>
      <c r="K56" s="165"/>
      <c r="L56" s="165"/>
      <c r="M56" s="165"/>
      <c r="N56" s="165"/>
      <c r="O56" s="152" t="str">
        <f t="shared" si="0"/>
        <v/>
      </c>
      <c r="P56" s="197" t="str">
        <f t="shared" si="1"/>
        <v/>
      </c>
      <c r="Q56" s="154" t="str">
        <f t="shared" si="2"/>
        <v/>
      </c>
      <c r="R56" s="163" t="str">
        <f t="shared" si="3"/>
        <v/>
      </c>
      <c r="S56" s="841"/>
    </row>
    <row r="57" spans="1:19" ht="15" x14ac:dyDescent="0.2">
      <c r="A57" s="156">
        <v>54</v>
      </c>
      <c r="B57" s="196">
        <f>F53</f>
        <v>0</v>
      </c>
      <c r="C57" s="145" t="e">
        <f>IF(B57="",B57,VLOOKUP(B57,'Списки участников'!A:O,12,FALSE))</f>
        <v>#N/A</v>
      </c>
      <c r="D57" s="157" t="str">
        <f>IF(F31="","",IF(F31=B31,D31,IF(F31=D31,B31)))</f>
        <v/>
      </c>
      <c r="E57" s="145" t="str">
        <f>IF(D57="",D57,VLOOKUP(D57,'Списки участников'!A:O,12,FALSE))</f>
        <v/>
      </c>
      <c r="F57" s="157"/>
      <c r="G57" s="145" t="str">
        <f>IF(F57="","",VLOOKUP(F57,'Списки участников'!A:O,12,FALSE))</f>
        <v/>
      </c>
      <c r="H57" s="165"/>
      <c r="I57" s="165"/>
      <c r="J57" s="165"/>
      <c r="K57" s="165"/>
      <c r="L57" s="165"/>
      <c r="M57" s="165"/>
      <c r="N57" s="165"/>
      <c r="O57" s="152" t="str">
        <f t="shared" si="0"/>
        <v/>
      </c>
      <c r="P57" s="197" t="str">
        <f t="shared" si="1"/>
        <v/>
      </c>
      <c r="Q57" s="154" t="str">
        <f t="shared" si="2"/>
        <v/>
      </c>
      <c r="R57" s="163" t="str">
        <f t="shared" si="3"/>
        <v/>
      </c>
      <c r="S57" s="841"/>
    </row>
    <row r="58" spans="1:19" ht="15" x14ac:dyDescent="0.2">
      <c r="A58" s="156">
        <v>55</v>
      </c>
      <c r="B58" s="196">
        <f>F54</f>
        <v>0</v>
      </c>
      <c r="C58" s="145" t="e">
        <f>IF(B58="",B58,VLOOKUP(B58,'Списки участников'!A:O,12,FALSE))</f>
        <v>#N/A</v>
      </c>
      <c r="D58" s="157" t="str">
        <f>IF(F30="","",IF(F30=B30,D30,IF(F30=D30,B30)))</f>
        <v/>
      </c>
      <c r="E58" s="145" t="str">
        <f>IF(D58="",D58,VLOOKUP(D58,'Списки участников'!A:O,12,FALSE))</f>
        <v/>
      </c>
      <c r="F58" s="157"/>
      <c r="G58" s="145" t="str">
        <f>IF(F58="","",VLOOKUP(F58,'Списки участников'!A:O,12,FALSE))</f>
        <v/>
      </c>
      <c r="H58" s="165"/>
      <c r="I58" s="165"/>
      <c r="J58" s="165"/>
      <c r="K58" s="165"/>
      <c r="L58" s="165"/>
      <c r="M58" s="165"/>
      <c r="N58" s="165"/>
      <c r="O58" s="152" t="str">
        <f t="shared" si="0"/>
        <v/>
      </c>
      <c r="P58" s="197" t="str">
        <f t="shared" si="1"/>
        <v/>
      </c>
      <c r="Q58" s="154" t="str">
        <f t="shared" si="2"/>
        <v/>
      </c>
      <c r="R58" s="163" t="str">
        <f t="shared" si="3"/>
        <v/>
      </c>
      <c r="S58" s="841"/>
    </row>
    <row r="59" spans="1:19" ht="15" x14ac:dyDescent="0.2">
      <c r="A59" s="156">
        <v>56</v>
      </c>
      <c r="B59" s="196">
        <f>F55</f>
        <v>0</v>
      </c>
      <c r="C59" s="145" t="e">
        <f>IF(B59="",B59,VLOOKUP(B59,'Списки участников'!A:O,12,FALSE))</f>
        <v>#N/A</v>
      </c>
      <c r="D59" s="196">
        <f>F56</f>
        <v>0</v>
      </c>
      <c r="E59" s="145" t="e">
        <f>IF(D59="",D59,VLOOKUP(D59,'Списки участников'!A:O,12,FALSE))</f>
        <v>#N/A</v>
      </c>
      <c r="F59" s="157"/>
      <c r="G59" s="145" t="str">
        <f>IF(F59="","",VLOOKUP(F59,'Списки участников'!A:O,12,FALSE))</f>
        <v/>
      </c>
      <c r="H59" s="165"/>
      <c r="I59" s="165"/>
      <c r="J59" s="165"/>
      <c r="K59" s="165"/>
      <c r="L59" s="165"/>
      <c r="M59" s="165"/>
      <c r="N59" s="165"/>
      <c r="O59" s="152" t="str">
        <f t="shared" si="0"/>
        <v/>
      </c>
      <c r="P59" s="197" t="str">
        <f t="shared" si="1"/>
        <v/>
      </c>
      <c r="Q59" s="154" t="str">
        <f t="shared" si="2"/>
        <v/>
      </c>
      <c r="R59" s="163" t="str">
        <f t="shared" si="3"/>
        <v/>
      </c>
      <c r="S59" s="841"/>
    </row>
    <row r="60" spans="1:19" ht="15" x14ac:dyDescent="0.2">
      <c r="A60" s="156">
        <v>57</v>
      </c>
      <c r="B60" s="196">
        <f>F57</f>
        <v>0</v>
      </c>
      <c r="C60" s="145" t="e">
        <f>IF(B60="",B60,VLOOKUP(B60,'Списки участников'!A:O,12,FALSE))</f>
        <v>#N/A</v>
      </c>
      <c r="D60" s="196">
        <f>F58</f>
        <v>0</v>
      </c>
      <c r="E60" s="145" t="e">
        <f>IF(D60="",D60,VLOOKUP(D60,'Списки участников'!A:O,12,FALSE))</f>
        <v>#N/A</v>
      </c>
      <c r="F60" s="157"/>
      <c r="G60" s="145" t="str">
        <f>IF(F60="","",VLOOKUP(F60,'Списки участников'!A:O,12,FALSE))</f>
        <v/>
      </c>
      <c r="H60" s="165"/>
      <c r="I60" s="165"/>
      <c r="J60" s="165"/>
      <c r="K60" s="165"/>
      <c r="L60" s="165"/>
      <c r="M60" s="165"/>
      <c r="N60" s="165"/>
      <c r="O60" s="152" t="str">
        <f t="shared" si="0"/>
        <v/>
      </c>
      <c r="P60" s="197" t="str">
        <f t="shared" si="1"/>
        <v/>
      </c>
      <c r="Q60" s="154" t="str">
        <f t="shared" si="2"/>
        <v/>
      </c>
      <c r="R60" s="163" t="str">
        <f t="shared" si="3"/>
        <v/>
      </c>
      <c r="S60" s="841"/>
    </row>
    <row r="61" spans="1:19" ht="15" x14ac:dyDescent="0.2">
      <c r="A61" s="156">
        <v>58</v>
      </c>
      <c r="B61" s="196">
        <f>F59</f>
        <v>0</v>
      </c>
      <c r="C61" s="145" t="e">
        <f>IF(B61="",B61,VLOOKUP(B61,'Списки участников'!A:O,12,FALSE))</f>
        <v>#N/A</v>
      </c>
      <c r="D61" s="157" t="str">
        <f>IF(F33="","",IF(F33=B33,D33,IF(F33=D33,B33)))</f>
        <v/>
      </c>
      <c r="E61" s="145" t="str">
        <f>IF(D61="",D61,VLOOKUP(D61,'Списки участников'!A:O,12,FALSE))</f>
        <v/>
      </c>
      <c r="F61" s="157"/>
      <c r="G61" s="145" t="str">
        <f>IF(F61="","",VLOOKUP(F61,'Списки участников'!A:O,12,FALSE))</f>
        <v/>
      </c>
      <c r="H61" s="165"/>
      <c r="I61" s="165"/>
      <c r="J61" s="165"/>
      <c r="K61" s="165"/>
      <c r="L61" s="165"/>
      <c r="M61" s="165"/>
      <c r="N61" s="165"/>
      <c r="O61" s="152" t="str">
        <f t="shared" si="0"/>
        <v/>
      </c>
      <c r="P61" s="197" t="str">
        <f t="shared" si="1"/>
        <v/>
      </c>
      <c r="Q61" s="154" t="str">
        <f t="shared" si="2"/>
        <v/>
      </c>
      <c r="R61" s="163" t="str">
        <f t="shared" si="3"/>
        <v/>
      </c>
      <c r="S61" s="841"/>
    </row>
    <row r="62" spans="1:19" ht="15" x14ac:dyDescent="0.2">
      <c r="A62" s="156">
        <v>59</v>
      </c>
      <c r="B62" s="196">
        <f>F60</f>
        <v>0</v>
      </c>
      <c r="C62" s="145" t="e">
        <f>IF(B62="",B62,VLOOKUP(B62,'Списки участников'!A:O,12,FALSE))</f>
        <v>#N/A</v>
      </c>
      <c r="D62" s="157" t="str">
        <f>IF(F32="","",IF(F32=B32,D32,IF(F32=D32,B32)))</f>
        <v/>
      </c>
      <c r="E62" s="145" t="str">
        <f>IF(D62="",D62,VLOOKUP(D62,'Списки участников'!A:O,12,FALSE))</f>
        <v/>
      </c>
      <c r="F62" s="157"/>
      <c r="G62" s="145" t="str">
        <f>IF(F62="","",VLOOKUP(F62,'Списки участников'!A:O,12,FALSE))</f>
        <v/>
      </c>
      <c r="H62" s="165"/>
      <c r="I62" s="165"/>
      <c r="J62" s="165"/>
      <c r="K62" s="165"/>
      <c r="L62" s="165"/>
      <c r="M62" s="165"/>
      <c r="N62" s="165"/>
      <c r="O62" s="152" t="str">
        <f t="shared" si="0"/>
        <v/>
      </c>
      <c r="P62" s="197" t="str">
        <f t="shared" si="1"/>
        <v/>
      </c>
      <c r="Q62" s="154" t="str">
        <f t="shared" si="2"/>
        <v/>
      </c>
      <c r="R62" s="163" t="str">
        <f t="shared" si="3"/>
        <v/>
      </c>
      <c r="S62" s="841"/>
    </row>
    <row r="63" spans="1:19" ht="15" x14ac:dyDescent="0.2">
      <c r="A63" s="156">
        <v>60</v>
      </c>
      <c r="B63" s="196">
        <f>F61</f>
        <v>0</v>
      </c>
      <c r="C63" s="145" t="e">
        <f>IF(B63="",B63,VLOOKUP(B63,'Списки участников'!A:O,12,FALSE))</f>
        <v>#N/A</v>
      </c>
      <c r="D63" s="196">
        <f>F62</f>
        <v>0</v>
      </c>
      <c r="E63" s="145" t="e">
        <f>IF(D63="",D63,VLOOKUP(D63,'Списки участников'!A:O,12,FALSE))</f>
        <v>#N/A</v>
      </c>
      <c r="F63" s="157"/>
      <c r="G63" s="145" t="str">
        <f>IF(F63="","",VLOOKUP(F63,'Списки участников'!A:O,12,FALSE))</f>
        <v/>
      </c>
      <c r="H63" s="165"/>
      <c r="I63" s="165"/>
      <c r="J63" s="165"/>
      <c r="K63" s="165"/>
      <c r="L63" s="165"/>
      <c r="M63" s="165"/>
      <c r="N63" s="165"/>
      <c r="O63" s="152" t="str">
        <f t="shared" si="0"/>
        <v/>
      </c>
      <c r="P63" s="197" t="str">
        <f t="shared" si="1"/>
        <v/>
      </c>
      <c r="Q63" s="154" t="str">
        <f t="shared" si="2"/>
        <v/>
      </c>
      <c r="R63" s="163" t="str">
        <f t="shared" si="3"/>
        <v/>
      </c>
      <c r="S63" s="841" t="s">
        <v>2410</v>
      </c>
    </row>
    <row r="64" spans="1:19" ht="15" x14ac:dyDescent="0.2">
      <c r="A64" s="156">
        <v>61</v>
      </c>
      <c r="B64" s="157" t="str">
        <f>IF(F61="","",IF(F61=B61,D61,IF(F61=D61,B61)))</f>
        <v/>
      </c>
      <c r="C64" s="145" t="str">
        <f>IF(B64="",B64,VLOOKUP(B64,'Списки участников'!A:O,12,FALSE))</f>
        <v/>
      </c>
      <c r="D64" s="157" t="str">
        <f>IF(F62="","",IF(F62=B62,D62,IF(F62=D62,B62)))</f>
        <v/>
      </c>
      <c r="E64" s="145" t="str">
        <f>IF(D64="",D64,VLOOKUP(D64,'Списки участников'!A:O,12,FALSE))</f>
        <v/>
      </c>
      <c r="F64" s="157"/>
      <c r="G64" s="145" t="str">
        <f>IF(F64="","",VLOOKUP(F64,'Списки участников'!A:O,12,FALSE))</f>
        <v/>
      </c>
      <c r="H64" s="165"/>
      <c r="I64" s="165"/>
      <c r="J64" s="165"/>
      <c r="K64" s="165"/>
      <c r="L64" s="165"/>
      <c r="M64" s="165"/>
      <c r="N64" s="165"/>
      <c r="O64" s="152" t="str">
        <f t="shared" si="0"/>
        <v/>
      </c>
      <c r="P64" s="197" t="str">
        <f t="shared" si="1"/>
        <v/>
      </c>
      <c r="Q64" s="154" t="str">
        <f t="shared" si="2"/>
        <v/>
      </c>
      <c r="R64" s="163" t="str">
        <f t="shared" si="3"/>
        <v/>
      </c>
      <c r="S64" s="841" t="s">
        <v>2411</v>
      </c>
    </row>
    <row r="65" spans="1:19" ht="15" x14ac:dyDescent="0.2">
      <c r="A65" s="156">
        <v>62</v>
      </c>
      <c r="B65" s="157" t="str">
        <f>IF(F59="","",IF(F59=B59,D59,IF(F59=D59,B59)))</f>
        <v/>
      </c>
      <c r="C65" s="145" t="str">
        <f>IF(B65="",B65,VLOOKUP(B65,'Списки участников'!A:O,12,FALSE))</f>
        <v/>
      </c>
      <c r="D65" s="157" t="str">
        <f>IF(F60="","",IF(F60=B60,D60,IF(F60=D60,B60)))</f>
        <v/>
      </c>
      <c r="E65" s="145" t="str">
        <f>IF(D65="",D65,VLOOKUP(D65,'Списки участников'!A:O,12,FALSE))</f>
        <v/>
      </c>
      <c r="F65" s="157"/>
      <c r="G65" s="145" t="str">
        <f>IF(F65="","",VLOOKUP(F65,'Списки участников'!A:O,12,FALSE))</f>
        <v/>
      </c>
      <c r="H65" s="165"/>
      <c r="I65" s="165"/>
      <c r="J65" s="165"/>
      <c r="K65" s="165"/>
      <c r="L65" s="165"/>
      <c r="M65" s="165"/>
      <c r="N65" s="165"/>
      <c r="O65" s="152" t="str">
        <f t="shared" si="0"/>
        <v/>
      </c>
      <c r="P65" s="197" t="str">
        <f t="shared" si="1"/>
        <v/>
      </c>
      <c r="Q65" s="154" t="str">
        <f t="shared" si="2"/>
        <v/>
      </c>
      <c r="R65" s="163" t="str">
        <f t="shared" si="3"/>
        <v/>
      </c>
      <c r="S65" s="841" t="s">
        <v>2412</v>
      </c>
    </row>
    <row r="66" spans="1:19" ht="15" x14ac:dyDescent="0.2">
      <c r="A66" s="156">
        <v>63</v>
      </c>
      <c r="B66" s="157" t="str">
        <f>IF(F55="","",IF(F55=B55,D55,IF(F55=D55,B55)))</f>
        <v/>
      </c>
      <c r="C66" s="145" t="str">
        <f>IF(B66="",B66,VLOOKUP(B66,'Списки участников'!A:O,12,FALSE))</f>
        <v/>
      </c>
      <c r="D66" s="157" t="str">
        <f>IF(F56="","",IF(F56=B56,D56,IF(F56=D56,B56)))</f>
        <v/>
      </c>
      <c r="E66" s="145" t="str">
        <f>IF(D66="",D66,VLOOKUP(D66,'Списки участников'!A:O,12,FALSE))</f>
        <v/>
      </c>
      <c r="F66" s="157"/>
      <c r="G66" s="145" t="str">
        <f>IF(F66="","",VLOOKUP(F66,'Списки участников'!A:O,12,FALSE))</f>
        <v/>
      </c>
      <c r="H66" s="165"/>
      <c r="I66" s="165"/>
      <c r="J66" s="165"/>
      <c r="K66" s="165"/>
      <c r="L66" s="165"/>
      <c r="M66" s="165"/>
      <c r="N66" s="165"/>
      <c r="O66" s="152" t="str">
        <f t="shared" si="0"/>
        <v/>
      </c>
      <c r="P66" s="197" t="str">
        <f t="shared" si="1"/>
        <v/>
      </c>
      <c r="Q66" s="154" t="str">
        <f t="shared" si="2"/>
        <v/>
      </c>
      <c r="R66" s="163" t="str">
        <f t="shared" si="3"/>
        <v/>
      </c>
      <c r="S66" s="841"/>
    </row>
    <row r="67" spans="1:19" ht="15" x14ac:dyDescent="0.2">
      <c r="A67" s="156">
        <v>64</v>
      </c>
      <c r="B67" s="157" t="str">
        <f>IF(F57="","",IF(F57=B57,D57,IF(F57=D57,B57)))</f>
        <v/>
      </c>
      <c r="C67" s="145" t="str">
        <f>IF(B67="",B67,VLOOKUP(B67,'Списки участников'!A:O,12,FALSE))</f>
        <v/>
      </c>
      <c r="D67" s="157" t="str">
        <f>IF(F58="","",IF(F58=B58,D58,IF(F58=D58,B58)))</f>
        <v/>
      </c>
      <c r="E67" s="145" t="str">
        <f>IF(D67="",D67,VLOOKUP(D67,'Списки участников'!A:O,12,FALSE))</f>
        <v/>
      </c>
      <c r="F67" s="157"/>
      <c r="G67" s="145" t="str">
        <f>IF(F67="","",VLOOKUP(F67,'Списки участников'!A:O,12,FALSE))</f>
        <v/>
      </c>
      <c r="H67" s="165"/>
      <c r="I67" s="165"/>
      <c r="J67" s="165"/>
      <c r="K67" s="165"/>
      <c r="L67" s="165"/>
      <c r="M67" s="165"/>
      <c r="N67" s="165"/>
      <c r="O67" s="152" t="str">
        <f t="shared" si="0"/>
        <v/>
      </c>
      <c r="P67" s="197" t="str">
        <f t="shared" si="1"/>
        <v/>
      </c>
      <c r="Q67" s="154" t="str">
        <f t="shared" si="2"/>
        <v/>
      </c>
      <c r="R67" s="163" t="str">
        <f t="shared" si="3"/>
        <v/>
      </c>
      <c r="S67" s="841"/>
    </row>
    <row r="68" spans="1:19" ht="15" x14ac:dyDescent="0.2">
      <c r="A68" s="156">
        <v>65</v>
      </c>
      <c r="B68" s="196">
        <f>F66</f>
        <v>0</v>
      </c>
      <c r="C68" s="145" t="e">
        <f>IF(B68="",B68,VLOOKUP(B68,'Списки участников'!A:O,12,FALSE))</f>
        <v>#N/A</v>
      </c>
      <c r="D68" s="196">
        <f>F67</f>
        <v>0</v>
      </c>
      <c r="E68" s="145" t="e">
        <f>IF(D68="",D68,VLOOKUP(D68,'Списки участников'!A:O,12,FALSE))</f>
        <v>#N/A</v>
      </c>
      <c r="F68" s="157"/>
      <c r="G68" s="145" t="str">
        <f>IF(F68="","",VLOOKUP(F68,'Списки участников'!A:O,12,FALSE))</f>
        <v/>
      </c>
      <c r="H68" s="165"/>
      <c r="I68" s="165"/>
      <c r="J68" s="165"/>
      <c r="K68" s="165"/>
      <c r="L68" s="165"/>
      <c r="M68" s="165"/>
      <c r="N68" s="165"/>
      <c r="O68" s="152" t="str">
        <f t="shared" si="0"/>
        <v/>
      </c>
      <c r="P68" s="197" t="str">
        <f t="shared" si="1"/>
        <v/>
      </c>
      <c r="Q68" s="154" t="str">
        <f t="shared" si="2"/>
        <v/>
      </c>
      <c r="R68" s="163" t="str">
        <f t="shared" si="3"/>
        <v/>
      </c>
      <c r="S68" s="841" t="s">
        <v>2413</v>
      </c>
    </row>
    <row r="69" spans="1:19" ht="15" x14ac:dyDescent="0.2">
      <c r="A69" s="156">
        <v>66</v>
      </c>
      <c r="B69" s="157" t="str">
        <f>IF(F66="","",IF(F66=B66,D66,IF(F66=D66,B66)))</f>
        <v/>
      </c>
      <c r="C69" s="145" t="str">
        <f>IF(B69="",B69,VLOOKUP(B69,'Списки участников'!A:O,12,FALSE))</f>
        <v/>
      </c>
      <c r="D69" s="157" t="str">
        <f>IF(F67="","",IF(F67=B67,D67,IF(F67=D67,B67)))</f>
        <v/>
      </c>
      <c r="E69" s="145" t="str">
        <f>IF(D69="",D69,VLOOKUP(D69,'Списки участников'!A:O,12,FALSE))</f>
        <v/>
      </c>
      <c r="F69" s="157"/>
      <c r="G69" s="145" t="str">
        <f>IF(F69="","",VLOOKUP(F69,'Списки участников'!A:O,12,FALSE))</f>
        <v/>
      </c>
      <c r="H69" s="165"/>
      <c r="I69" s="165"/>
      <c r="J69" s="165"/>
      <c r="K69" s="165"/>
      <c r="L69" s="165"/>
      <c r="M69" s="165"/>
      <c r="N69" s="165"/>
      <c r="O69" s="152" t="str">
        <f t="shared" ref="O69:O97" si="6">IF(F69="","",COUNTIF(H69:N69,"&gt;=0"))</f>
        <v/>
      </c>
      <c r="P69" s="197" t="str">
        <f t="shared" ref="P69:P97" si="7">IF(F69="","",":")</f>
        <v/>
      </c>
      <c r="Q69" s="154" t="str">
        <f t="shared" ref="Q69:Q97" si="8">IF(F69="","",COUNTIF(H69:N69,"&lt;0"))</f>
        <v/>
      </c>
      <c r="R69" s="163" t="str">
        <f t="shared" ref="R69:R80" si="9">IF(F69="","",IF(K69="",CONCATENATE(O69,"-",Q69,"(",H69,",",I69,",",J69,")"),IF(L69="",CONCATENATE(O69,"-",Q69,"(",H69,",",I69,",",J69,",",K69,")"),IF(M69="",CONCATENATE(O69,"-",Q69,"(",H69,",",I69,",",J69,",",K69,",",L69,")"),IF(N69="",CONCATENATE(O69,"-",Q69,"(",H69,",",I69,",",J69,",",K69,",",L69,",",M69,")"),IF(N69&lt;&gt;0,CONCATENATE(O69,"-",Q69,"(",H69,",",I69,",",J69,",",K69,",",L69,",",M69,",",N69,")")))))))</f>
        <v/>
      </c>
      <c r="S69" s="841" t="s">
        <v>2415</v>
      </c>
    </row>
    <row r="70" spans="1:19" ht="15" x14ac:dyDescent="0.2">
      <c r="A70" s="156">
        <v>67</v>
      </c>
      <c r="B70" s="157" t="str">
        <f>IF(F51="","",IF(F51=B51,D51,IF(F51=D51,B51)))</f>
        <v/>
      </c>
      <c r="C70" s="145" t="str">
        <f>IF(B70="",B70,VLOOKUP(B70,'Списки участников'!A:O,12,FALSE))</f>
        <v/>
      </c>
      <c r="D70" s="157" t="str">
        <f>IF(F52="","",IF(F52=B52,D52,IF(F52=D52,B52)))</f>
        <v/>
      </c>
      <c r="E70" s="145" t="str">
        <f>IF(D70="",D70,VLOOKUP(D70,'Списки участников'!A:O,12,FALSE))</f>
        <v/>
      </c>
      <c r="F70" s="157"/>
      <c r="G70" s="145" t="str">
        <f>IF(F70="","",VLOOKUP(F70,'Списки участников'!A:O,12,FALSE))</f>
        <v/>
      </c>
      <c r="H70" s="165"/>
      <c r="I70" s="165"/>
      <c r="J70" s="165"/>
      <c r="K70" s="165"/>
      <c r="L70" s="165"/>
      <c r="M70" s="165"/>
      <c r="N70" s="165"/>
      <c r="O70" s="152" t="str">
        <f t="shared" si="6"/>
        <v/>
      </c>
      <c r="P70" s="197" t="str">
        <f t="shared" si="7"/>
        <v/>
      </c>
      <c r="Q70" s="154" t="str">
        <f t="shared" si="8"/>
        <v/>
      </c>
      <c r="R70" s="163" t="str">
        <f t="shared" si="9"/>
        <v/>
      </c>
      <c r="S70" s="841"/>
    </row>
    <row r="71" spans="1:19" ht="15" x14ac:dyDescent="0.2">
      <c r="A71" s="156">
        <v>68</v>
      </c>
      <c r="B71" s="157" t="str">
        <f>IF(F53="","",IF(F53=B53,D53,IF(F53=D53,B53)))</f>
        <v/>
      </c>
      <c r="C71" s="145" t="str">
        <f>IF(B71="",B71,VLOOKUP(B71,'Списки участников'!A:O,12,FALSE))</f>
        <v/>
      </c>
      <c r="D71" s="157" t="str">
        <f>IF(F54="","",IF(F54=B54,D54,IF(F54=D54,B54)))</f>
        <v/>
      </c>
      <c r="E71" s="145" t="str">
        <f>IF(D71="",D71,VLOOKUP(D71,'Списки участников'!A:O,12,FALSE))</f>
        <v/>
      </c>
      <c r="F71" s="157"/>
      <c r="G71" s="145" t="str">
        <f>IF(F71="","",VLOOKUP(F71,'Списки участников'!A:O,12,FALSE))</f>
        <v/>
      </c>
      <c r="H71" s="165"/>
      <c r="I71" s="165"/>
      <c r="J71" s="165"/>
      <c r="K71" s="165"/>
      <c r="L71" s="165"/>
      <c r="M71" s="165"/>
      <c r="N71" s="165"/>
      <c r="O71" s="152" t="str">
        <f t="shared" si="6"/>
        <v/>
      </c>
      <c r="P71" s="197" t="str">
        <f t="shared" si="7"/>
        <v/>
      </c>
      <c r="Q71" s="154" t="str">
        <f t="shared" si="8"/>
        <v/>
      </c>
      <c r="R71" s="163" t="str">
        <f t="shared" si="9"/>
        <v/>
      </c>
      <c r="S71" s="841"/>
    </row>
    <row r="72" spans="1:19" ht="15" x14ac:dyDescent="0.2">
      <c r="A72" s="156">
        <v>69</v>
      </c>
      <c r="B72" s="196">
        <f>F70</f>
        <v>0</v>
      </c>
      <c r="C72" s="145" t="e">
        <f>IF(B72="",B72,VLOOKUP(B72,'Списки участников'!A:O,12,FALSE))</f>
        <v>#N/A</v>
      </c>
      <c r="D72" s="196">
        <f>F71</f>
        <v>0</v>
      </c>
      <c r="E72" s="145" t="e">
        <f>IF(D72="",D72,VLOOKUP(D72,'Списки участников'!A:O,12,FALSE))</f>
        <v>#N/A</v>
      </c>
      <c r="F72" s="157"/>
      <c r="G72" s="145" t="str">
        <f>IF(F72="","",VLOOKUP(F72,'Списки участников'!A:O,12,FALSE))</f>
        <v/>
      </c>
      <c r="H72" s="165"/>
      <c r="I72" s="165"/>
      <c r="J72" s="165"/>
      <c r="K72" s="165"/>
      <c r="L72" s="165"/>
      <c r="M72" s="165"/>
      <c r="N72" s="165"/>
      <c r="O72" s="152" t="str">
        <f t="shared" si="6"/>
        <v/>
      </c>
      <c r="P72" s="197" t="str">
        <f t="shared" si="7"/>
        <v/>
      </c>
      <c r="Q72" s="154" t="str">
        <f t="shared" si="8"/>
        <v/>
      </c>
      <c r="R72" s="163" t="str">
        <f t="shared" si="9"/>
        <v/>
      </c>
      <c r="S72" s="841" t="s">
        <v>2414</v>
      </c>
    </row>
    <row r="73" spans="1:19" ht="15" x14ac:dyDescent="0.2">
      <c r="A73" s="156">
        <v>70</v>
      </c>
      <c r="B73" s="157" t="str">
        <f>IF(F70="","",IF(F70=B70,D70,IF(F70=D70,B70)))</f>
        <v/>
      </c>
      <c r="C73" s="145" t="str">
        <f>IF(B73="",B73,VLOOKUP(B73,'Списки участников'!A:O,12,FALSE))</f>
        <v/>
      </c>
      <c r="D73" s="157" t="str">
        <f>IF(F71="","",IF(F71=B71,D71,IF(F71=D71,B71)))</f>
        <v/>
      </c>
      <c r="E73" s="145" t="str">
        <f>IF(D73="",D73,VLOOKUP(D73,'Списки участников'!A:O,12,FALSE))</f>
        <v/>
      </c>
      <c r="F73" s="157"/>
      <c r="G73" s="145" t="str">
        <f>IF(F73="","",VLOOKUP(F73,'Списки участников'!A:O,12,FALSE))</f>
        <v/>
      </c>
      <c r="H73" s="165"/>
      <c r="I73" s="165"/>
      <c r="J73" s="165"/>
      <c r="K73" s="165"/>
      <c r="L73" s="165"/>
      <c r="M73" s="165"/>
      <c r="N73" s="165"/>
      <c r="O73" s="152" t="str">
        <f t="shared" si="6"/>
        <v/>
      </c>
      <c r="P73" s="197" t="str">
        <f t="shared" si="7"/>
        <v/>
      </c>
      <c r="Q73" s="154" t="str">
        <f t="shared" si="8"/>
        <v/>
      </c>
      <c r="R73" s="163" t="str">
        <f t="shared" si="9"/>
        <v/>
      </c>
      <c r="S73" s="841" t="s">
        <v>2416</v>
      </c>
    </row>
    <row r="74" spans="1:19" ht="15" x14ac:dyDescent="0.2">
      <c r="A74" s="156">
        <v>71</v>
      </c>
      <c r="B74" s="157" t="str">
        <f>IF(F43="","",IF(F43=B43,D43,IF(F43=D43,B43)))</f>
        <v/>
      </c>
      <c r="C74" s="145" t="str">
        <f>IF(B74="",B74,VLOOKUP(B74,'Списки участников'!A:O,12,FALSE))</f>
        <v/>
      </c>
      <c r="D74" s="157" t="str">
        <f>IF(F44="","",IF(F44=B44,D44,IF(F44=D44,B44)))</f>
        <v/>
      </c>
      <c r="E74" s="145" t="str">
        <f>IF(D74="",D74,VLOOKUP(D74,'Списки участников'!A:O,12,FALSE))</f>
        <v/>
      </c>
      <c r="F74" s="157"/>
      <c r="G74" s="145" t="str">
        <f>IF(F74="","",VLOOKUP(F74,'Списки участников'!A:O,12,FALSE))</f>
        <v/>
      </c>
      <c r="H74" s="165"/>
      <c r="I74" s="165"/>
      <c r="J74" s="165"/>
      <c r="K74" s="165"/>
      <c r="L74" s="165"/>
      <c r="M74" s="165"/>
      <c r="N74" s="165"/>
      <c r="O74" s="152" t="str">
        <f t="shared" si="6"/>
        <v/>
      </c>
      <c r="P74" s="197" t="str">
        <f t="shared" si="7"/>
        <v/>
      </c>
      <c r="Q74" s="154" t="str">
        <f t="shared" si="8"/>
        <v/>
      </c>
      <c r="R74" s="163" t="str">
        <f t="shared" si="9"/>
        <v/>
      </c>
      <c r="S74" s="841"/>
    </row>
    <row r="75" spans="1:19" ht="15" x14ac:dyDescent="0.2">
      <c r="A75" s="156">
        <v>72</v>
      </c>
      <c r="B75" s="157" t="str">
        <f>IF(F45="","",IF(F45=B45,D45,IF(F45=D45,B45)))</f>
        <v/>
      </c>
      <c r="C75" s="145" t="str">
        <f>IF(B75="",B75,VLOOKUP(B75,'Списки участников'!A:O,12,FALSE))</f>
        <v/>
      </c>
      <c r="D75" s="157" t="str">
        <f>IF(F46="","",IF(F46=B46,D46,IF(F46=D46,B46)))</f>
        <v/>
      </c>
      <c r="E75" s="145" t="str">
        <f>IF(D75="",D75,VLOOKUP(D75,'Списки участников'!A:O,12,FALSE))</f>
        <v/>
      </c>
      <c r="F75" s="157"/>
      <c r="G75" s="145" t="str">
        <f>IF(F75="","",VLOOKUP(F75,'Списки участников'!A:O,12,FALSE))</f>
        <v/>
      </c>
      <c r="H75" s="165"/>
      <c r="I75" s="165"/>
      <c r="J75" s="165"/>
      <c r="K75" s="165"/>
      <c r="L75" s="165"/>
      <c r="M75" s="165"/>
      <c r="N75" s="165"/>
      <c r="O75" s="152" t="str">
        <f t="shared" si="6"/>
        <v/>
      </c>
      <c r="P75" s="197" t="str">
        <f t="shared" si="7"/>
        <v/>
      </c>
      <c r="Q75" s="154" t="str">
        <f t="shared" si="8"/>
        <v/>
      </c>
      <c r="R75" s="163" t="str">
        <f t="shared" si="9"/>
        <v/>
      </c>
      <c r="S75" s="841"/>
    </row>
    <row r="76" spans="1:19" ht="15" x14ac:dyDescent="0.2">
      <c r="A76" s="156">
        <v>73</v>
      </c>
      <c r="B76" s="157" t="str">
        <f>IF(F47="","",IF(F47=B47,D47,IF(F47=D47,B47)))</f>
        <v/>
      </c>
      <c r="C76" s="145" t="str">
        <f>IF(B76="",B76,VLOOKUP(B76,'Списки участников'!A:O,12,FALSE))</f>
        <v/>
      </c>
      <c r="D76" s="157" t="str">
        <f>IF(F48="","",IF(F48=B48,D48,IF(F48=D48,B48)))</f>
        <v/>
      </c>
      <c r="E76" s="145" t="str">
        <f>IF(D76="",D76,VLOOKUP(D76,'Списки участников'!A:O,12,FALSE))</f>
        <v/>
      </c>
      <c r="F76" s="157"/>
      <c r="G76" s="145" t="str">
        <f>IF(F76="","",VLOOKUP(F76,'Списки участников'!A:O,12,FALSE))</f>
        <v/>
      </c>
      <c r="H76" s="165"/>
      <c r="I76" s="165"/>
      <c r="J76" s="165"/>
      <c r="K76" s="165"/>
      <c r="L76" s="165"/>
      <c r="M76" s="165"/>
      <c r="N76" s="165"/>
      <c r="O76" s="152" t="str">
        <f t="shared" si="6"/>
        <v/>
      </c>
      <c r="P76" s="197" t="str">
        <f t="shared" si="7"/>
        <v/>
      </c>
      <c r="Q76" s="154" t="str">
        <f t="shared" si="8"/>
        <v/>
      </c>
      <c r="R76" s="163" t="str">
        <f t="shared" si="9"/>
        <v/>
      </c>
      <c r="S76" s="841"/>
    </row>
    <row r="77" spans="1:19" ht="15" x14ac:dyDescent="0.2">
      <c r="A77" s="156">
        <v>74</v>
      </c>
      <c r="B77" s="157" t="str">
        <f>IF(F49="","",IF(F49=B49,D49,IF(F49=D49,B49)))</f>
        <v/>
      </c>
      <c r="C77" s="145" t="str">
        <f>IF(B77="",B77,VLOOKUP(B77,'Списки участников'!A:O,12,FALSE))</f>
        <v/>
      </c>
      <c r="D77" s="157" t="str">
        <f>IF(F50="","",IF(F50=B50,D50,IF(F50=D50,B50)))</f>
        <v/>
      </c>
      <c r="E77" s="145" t="str">
        <f>IF(D77="",D77,VLOOKUP(D77,'Списки участников'!A:O,12,FALSE))</f>
        <v/>
      </c>
      <c r="F77" s="157"/>
      <c r="G77" s="145" t="str">
        <f>IF(F77="","",VLOOKUP(F77,'Списки участников'!A:O,12,FALSE))</f>
        <v/>
      </c>
      <c r="H77" s="165"/>
      <c r="I77" s="165"/>
      <c r="J77" s="165"/>
      <c r="K77" s="165"/>
      <c r="L77" s="165"/>
      <c r="M77" s="165"/>
      <c r="N77" s="165"/>
      <c r="O77" s="152" t="str">
        <f t="shared" si="6"/>
        <v/>
      </c>
      <c r="P77" s="197" t="str">
        <f t="shared" si="7"/>
        <v/>
      </c>
      <c r="Q77" s="154" t="str">
        <f t="shared" si="8"/>
        <v/>
      </c>
      <c r="R77" s="163" t="str">
        <f t="shared" si="9"/>
        <v/>
      </c>
      <c r="S77" s="841"/>
    </row>
    <row r="78" spans="1:19" ht="15" x14ac:dyDescent="0.2">
      <c r="A78" s="156">
        <v>75</v>
      </c>
      <c r="B78" s="196">
        <f>F74</f>
        <v>0</v>
      </c>
      <c r="C78" s="145" t="e">
        <f>IF(B78="",B78,VLOOKUP(B78,'Списки участников'!A:O,12,FALSE))</f>
        <v>#N/A</v>
      </c>
      <c r="D78" s="196">
        <f>F75</f>
        <v>0</v>
      </c>
      <c r="E78" s="145" t="e">
        <f>IF(D78="",D78,VLOOKUP(D78,'Списки участников'!A:O,12,FALSE))</f>
        <v>#N/A</v>
      </c>
      <c r="F78" s="157"/>
      <c r="G78" s="145" t="str">
        <f>IF(F78="","",VLOOKUP(F78,'Списки участников'!A:O,12,FALSE))</f>
        <v/>
      </c>
      <c r="H78" s="165"/>
      <c r="I78" s="165"/>
      <c r="J78" s="165"/>
      <c r="K78" s="165"/>
      <c r="L78" s="165"/>
      <c r="M78" s="165"/>
      <c r="N78" s="165"/>
      <c r="O78" s="152" t="str">
        <f t="shared" si="6"/>
        <v/>
      </c>
      <c r="P78" s="197" t="str">
        <f t="shared" si="7"/>
        <v/>
      </c>
      <c r="Q78" s="154" t="str">
        <f t="shared" si="8"/>
        <v/>
      </c>
      <c r="R78" s="163" t="str">
        <f t="shared" si="9"/>
        <v/>
      </c>
      <c r="S78" s="841"/>
    </row>
    <row r="79" spans="1:19" ht="15" x14ac:dyDescent="0.2">
      <c r="A79" s="156">
        <v>76</v>
      </c>
      <c r="B79" s="196">
        <f>F76</f>
        <v>0</v>
      </c>
      <c r="C79" s="145" t="e">
        <f>IF(B79="",B79,VLOOKUP(B79,'Списки участников'!A:O,12,FALSE))</f>
        <v>#N/A</v>
      </c>
      <c r="D79" s="196">
        <f>F77</f>
        <v>0</v>
      </c>
      <c r="E79" s="145" t="e">
        <f>IF(D79="",D79,VLOOKUP(D79,'Списки участников'!A:O,12,FALSE))</f>
        <v>#N/A</v>
      </c>
      <c r="F79" s="157"/>
      <c r="G79" s="145" t="str">
        <f>IF(F79="","",VLOOKUP(F79,'Списки участников'!A:O,12,FALSE))</f>
        <v/>
      </c>
      <c r="H79" s="165"/>
      <c r="I79" s="165"/>
      <c r="J79" s="165"/>
      <c r="K79" s="165"/>
      <c r="L79" s="165"/>
      <c r="M79" s="165"/>
      <c r="N79" s="165"/>
      <c r="O79" s="152" t="str">
        <f t="shared" si="6"/>
        <v/>
      </c>
      <c r="P79" s="197" t="str">
        <f t="shared" si="7"/>
        <v/>
      </c>
      <c r="Q79" s="154" t="str">
        <f t="shared" si="8"/>
        <v/>
      </c>
      <c r="R79" s="163"/>
      <c r="S79" s="841"/>
    </row>
    <row r="80" spans="1:19" ht="15" x14ac:dyDescent="0.2">
      <c r="A80" s="156">
        <v>77</v>
      </c>
      <c r="B80" s="196">
        <f>F78</f>
        <v>0</v>
      </c>
      <c r="C80" s="145" t="e">
        <f>IF(B80="",B80,VLOOKUP(B80,'Списки участников'!A:O,12,FALSE))</f>
        <v>#N/A</v>
      </c>
      <c r="D80" s="196">
        <f>F79</f>
        <v>0</v>
      </c>
      <c r="E80" s="145" t="e">
        <f>IF(D80="",D80,VLOOKUP(D80,'Списки участников'!A:O,12,FALSE))</f>
        <v>#N/A</v>
      </c>
      <c r="F80" s="157"/>
      <c r="G80" s="145" t="str">
        <f>IF(F80="","",VLOOKUP(F80,'Списки участников'!A:O,12,FALSE))</f>
        <v/>
      </c>
      <c r="H80" s="165"/>
      <c r="I80" s="165"/>
      <c r="J80" s="165"/>
      <c r="K80" s="165"/>
      <c r="L80" s="165"/>
      <c r="M80" s="165"/>
      <c r="N80" s="165"/>
      <c r="O80" s="152" t="str">
        <f t="shared" si="6"/>
        <v/>
      </c>
      <c r="P80" s="197" t="str">
        <f t="shared" si="7"/>
        <v/>
      </c>
      <c r="Q80" s="154" t="str">
        <f t="shared" si="8"/>
        <v/>
      </c>
      <c r="R80" s="163" t="str">
        <f t="shared" si="9"/>
        <v/>
      </c>
      <c r="S80" s="841" t="s">
        <v>2417</v>
      </c>
    </row>
    <row r="81" spans="1:19" ht="15" x14ac:dyDescent="0.2">
      <c r="A81" s="156">
        <v>78</v>
      </c>
      <c r="B81" s="157" t="str">
        <f>IF(F78="","",IF(F78=B78,D78,IF(F78=D78,B78)))</f>
        <v/>
      </c>
      <c r="C81" s="145" t="str">
        <f>IF(B81="",B81,VLOOKUP(B81,'Списки участников'!A:O,12,FALSE))</f>
        <v/>
      </c>
      <c r="D81" s="157" t="str">
        <f>IF(F79="","",IF(F79=B79,D79,IF(F79=D79,B79)))</f>
        <v/>
      </c>
      <c r="E81" s="145" t="str">
        <f>IF(D81="",D81,VLOOKUP(D81,'Списки участников'!A:O,12,FALSE))</f>
        <v/>
      </c>
      <c r="F81" s="157"/>
      <c r="G81" s="145" t="str">
        <f>IF(F81="","",VLOOKUP(F81,'Списки участников'!A:O,12,FALSE))</f>
        <v/>
      </c>
      <c r="H81" s="165"/>
      <c r="I81" s="165"/>
      <c r="J81" s="165"/>
      <c r="K81" s="165"/>
      <c r="L81" s="165"/>
      <c r="M81" s="165"/>
      <c r="N81" s="165"/>
      <c r="O81" s="152" t="str">
        <f t="shared" si="6"/>
        <v/>
      </c>
      <c r="P81" s="197" t="str">
        <f t="shared" si="7"/>
        <v/>
      </c>
      <c r="Q81" s="154" t="str">
        <f t="shared" si="8"/>
        <v/>
      </c>
      <c r="R81" s="163"/>
      <c r="S81" s="841" t="s">
        <v>2418</v>
      </c>
    </row>
    <row r="82" spans="1:19" ht="15" x14ac:dyDescent="0.2">
      <c r="A82" s="156">
        <v>79</v>
      </c>
      <c r="B82" s="157" t="str">
        <f>IF(F74="","",IF(F74=B74,D74,IF(F74=D74,B74)))</f>
        <v/>
      </c>
      <c r="C82" s="145" t="str">
        <f>IF(B82="",B82,VLOOKUP(B82,'Списки участников'!A:O,12,FALSE))</f>
        <v/>
      </c>
      <c r="D82" s="157" t="str">
        <f>IF(F75="","",IF(F75=B75,D75,IF(F75=D75,B75)))</f>
        <v/>
      </c>
      <c r="E82" s="145" t="str">
        <f>IF(D82="",D82,VLOOKUP(D82,'Списки участников'!A:O,12,FALSE))</f>
        <v/>
      </c>
      <c r="F82" s="157"/>
      <c r="G82" s="145" t="str">
        <f>IF(F82="","",VLOOKUP(F82,'Списки участников'!A:O,12,FALSE))</f>
        <v/>
      </c>
      <c r="H82" s="165"/>
      <c r="I82" s="165"/>
      <c r="J82" s="165"/>
      <c r="K82" s="165"/>
      <c r="L82" s="165"/>
      <c r="M82" s="165"/>
      <c r="N82" s="165"/>
      <c r="O82" s="152" t="str">
        <f t="shared" si="6"/>
        <v/>
      </c>
      <c r="P82" s="197" t="str">
        <f t="shared" si="7"/>
        <v/>
      </c>
      <c r="Q82" s="154" t="str">
        <f t="shared" si="8"/>
        <v/>
      </c>
      <c r="R82" s="163"/>
      <c r="S82" s="841"/>
    </row>
    <row r="83" spans="1:19" ht="15" x14ac:dyDescent="0.2">
      <c r="A83" s="156">
        <v>80</v>
      </c>
      <c r="B83" s="157" t="str">
        <f>IF(F76="","",IF(F76=B76,D76,IF(F76=D76,B76)))</f>
        <v/>
      </c>
      <c r="C83" s="145" t="str">
        <f>IF(B83="",B83,VLOOKUP(B83,'Списки участников'!A:O,12,FALSE))</f>
        <v/>
      </c>
      <c r="D83" s="157" t="str">
        <f>IF(F77="","",IF(F77=B77,D77,IF(F77=D77,B77)))</f>
        <v/>
      </c>
      <c r="E83" s="145" t="str">
        <f>IF(D83="",D83,VLOOKUP(D83,'Списки участников'!A:O,12,FALSE))</f>
        <v/>
      </c>
      <c r="F83" s="157"/>
      <c r="G83" s="145" t="str">
        <f>IF(F83="","",VLOOKUP(F83,'Списки участников'!A:O,12,FALSE))</f>
        <v/>
      </c>
      <c r="H83" s="165"/>
      <c r="I83" s="165"/>
      <c r="J83" s="165"/>
      <c r="K83" s="165"/>
      <c r="L83" s="165"/>
      <c r="M83" s="165"/>
      <c r="N83" s="165"/>
      <c r="O83" s="152" t="str">
        <f t="shared" si="6"/>
        <v/>
      </c>
      <c r="P83" s="197" t="str">
        <f t="shared" si="7"/>
        <v/>
      </c>
      <c r="Q83" s="154" t="str">
        <f t="shared" si="8"/>
        <v/>
      </c>
      <c r="R83" s="163"/>
      <c r="S83" s="841"/>
    </row>
    <row r="84" spans="1:19" ht="15" x14ac:dyDescent="0.2">
      <c r="A84" s="156">
        <v>81</v>
      </c>
      <c r="B84" s="196">
        <f>F82</f>
        <v>0</v>
      </c>
      <c r="C84" s="145" t="e">
        <f>IF(B84="",B84,VLOOKUP(B84,'Списки участников'!A:O,12,FALSE))</f>
        <v>#N/A</v>
      </c>
      <c r="D84" s="196">
        <f>F83</f>
        <v>0</v>
      </c>
      <c r="E84" s="145" t="e">
        <f>IF(D84="",D84,VLOOKUP(D84,'Списки участников'!A:O,12,FALSE))</f>
        <v>#N/A</v>
      </c>
      <c r="F84" s="157"/>
      <c r="G84" s="145" t="str">
        <f>IF(F84="","",VLOOKUP(F84,'Списки участников'!A:O,12,FALSE))</f>
        <v/>
      </c>
      <c r="H84" s="165"/>
      <c r="I84" s="165"/>
      <c r="J84" s="165"/>
      <c r="K84" s="165"/>
      <c r="L84" s="165"/>
      <c r="M84" s="165"/>
      <c r="N84" s="165"/>
      <c r="O84" s="152" t="str">
        <f t="shared" si="6"/>
        <v/>
      </c>
      <c r="P84" s="197" t="str">
        <f t="shared" si="7"/>
        <v/>
      </c>
      <c r="Q84" s="154" t="str">
        <f t="shared" si="8"/>
        <v/>
      </c>
      <c r="R84" s="163"/>
      <c r="S84" s="841" t="s">
        <v>2419</v>
      </c>
    </row>
    <row r="85" spans="1:19" ht="15" x14ac:dyDescent="0.2">
      <c r="A85" s="156">
        <v>82</v>
      </c>
      <c r="B85" s="157" t="str">
        <f>IF(F82="","",IF(F82=B82,D82,IF(F82=D82,B82)))</f>
        <v/>
      </c>
      <c r="C85" s="145" t="str">
        <f>IF(B85="",B85,VLOOKUP(B85,'Списки участников'!A:O,12,FALSE))</f>
        <v/>
      </c>
      <c r="D85" s="157" t="str">
        <f>IF(F83="","",IF(F83=B83,D83,IF(F83=D83,B83)))</f>
        <v/>
      </c>
      <c r="E85" s="145" t="str">
        <f>IF(D85="",D85,VLOOKUP(D85,'Списки участников'!A:O,12,FALSE))</f>
        <v/>
      </c>
      <c r="F85" s="157"/>
      <c r="G85" s="145" t="str">
        <f>IF(F85="","",VLOOKUP(F85,'Списки участников'!A:O,12,FALSE))</f>
        <v/>
      </c>
      <c r="H85" s="165"/>
      <c r="I85" s="165"/>
      <c r="J85" s="165"/>
      <c r="K85" s="165"/>
      <c r="L85" s="165"/>
      <c r="M85" s="165"/>
      <c r="N85" s="165"/>
      <c r="O85" s="152" t="str">
        <f t="shared" si="6"/>
        <v/>
      </c>
      <c r="P85" s="197" t="str">
        <f t="shared" si="7"/>
        <v/>
      </c>
      <c r="Q85" s="154" t="str">
        <f t="shared" si="8"/>
        <v/>
      </c>
      <c r="R85" s="163"/>
      <c r="S85" s="841" t="s">
        <v>2420</v>
      </c>
    </row>
    <row r="86" spans="1:19" ht="15" x14ac:dyDescent="0.2">
      <c r="A86" s="156">
        <v>83</v>
      </c>
      <c r="B86" s="157" t="str">
        <f>IF(F35="","",IF(F35=B35,D35,IF(F35=D35,B35)))</f>
        <v/>
      </c>
      <c r="C86" s="145" t="str">
        <f>IF(B86="",B86,VLOOKUP(B86,'Списки участников'!A:O,12,FALSE))</f>
        <v/>
      </c>
      <c r="D86" s="157" t="str">
        <f>IF(F36="","",IF(F36=B36,D36,IF(F36=D36,B36)))</f>
        <v/>
      </c>
      <c r="E86" s="145" t="str">
        <f>IF(D86="",D86,VLOOKUP(D86,'Списки участников'!A:O,12,FALSE))</f>
        <v/>
      </c>
      <c r="F86" s="157"/>
      <c r="G86" s="145" t="str">
        <f>IF(F86="","",VLOOKUP(F86,'Списки участников'!A:O,12,FALSE))</f>
        <v/>
      </c>
      <c r="H86" s="165"/>
      <c r="I86" s="165"/>
      <c r="J86" s="165"/>
      <c r="K86" s="165"/>
      <c r="L86" s="165"/>
      <c r="M86" s="165"/>
      <c r="N86" s="165"/>
      <c r="O86" s="152" t="str">
        <f t="shared" si="6"/>
        <v/>
      </c>
      <c r="P86" s="197" t="str">
        <f t="shared" si="7"/>
        <v/>
      </c>
      <c r="Q86" s="154" t="str">
        <f t="shared" si="8"/>
        <v/>
      </c>
      <c r="R86" s="163"/>
      <c r="S86" s="841"/>
    </row>
    <row r="87" spans="1:19" ht="15" x14ac:dyDescent="0.2">
      <c r="A87" s="156">
        <v>84</v>
      </c>
      <c r="B87" s="157" t="str">
        <f>IF(F37="","",IF(F37=B37,D37,IF(F37=D37,B37)))</f>
        <v/>
      </c>
      <c r="C87" s="145" t="str">
        <f>IF(B87="",B87,VLOOKUP(B87,'Списки участников'!A:O,12,FALSE))</f>
        <v/>
      </c>
      <c r="D87" s="157" t="str">
        <f>IF(F38="","",IF(F38=B38,D38,IF(F38=D38,B38)))</f>
        <v/>
      </c>
      <c r="E87" s="145" t="str">
        <f>IF(D87="",D87,VLOOKUP(D87,'Списки участников'!A:O,12,FALSE))</f>
        <v/>
      </c>
      <c r="F87" s="157"/>
      <c r="G87" s="145" t="str">
        <f>IF(F87="","",VLOOKUP(F87,'Списки участников'!A:O,12,FALSE))</f>
        <v/>
      </c>
      <c r="H87" s="165"/>
      <c r="I87" s="165"/>
      <c r="J87" s="165"/>
      <c r="K87" s="165"/>
      <c r="L87" s="165"/>
      <c r="M87" s="165"/>
      <c r="N87" s="165"/>
      <c r="O87" s="152" t="str">
        <f t="shared" si="6"/>
        <v/>
      </c>
      <c r="P87" s="197" t="str">
        <f t="shared" si="7"/>
        <v/>
      </c>
      <c r="Q87" s="154" t="str">
        <f t="shared" si="8"/>
        <v/>
      </c>
      <c r="R87" s="163"/>
      <c r="S87" s="841"/>
    </row>
    <row r="88" spans="1:19" ht="15" x14ac:dyDescent="0.2">
      <c r="A88" s="156">
        <v>85</v>
      </c>
      <c r="B88" s="157" t="str">
        <f>IF(F39="","",IF(F39=B39,D39,IF(F39=D39,B39)))</f>
        <v/>
      </c>
      <c r="C88" s="145" t="str">
        <f>IF(B88="",B88,VLOOKUP(B88,'Списки участников'!A:O,12,FALSE))</f>
        <v/>
      </c>
      <c r="D88" s="157" t="str">
        <f>IF(F40="","",IF(F40=B40,D40,IF(F40=D40,B40)))</f>
        <v/>
      </c>
      <c r="E88" s="145" t="str">
        <f>IF(D88="",D88,VLOOKUP(D88,'Списки участников'!A:O,12,FALSE))</f>
        <v/>
      </c>
      <c r="F88" s="157"/>
      <c r="G88" s="145" t="str">
        <f>IF(F88="","",VLOOKUP(F88,'Списки участников'!A:O,12,FALSE))</f>
        <v/>
      </c>
      <c r="H88" s="165"/>
      <c r="I88" s="165"/>
      <c r="J88" s="165"/>
      <c r="K88" s="165"/>
      <c r="L88" s="165"/>
      <c r="M88" s="165"/>
      <c r="N88" s="165"/>
      <c r="O88" s="152" t="str">
        <f t="shared" si="6"/>
        <v/>
      </c>
      <c r="P88" s="197" t="str">
        <f t="shared" si="7"/>
        <v/>
      </c>
      <c r="Q88" s="154" t="str">
        <f t="shared" si="8"/>
        <v/>
      </c>
      <c r="R88" s="163"/>
      <c r="S88" s="841"/>
    </row>
    <row r="89" spans="1:19" ht="15" x14ac:dyDescent="0.2">
      <c r="A89" s="156">
        <v>86</v>
      </c>
      <c r="B89" s="157" t="str">
        <f>IF(F41="","",IF(F41=B41,D41,IF(F41=D41,B41)))</f>
        <v/>
      </c>
      <c r="C89" s="145" t="str">
        <f>IF(B89="",B89,VLOOKUP(B89,'Списки участников'!A:O,12,FALSE))</f>
        <v/>
      </c>
      <c r="D89" s="157" t="str">
        <f>IF(F42="","",IF(F42=B42,D42,IF(F42=D42,B42)))</f>
        <v/>
      </c>
      <c r="E89" s="145" t="str">
        <f>IF(D89="",D89,VLOOKUP(D89,'Списки участников'!A:O,12,FALSE))</f>
        <v/>
      </c>
      <c r="F89" s="157"/>
      <c r="G89" s="145" t="str">
        <f>IF(F89="","",VLOOKUP(F89,'Списки участников'!A:O,12,FALSE))</f>
        <v/>
      </c>
      <c r="H89" s="165"/>
      <c r="I89" s="165"/>
      <c r="J89" s="165"/>
      <c r="K89" s="165"/>
      <c r="L89" s="165"/>
      <c r="M89" s="165"/>
      <c r="N89" s="165"/>
      <c r="O89" s="152" t="str">
        <f t="shared" si="6"/>
        <v/>
      </c>
      <c r="P89" s="197" t="str">
        <f t="shared" si="7"/>
        <v/>
      </c>
      <c r="Q89" s="154" t="str">
        <f t="shared" si="8"/>
        <v/>
      </c>
      <c r="R89" s="163"/>
      <c r="S89" s="841"/>
    </row>
    <row r="90" spans="1:19" ht="15" x14ac:dyDescent="0.2">
      <c r="A90" s="156">
        <v>87</v>
      </c>
      <c r="B90" s="196">
        <f>F86</f>
        <v>0</v>
      </c>
      <c r="C90" s="145" t="e">
        <f>IF(B90="",B90,VLOOKUP(B90,'Списки участников'!A:O,12,FALSE))</f>
        <v>#N/A</v>
      </c>
      <c r="D90" s="196">
        <f>F87</f>
        <v>0</v>
      </c>
      <c r="E90" s="145" t="e">
        <f>IF(D90="",D90,VLOOKUP(D90,'Списки участников'!A:O,12,FALSE))</f>
        <v>#N/A</v>
      </c>
      <c r="F90" s="157"/>
      <c r="G90" s="145" t="str">
        <f>IF(F90="","",VLOOKUP(F90,'Списки участников'!A:O,12,FALSE))</f>
        <v/>
      </c>
      <c r="H90" s="165"/>
      <c r="I90" s="165"/>
      <c r="J90" s="165"/>
      <c r="K90" s="165"/>
      <c r="L90" s="165"/>
      <c r="M90" s="165"/>
      <c r="N90" s="165"/>
      <c r="O90" s="152" t="str">
        <f t="shared" si="6"/>
        <v/>
      </c>
      <c r="P90" s="197" t="str">
        <f t="shared" si="7"/>
        <v/>
      </c>
      <c r="Q90" s="154" t="str">
        <f t="shared" si="8"/>
        <v/>
      </c>
      <c r="R90" s="163"/>
      <c r="S90" s="841"/>
    </row>
    <row r="91" spans="1:19" ht="15" x14ac:dyDescent="0.2">
      <c r="A91" s="156">
        <v>88</v>
      </c>
      <c r="B91" s="196">
        <f>F88</f>
        <v>0</v>
      </c>
      <c r="C91" s="145" t="e">
        <f>IF(B91="",B91,VLOOKUP(B91,'Списки участников'!A:O,12,FALSE))</f>
        <v>#N/A</v>
      </c>
      <c r="D91" s="196">
        <f>F89</f>
        <v>0</v>
      </c>
      <c r="E91" s="145" t="e">
        <f>IF(D91="",D91,VLOOKUP(D91,'Списки участников'!A:O,12,FALSE))</f>
        <v>#N/A</v>
      </c>
      <c r="F91" s="157"/>
      <c r="G91" s="145" t="str">
        <f>IF(F91="","",VLOOKUP(F91,'Списки участников'!A:O,12,FALSE))</f>
        <v/>
      </c>
      <c r="H91" s="165"/>
      <c r="I91" s="165"/>
      <c r="J91" s="165"/>
      <c r="K91" s="165"/>
      <c r="L91" s="165"/>
      <c r="M91" s="165"/>
      <c r="N91" s="165"/>
      <c r="O91" s="152" t="str">
        <f t="shared" si="6"/>
        <v/>
      </c>
      <c r="P91" s="197" t="str">
        <f t="shared" si="7"/>
        <v/>
      </c>
      <c r="Q91" s="154" t="str">
        <f t="shared" si="8"/>
        <v/>
      </c>
      <c r="R91" s="163"/>
      <c r="S91" s="841"/>
    </row>
    <row r="92" spans="1:19" ht="15" x14ac:dyDescent="0.2">
      <c r="A92" s="156">
        <v>89</v>
      </c>
      <c r="B92" s="196">
        <f>F90</f>
        <v>0</v>
      </c>
      <c r="C92" s="145" t="e">
        <f>IF(B92="",B92,VLOOKUP(B92,'Списки участников'!A:O,12,FALSE))</f>
        <v>#N/A</v>
      </c>
      <c r="D92" s="196">
        <f>F91</f>
        <v>0</v>
      </c>
      <c r="E92" s="145" t="e">
        <f>IF(D92="",D92,VLOOKUP(D92,'Списки участников'!A:O,12,FALSE))</f>
        <v>#N/A</v>
      </c>
      <c r="F92" s="157"/>
      <c r="G92" s="145" t="str">
        <f>IF(F92="","",VLOOKUP(F92,'Списки участников'!A:O,12,FALSE))</f>
        <v/>
      </c>
      <c r="H92" s="165"/>
      <c r="I92" s="165"/>
      <c r="J92" s="165"/>
      <c r="K92" s="165"/>
      <c r="L92" s="165"/>
      <c r="M92" s="165"/>
      <c r="N92" s="165"/>
      <c r="O92" s="152" t="str">
        <f t="shared" si="6"/>
        <v/>
      </c>
      <c r="P92" s="197" t="str">
        <f t="shared" si="7"/>
        <v/>
      </c>
      <c r="Q92" s="154" t="str">
        <f t="shared" si="8"/>
        <v/>
      </c>
      <c r="R92" s="163"/>
      <c r="S92" s="841" t="s">
        <v>2421</v>
      </c>
    </row>
    <row r="93" spans="1:19" ht="15" x14ac:dyDescent="0.2">
      <c r="A93" s="156">
        <v>90</v>
      </c>
      <c r="B93" s="157" t="str">
        <f>IF(F90="","",IF(F90=B90,D90,IF(F90=D90,B90)))</f>
        <v/>
      </c>
      <c r="C93" s="145" t="str">
        <f>IF(B93="",B93,VLOOKUP(B93,'Списки участников'!A:O,12,FALSE))</f>
        <v/>
      </c>
      <c r="D93" s="157" t="str">
        <f>IF(F91="","",IF(F91=B91,D91,IF(F91=D91,B91)))</f>
        <v/>
      </c>
      <c r="E93" s="145" t="str">
        <f>IF(D93="",D93,VLOOKUP(D93,'Списки участников'!A:O,12,FALSE))</f>
        <v/>
      </c>
      <c r="F93" s="157"/>
      <c r="G93" s="145" t="str">
        <f>IF(F93="","",VLOOKUP(F93,'Списки участников'!A:O,12,FALSE))</f>
        <v/>
      </c>
      <c r="H93" s="165"/>
      <c r="I93" s="165"/>
      <c r="J93" s="165"/>
      <c r="K93" s="165"/>
      <c r="L93" s="165"/>
      <c r="M93" s="165"/>
      <c r="N93" s="165"/>
      <c r="O93" s="152" t="str">
        <f t="shared" si="6"/>
        <v/>
      </c>
      <c r="P93" s="197" t="str">
        <f t="shared" si="7"/>
        <v/>
      </c>
      <c r="Q93" s="154" t="str">
        <f t="shared" si="8"/>
        <v/>
      </c>
      <c r="R93" s="163"/>
      <c r="S93" s="841" t="s">
        <v>2422</v>
      </c>
    </row>
    <row r="94" spans="1:19" ht="15" x14ac:dyDescent="0.2">
      <c r="A94" s="156">
        <v>91</v>
      </c>
      <c r="B94" s="157" t="str">
        <f>IF(F86="","",IF(F86=B86,D86,IF(F86=D86,B86)))</f>
        <v/>
      </c>
      <c r="C94" s="145" t="str">
        <f>IF(B94="",B94,VLOOKUP(B94,'Списки участников'!A:O,12,FALSE))</f>
        <v/>
      </c>
      <c r="D94" s="157" t="str">
        <f>IF(F87="","",IF(F87=B87,D87,IF(F87=D87,B87)))</f>
        <v/>
      </c>
      <c r="E94" s="145" t="str">
        <f>IF(D94="",D94,VLOOKUP(D94,'Списки участников'!A:O,12,FALSE))</f>
        <v/>
      </c>
      <c r="F94" s="157"/>
      <c r="G94" s="145" t="str">
        <f>IF(F94="","",VLOOKUP(F94,'Списки участников'!A:O,12,FALSE))</f>
        <v/>
      </c>
      <c r="H94" s="165"/>
      <c r="I94" s="165"/>
      <c r="J94" s="165"/>
      <c r="K94" s="165"/>
      <c r="L94" s="165"/>
      <c r="M94" s="165"/>
      <c r="N94" s="165"/>
      <c r="O94" s="152" t="str">
        <f t="shared" si="6"/>
        <v/>
      </c>
      <c r="P94" s="197" t="str">
        <f t="shared" si="7"/>
        <v/>
      </c>
      <c r="Q94" s="154" t="str">
        <f t="shared" si="8"/>
        <v/>
      </c>
      <c r="R94" s="163"/>
      <c r="S94" s="841"/>
    </row>
    <row r="95" spans="1:19" ht="15" x14ac:dyDescent="0.2">
      <c r="A95" s="156">
        <v>92</v>
      </c>
      <c r="B95" s="157" t="str">
        <f>IF(F88="","",IF(F88=B88,D88,IF(F88=D88,B88)))</f>
        <v/>
      </c>
      <c r="C95" s="145" t="str">
        <f>IF(B95="",B95,VLOOKUP(B95,'Списки участников'!A:O,12,FALSE))</f>
        <v/>
      </c>
      <c r="D95" s="157" t="str">
        <f>IF(F89="","",IF(F89=B89,D89,IF(F89=D89,B89)))</f>
        <v/>
      </c>
      <c r="E95" s="145" t="str">
        <f>IF(D95="",D95,VLOOKUP(D95,'Списки участников'!A:O,12,FALSE))</f>
        <v/>
      </c>
      <c r="F95" s="157"/>
      <c r="G95" s="145" t="str">
        <f>IF(F95="","",VLOOKUP(F95,'Списки участников'!A:O,12,FALSE))</f>
        <v/>
      </c>
      <c r="H95" s="165"/>
      <c r="I95" s="165"/>
      <c r="J95" s="165"/>
      <c r="K95" s="165"/>
      <c r="L95" s="165"/>
      <c r="M95" s="165"/>
      <c r="N95" s="165"/>
      <c r="O95" s="152" t="str">
        <f t="shared" si="6"/>
        <v/>
      </c>
      <c r="P95" s="197" t="str">
        <f t="shared" si="7"/>
        <v/>
      </c>
      <c r="Q95" s="154" t="str">
        <f t="shared" si="8"/>
        <v/>
      </c>
      <c r="R95" s="163"/>
      <c r="S95" s="841"/>
    </row>
    <row r="96" spans="1:19" ht="15" x14ac:dyDescent="0.2">
      <c r="A96" s="156">
        <v>93</v>
      </c>
      <c r="B96" s="196">
        <f>F94</f>
        <v>0</v>
      </c>
      <c r="C96" s="145" t="e">
        <f>IF(B96="",B96,VLOOKUP(B96,'Списки участников'!A:O,12,FALSE))</f>
        <v>#N/A</v>
      </c>
      <c r="D96" s="196">
        <f>F95</f>
        <v>0</v>
      </c>
      <c r="E96" s="145" t="e">
        <f>IF(D96="",D96,VLOOKUP(D96,'Списки участников'!A:O,12,FALSE))</f>
        <v>#N/A</v>
      </c>
      <c r="F96" s="157"/>
      <c r="G96" s="145" t="str">
        <f>IF(F96="","",VLOOKUP(F96,'Списки участников'!A:O,12,FALSE))</f>
        <v/>
      </c>
      <c r="H96" s="165"/>
      <c r="I96" s="165"/>
      <c r="J96" s="165"/>
      <c r="K96" s="165"/>
      <c r="L96" s="165"/>
      <c r="M96" s="165"/>
      <c r="N96" s="165"/>
      <c r="O96" s="152" t="str">
        <f t="shared" si="6"/>
        <v/>
      </c>
      <c r="P96" s="197" t="str">
        <f t="shared" si="7"/>
        <v/>
      </c>
      <c r="Q96" s="154" t="str">
        <f t="shared" si="8"/>
        <v/>
      </c>
      <c r="R96" s="163"/>
      <c r="S96" s="841" t="s">
        <v>2424</v>
      </c>
    </row>
    <row r="97" spans="1:19" ht="15" x14ac:dyDescent="0.2">
      <c r="A97" s="156">
        <v>94</v>
      </c>
      <c r="B97" s="157" t="str">
        <f>IF(F94="","",IF(F94=B94,D94,IF(F94=D94,B94)))</f>
        <v/>
      </c>
      <c r="C97" s="145" t="str">
        <f>IF(B97="",B97,VLOOKUP(B97,'Списки участников'!A:O,12,FALSE))</f>
        <v/>
      </c>
      <c r="D97" s="157" t="str">
        <f>IF(F95="","",IF(F95=B95,D95,IF(F95=D95,B95)))</f>
        <v/>
      </c>
      <c r="E97" s="145" t="str">
        <f>IF(D97="",D97,VLOOKUP(D97,'Списки участников'!A:O,12,FALSE))</f>
        <v/>
      </c>
      <c r="F97" s="157"/>
      <c r="G97" s="145" t="str">
        <f>IF(F97="","",VLOOKUP(F97,'Списки участников'!A:O,12,FALSE))</f>
        <v/>
      </c>
      <c r="H97" s="165"/>
      <c r="I97" s="165"/>
      <c r="J97" s="165"/>
      <c r="K97" s="165"/>
      <c r="L97" s="165"/>
      <c r="M97" s="165"/>
      <c r="N97" s="165"/>
      <c r="O97" s="152" t="str">
        <f t="shared" si="6"/>
        <v/>
      </c>
      <c r="P97" s="197" t="str">
        <f t="shared" si="7"/>
        <v/>
      </c>
      <c r="Q97" s="154" t="str">
        <f t="shared" si="8"/>
        <v/>
      </c>
      <c r="R97" s="163"/>
      <c r="S97" s="841" t="s">
        <v>2423</v>
      </c>
    </row>
  </sheetData>
  <autoFilter ref="A2:S97"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9">
    <mergeCell ref="H2:N2"/>
    <mergeCell ref="R2:R3"/>
    <mergeCell ref="S2:S3"/>
    <mergeCell ref="A2:A3"/>
    <mergeCell ref="B2:B3"/>
    <mergeCell ref="C2:C3"/>
    <mergeCell ref="D2:D3"/>
    <mergeCell ref="E2:E3"/>
    <mergeCell ref="G2:G3"/>
  </mergeCells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rgb="FF7030A0"/>
  </sheetPr>
  <dimension ref="A1:T68"/>
  <sheetViews>
    <sheetView view="pageBreakPreview" zoomScale="90" zoomScaleNormal="100" zoomScaleSheetLayoutView="90" workbookViewId="0">
      <selection activeCell="M46" sqref="M46"/>
    </sheetView>
  </sheetViews>
  <sheetFormatPr defaultRowHeight="12.75" outlineLevelCol="1" x14ac:dyDescent="0.2"/>
  <cols>
    <col min="1" max="1" width="6.6640625" customWidth="1"/>
    <col min="2" max="2" width="4.5" customWidth="1"/>
    <col min="3" max="4" width="5" customWidth="1"/>
    <col min="5" max="5" width="8" hidden="1" customWidth="1" outlineLevel="1"/>
    <col min="6" max="6" width="29.1640625" customWidth="1" collapsed="1"/>
    <col min="7" max="7" width="9.33203125" hidden="1" customWidth="1" outlineLevel="1"/>
    <col min="8" max="8" width="29.1640625" customWidth="1" collapsed="1"/>
    <col min="9" max="9" width="6.6640625" customWidth="1"/>
    <col min="10" max="10" width="4.83203125" customWidth="1"/>
    <col min="11" max="12" width="5" customWidth="1"/>
    <col min="13" max="13" width="9.33203125" hidden="1" customWidth="1" outlineLevel="1"/>
    <col min="14" max="14" width="29.1640625" customWidth="1" collapsed="1"/>
    <col min="15" max="15" width="9.33203125" hidden="1" customWidth="1" outlineLevel="1"/>
    <col min="16" max="16" width="29.1640625" customWidth="1" collapsed="1"/>
  </cols>
  <sheetData>
    <row r="1" spans="1:20" ht="21.75" customHeight="1" x14ac:dyDescent="0.3">
      <c r="A1" s="1310" t="str">
        <f>'Списки участников'!A1</f>
        <v xml:space="preserve">X Спартакиада
среди предприятий Нижегородской области ФСК "Профсоюзов",
под девизом "Будь спортивным - будь успешным!"
</v>
      </c>
      <c r="B1" s="1310"/>
      <c r="C1" s="1310"/>
      <c r="D1" s="1310"/>
      <c r="E1" s="1310"/>
      <c r="F1" s="1310"/>
      <c r="G1" s="1310"/>
      <c r="H1" s="1310"/>
      <c r="I1" s="1310"/>
      <c r="J1" s="1310"/>
      <c r="K1" s="1310"/>
      <c r="L1" s="1310"/>
      <c r="M1" s="1310"/>
      <c r="N1" s="1310"/>
      <c r="O1" s="1310"/>
      <c r="P1" s="1310"/>
    </row>
    <row r="2" spans="1:20" ht="16.5" thickBot="1" x14ac:dyDescent="0.3">
      <c r="A2" s="686" t="str">
        <f>'Списки участников'!C3</f>
        <v>22 октября 2016 г.</v>
      </c>
      <c r="B2" s="686"/>
      <c r="C2" s="686"/>
      <c r="D2" s="686"/>
      <c r="E2" s="685" t="s">
        <v>1039</v>
      </c>
      <c r="F2" s="685"/>
      <c r="G2" s="685"/>
      <c r="H2" s="794" t="s">
        <v>1053</v>
      </c>
      <c r="I2" s="1331">
        <f>'Списки участников'!D6</f>
        <v>0</v>
      </c>
      <c r="J2" s="1332"/>
      <c r="K2" s="1332"/>
      <c r="L2" s="1332"/>
      <c r="M2" s="685"/>
      <c r="N2" s="685"/>
      <c r="P2" s="684">
        <f>'Списки участников'!H3</f>
        <v>0</v>
      </c>
    </row>
    <row r="3" spans="1:20" ht="16.5" customHeight="1" x14ac:dyDescent="0.25">
      <c r="A3" s="1311" t="s">
        <v>1040</v>
      </c>
      <c r="B3" s="1313" t="s">
        <v>964</v>
      </c>
      <c r="C3" s="1327" t="s">
        <v>3</v>
      </c>
      <c r="D3" s="1328"/>
      <c r="E3" s="1315"/>
      <c r="F3" s="1317" t="s">
        <v>4</v>
      </c>
      <c r="G3" s="680"/>
      <c r="H3" s="1319" t="s">
        <v>4</v>
      </c>
      <c r="I3" s="1321" t="s">
        <v>1040</v>
      </c>
      <c r="J3" s="1323" t="s">
        <v>964</v>
      </c>
      <c r="K3" s="1333" t="s">
        <v>3</v>
      </c>
      <c r="L3" s="1334"/>
      <c r="M3" s="728"/>
      <c r="N3" s="1325" t="s">
        <v>4</v>
      </c>
      <c r="O3" s="681"/>
      <c r="P3" s="1308" t="s">
        <v>4</v>
      </c>
      <c r="R3" s="109"/>
      <c r="S3" s="109"/>
      <c r="T3" s="109"/>
    </row>
    <row r="4" spans="1:20" ht="16.5" thickBot="1" x14ac:dyDescent="0.3">
      <c r="A4" s="1312"/>
      <c r="B4" s="1314"/>
      <c r="C4" s="1329"/>
      <c r="D4" s="1330"/>
      <c r="E4" s="1316"/>
      <c r="F4" s="1318"/>
      <c r="G4" s="682"/>
      <c r="H4" s="1320"/>
      <c r="I4" s="1322"/>
      <c r="J4" s="1324"/>
      <c r="K4" s="1335"/>
      <c r="L4" s="1336"/>
      <c r="M4" s="729"/>
      <c r="N4" s="1326"/>
      <c r="O4" s="683"/>
      <c r="P4" s="1309"/>
      <c r="R4" s="109"/>
      <c r="S4" s="109"/>
      <c r="T4" s="109"/>
    </row>
    <row r="5" spans="1:20" ht="15.75" x14ac:dyDescent="0.25">
      <c r="A5" s="677">
        <v>1</v>
      </c>
      <c r="B5" s="482">
        <v>1</v>
      </c>
      <c r="C5" s="738">
        <v>1</v>
      </c>
      <c r="D5" s="739">
        <v>16</v>
      </c>
      <c r="E5" s="484">
        <f>LOOKUP(C5,'1Ф КРУГ'!A:A,'1Ф КРУГ'!B:B)</f>
        <v>0</v>
      </c>
      <c r="F5" s="678" t="e">
        <f>IF(E5="","",VLOOKUP(E5,'Списки участников'!A:K,3,FALSE))</f>
        <v>#N/A</v>
      </c>
      <c r="G5" s="485">
        <f>LOOKUP(D5,'1Ф КРУГ'!A:A,'1Ф КРУГ'!B:B)</f>
        <v>0</v>
      </c>
      <c r="H5" s="678" t="e">
        <f>IF(G5="","",VLOOKUP(G5,'Списки участников'!A:K,3,FALSE))</f>
        <v>#N/A</v>
      </c>
      <c r="I5" s="677">
        <v>65</v>
      </c>
      <c r="J5" s="496">
        <v>9</v>
      </c>
      <c r="K5" s="743">
        <v>1</v>
      </c>
      <c r="L5" s="743">
        <v>8</v>
      </c>
      <c r="M5" s="485">
        <f>LOOKUP(K5,'1Ф КРУГ'!A:A,'1Ф КРУГ'!B:B)</f>
        <v>0</v>
      </c>
      <c r="N5" s="678" t="e">
        <f>IF(M5="","",VLOOKUP(M5,'Списки участников'!A:K,3,FALSE))</f>
        <v>#N/A</v>
      </c>
      <c r="O5" s="485">
        <f>LOOKUP(L5,'1Ф КРУГ'!A:A,'1Ф КРУГ'!B:B)</f>
        <v>0</v>
      </c>
      <c r="P5" s="678" t="e">
        <f>IF(O5="","",VLOOKUP(O5,'Списки участников'!A:K,3,FALSE))</f>
        <v>#N/A</v>
      </c>
      <c r="Q5" s="749">
        <v>1</v>
      </c>
      <c r="R5" s="749">
        <v>1</v>
      </c>
      <c r="S5" s="109"/>
      <c r="T5" s="109"/>
    </row>
    <row r="6" spans="1:20" ht="15.75" x14ac:dyDescent="0.25">
      <c r="A6" s="486">
        <v>2</v>
      </c>
      <c r="B6" s="487">
        <v>1</v>
      </c>
      <c r="C6" s="738">
        <v>2</v>
      </c>
      <c r="D6" s="739">
        <v>15</v>
      </c>
      <c r="E6" s="484">
        <f>LOOKUP(C6,'1Ф КРУГ'!A:A,'1Ф КРУГ'!B:B)</f>
        <v>0</v>
      </c>
      <c r="F6" s="695" t="e">
        <f>IF(E6="","",VLOOKUP(E6,'Списки участников'!A:K,3,FALSE))</f>
        <v>#N/A</v>
      </c>
      <c r="G6" s="485">
        <f>LOOKUP(D6,'1Ф КРУГ'!A:A,'1Ф КРУГ'!B:B)</f>
        <v>0</v>
      </c>
      <c r="H6" s="695" t="e">
        <f>IF(G6="","",VLOOKUP(G6,'Списки участников'!A:K,3,FALSE))</f>
        <v>#N/A</v>
      </c>
      <c r="I6" s="486">
        <v>66</v>
      </c>
      <c r="J6" s="496">
        <v>9</v>
      </c>
      <c r="K6" s="739">
        <v>7</v>
      </c>
      <c r="L6" s="739">
        <v>9</v>
      </c>
      <c r="M6" s="485">
        <f>LOOKUP(K6,'1Ф КРУГ'!A:A,'1Ф КРУГ'!B:B)</f>
        <v>0</v>
      </c>
      <c r="N6" s="695" t="e">
        <f>IF(M6="","",VLOOKUP(M6,'Списки участников'!A:K,3,FALSE))</f>
        <v>#N/A</v>
      </c>
      <c r="O6" s="485">
        <f>LOOKUP(L6,'1Ф КРУГ'!A:A,'1Ф КРУГ'!B:B)</f>
        <v>0</v>
      </c>
      <c r="P6" s="695" t="e">
        <f>IF(O6="","",VLOOKUP(O6,'Списки участников'!A:K,3,FALSE))</f>
        <v>#N/A</v>
      </c>
      <c r="Q6" s="749">
        <v>2</v>
      </c>
      <c r="R6" s="749">
        <v>9</v>
      </c>
      <c r="S6" s="109"/>
      <c r="T6" s="109"/>
    </row>
    <row r="7" spans="1:20" ht="15.75" x14ac:dyDescent="0.25">
      <c r="A7" s="486">
        <v>3</v>
      </c>
      <c r="B7" s="487">
        <v>1</v>
      </c>
      <c r="C7" s="738">
        <v>3</v>
      </c>
      <c r="D7" s="739">
        <v>14</v>
      </c>
      <c r="E7" s="484">
        <f>LOOKUP(C7,'1Ф КРУГ'!A:A,'1Ф КРУГ'!B:B)</f>
        <v>0</v>
      </c>
      <c r="F7" s="695" t="e">
        <f>IF(E7="","",VLOOKUP(E7,'Списки участников'!A:K,3,FALSE))</f>
        <v>#N/A</v>
      </c>
      <c r="G7" s="485">
        <f>LOOKUP(D7,'1Ф КРУГ'!A:A,'1Ф КРУГ'!B:B)</f>
        <v>0</v>
      </c>
      <c r="H7" s="695" t="e">
        <f>IF(G7="","",VLOOKUP(G7,'Списки участников'!A:K,3,FALSE))</f>
        <v>#N/A</v>
      </c>
      <c r="I7" s="486">
        <v>67</v>
      </c>
      <c r="J7" s="496">
        <v>9</v>
      </c>
      <c r="K7" s="739">
        <v>6</v>
      </c>
      <c r="L7" s="739">
        <v>10</v>
      </c>
      <c r="M7" s="485">
        <f>LOOKUP(K7,'1Ф КРУГ'!A:A,'1Ф КРУГ'!B:B)</f>
        <v>0</v>
      </c>
      <c r="N7" s="695" t="e">
        <f>IF(M7="","",VLOOKUP(M7,'Списки участников'!A:K,3,FALSE))</f>
        <v>#N/A</v>
      </c>
      <c r="O7" s="485">
        <f>LOOKUP(L7,'1Ф КРУГ'!A:A,'1Ф КРУГ'!B:B)</f>
        <v>0</v>
      </c>
      <c r="P7" s="695" t="e">
        <f>IF(O7="","",VLOOKUP(O7,'Списки участников'!A:K,3,FALSE))</f>
        <v>#N/A</v>
      </c>
      <c r="Q7" s="749">
        <v>3</v>
      </c>
      <c r="R7" s="749">
        <v>17</v>
      </c>
      <c r="S7" s="109"/>
      <c r="T7" s="109"/>
    </row>
    <row r="8" spans="1:20" ht="15.75" x14ac:dyDescent="0.25">
      <c r="A8" s="486">
        <v>4</v>
      </c>
      <c r="B8" s="487">
        <v>1</v>
      </c>
      <c r="C8" s="738">
        <v>4</v>
      </c>
      <c r="D8" s="739">
        <v>13</v>
      </c>
      <c r="E8" s="484">
        <f>LOOKUP(C8,'1Ф КРУГ'!A:A,'1Ф КРУГ'!B:B)</f>
        <v>0</v>
      </c>
      <c r="F8" s="695" t="e">
        <f>IF(E8="","",VLOOKUP(E8,'Списки участников'!A:K,3,FALSE))</f>
        <v>#N/A</v>
      </c>
      <c r="G8" s="485">
        <f>LOOKUP(D8,'1Ф КРУГ'!A:A,'1Ф КРУГ'!B:B)</f>
        <v>0</v>
      </c>
      <c r="H8" s="695" t="e">
        <f>IF(G8="","",VLOOKUP(G8,'Списки участников'!A:K,3,FALSE))</f>
        <v>#N/A</v>
      </c>
      <c r="I8" s="486">
        <v>68</v>
      </c>
      <c r="J8" s="496">
        <v>9</v>
      </c>
      <c r="K8" s="739">
        <v>5</v>
      </c>
      <c r="L8" s="739">
        <v>11</v>
      </c>
      <c r="M8" s="485">
        <f>LOOKUP(K8,'1Ф КРУГ'!A:A,'1Ф КРУГ'!B:B)</f>
        <v>0</v>
      </c>
      <c r="N8" s="695" t="e">
        <f>IF(M8="","",VLOOKUP(M8,'Списки участников'!A:K,3,FALSE))</f>
        <v>#N/A</v>
      </c>
      <c r="O8" s="485">
        <f>LOOKUP(L8,'1Ф КРУГ'!A:A,'1Ф КРУГ'!B:B)</f>
        <v>0</v>
      </c>
      <c r="P8" s="695" t="e">
        <f>IF(O8="","",VLOOKUP(O8,'Списки участников'!A:K,3,FALSE))</f>
        <v>#N/A</v>
      </c>
      <c r="Q8" s="749">
        <v>4</v>
      </c>
      <c r="R8" s="749">
        <v>25</v>
      </c>
      <c r="S8" s="109"/>
      <c r="T8" s="109"/>
    </row>
    <row r="9" spans="1:20" ht="15.75" x14ac:dyDescent="0.25">
      <c r="A9" s="486">
        <v>5</v>
      </c>
      <c r="B9" s="489">
        <v>1</v>
      </c>
      <c r="C9" s="738">
        <v>5</v>
      </c>
      <c r="D9" s="739">
        <v>12</v>
      </c>
      <c r="E9" s="484">
        <f>LOOKUP(C9,'1Ф КРУГ'!A:A,'1Ф КРУГ'!B:B)</f>
        <v>0</v>
      </c>
      <c r="F9" s="695" t="e">
        <f>IF(E9="","",VLOOKUP(E9,'Списки участников'!A:K,3,FALSE))</f>
        <v>#N/A</v>
      </c>
      <c r="G9" s="485">
        <f>LOOKUP(D9,'1Ф КРУГ'!A:A,'1Ф КРУГ'!B:B)</f>
        <v>0</v>
      </c>
      <c r="H9" s="695" t="e">
        <f>IF(G9="","",VLOOKUP(G9,'Списки участников'!A:K,3,FALSE))</f>
        <v>#N/A</v>
      </c>
      <c r="I9" s="486">
        <v>69</v>
      </c>
      <c r="J9" s="501">
        <v>9</v>
      </c>
      <c r="K9" s="739">
        <v>4</v>
      </c>
      <c r="L9" s="739">
        <v>12</v>
      </c>
      <c r="M9" s="485">
        <f>LOOKUP(K9,'1Ф КРУГ'!A:A,'1Ф КРУГ'!B:B)</f>
        <v>0</v>
      </c>
      <c r="N9" s="695" t="e">
        <f>IF(M9="","",VLOOKUP(M9,'Списки участников'!A:K,3,FALSE))</f>
        <v>#N/A</v>
      </c>
      <c r="O9" s="485">
        <f>LOOKUP(L9,'1Ф КРУГ'!A:A,'1Ф КРУГ'!B:B)</f>
        <v>0</v>
      </c>
      <c r="P9" s="695" t="e">
        <f>IF(O9="","",VLOOKUP(O9,'Списки участников'!A:K,3,FALSE))</f>
        <v>#N/A</v>
      </c>
      <c r="Q9" s="749">
        <v>5</v>
      </c>
      <c r="R9" s="749">
        <v>33</v>
      </c>
      <c r="S9" s="109"/>
      <c r="T9" s="109"/>
    </row>
    <row r="10" spans="1:20" ht="15.75" x14ac:dyDescent="0.25">
      <c r="A10" s="486">
        <v>6</v>
      </c>
      <c r="B10" s="487">
        <v>1</v>
      </c>
      <c r="C10" s="738">
        <v>6</v>
      </c>
      <c r="D10" s="739">
        <v>11</v>
      </c>
      <c r="E10" s="484">
        <f>LOOKUP(C10,'1Ф КРУГ'!A:A,'1Ф КРУГ'!B:B)</f>
        <v>0</v>
      </c>
      <c r="F10" s="695" t="e">
        <f>IF(E10="","",VLOOKUP(E10,'Списки участников'!A:K,3,FALSE))</f>
        <v>#N/A</v>
      </c>
      <c r="G10" s="485">
        <f>LOOKUP(D10,'1Ф КРУГ'!A:A,'1Ф КРУГ'!B:B)</f>
        <v>0</v>
      </c>
      <c r="H10" s="695" t="e">
        <f>IF(G10="","",VLOOKUP(G10,'Списки участников'!A:K,3,FALSE))</f>
        <v>#N/A</v>
      </c>
      <c r="I10" s="486">
        <v>70</v>
      </c>
      <c r="J10" s="496">
        <v>9</v>
      </c>
      <c r="K10" s="739">
        <v>3</v>
      </c>
      <c r="L10" s="739">
        <v>13</v>
      </c>
      <c r="M10" s="485">
        <f>LOOKUP(K10,'1Ф КРУГ'!A:A,'1Ф КРУГ'!B:B)</f>
        <v>0</v>
      </c>
      <c r="N10" s="695" t="e">
        <f>IF(M10="","",VLOOKUP(M10,'Списки участников'!A:K,3,FALSE))</f>
        <v>#N/A</v>
      </c>
      <c r="O10" s="485">
        <f>LOOKUP(L10,'1Ф КРУГ'!A:A,'1Ф КРУГ'!B:B)</f>
        <v>0</v>
      </c>
      <c r="P10" s="695" t="e">
        <f>IF(O10="","",VLOOKUP(O10,'Списки участников'!A:K,3,FALSE))</f>
        <v>#N/A</v>
      </c>
      <c r="Q10" s="749">
        <v>6</v>
      </c>
      <c r="R10" s="749">
        <v>41</v>
      </c>
      <c r="S10" s="109"/>
      <c r="T10" s="109"/>
    </row>
    <row r="11" spans="1:20" ht="15.75" x14ac:dyDescent="0.25">
      <c r="A11" s="486">
        <v>7</v>
      </c>
      <c r="B11" s="487">
        <v>1</v>
      </c>
      <c r="C11" s="738">
        <v>7</v>
      </c>
      <c r="D11" s="739">
        <v>10</v>
      </c>
      <c r="E11" s="484">
        <f>LOOKUP(C11,'1Ф КРУГ'!A:A,'1Ф КРУГ'!B:B)</f>
        <v>0</v>
      </c>
      <c r="F11" s="695" t="e">
        <f>IF(E11="","",VLOOKUP(E11,'Списки участников'!A:K,3,FALSE))</f>
        <v>#N/A</v>
      </c>
      <c r="G11" s="485">
        <f>LOOKUP(D11,'1Ф КРУГ'!A:A,'1Ф КРУГ'!B:B)</f>
        <v>0</v>
      </c>
      <c r="H11" s="695" t="e">
        <f>IF(G11="","",VLOOKUP(G11,'Списки участников'!A:K,3,FALSE))</f>
        <v>#N/A</v>
      </c>
      <c r="I11" s="486">
        <v>71</v>
      </c>
      <c r="J11" s="496">
        <v>9</v>
      </c>
      <c r="K11" s="739">
        <v>2</v>
      </c>
      <c r="L11" s="739">
        <v>14</v>
      </c>
      <c r="M11" s="485">
        <f>LOOKUP(K11,'1Ф КРУГ'!A:A,'1Ф КРУГ'!B:B)</f>
        <v>0</v>
      </c>
      <c r="N11" s="695" t="e">
        <f>IF(M11="","",VLOOKUP(M11,'Списки участников'!A:K,3,FALSE))</f>
        <v>#N/A</v>
      </c>
      <c r="O11" s="485">
        <f>LOOKUP(L11,'1Ф КРУГ'!A:A,'1Ф КРУГ'!B:B)</f>
        <v>0</v>
      </c>
      <c r="P11" s="695" t="e">
        <f>IF(O11="","",VLOOKUP(O11,'Списки участников'!A:K,3,FALSE))</f>
        <v>#N/A</v>
      </c>
      <c r="Q11" s="749">
        <v>7</v>
      </c>
      <c r="R11" s="749">
        <v>49</v>
      </c>
      <c r="S11" s="109"/>
      <c r="T11" s="109"/>
    </row>
    <row r="12" spans="1:20" ht="16.5" thickBot="1" x14ac:dyDescent="0.3">
      <c r="A12" s="486">
        <v>8</v>
      </c>
      <c r="B12" s="492">
        <v>1</v>
      </c>
      <c r="C12" s="740">
        <v>8</v>
      </c>
      <c r="D12" s="741">
        <v>9</v>
      </c>
      <c r="E12" s="484">
        <f>LOOKUP(C12,'1Ф КРУГ'!A:A,'1Ф КРУГ'!B:B)</f>
        <v>0</v>
      </c>
      <c r="F12" s="730" t="e">
        <f>IF(E12="","",VLOOKUP(E12,'Списки участников'!A:K,3,FALSE))</f>
        <v>#N/A</v>
      </c>
      <c r="G12" s="731">
        <f>LOOKUP(D12,'1Ф КРУГ'!A:A,'1Ф КРУГ'!B:B)</f>
        <v>0</v>
      </c>
      <c r="H12" s="730" t="e">
        <f>IF(G12="","",VLOOKUP(G12,'Списки участников'!A:K,3,FALSE))</f>
        <v>#N/A</v>
      </c>
      <c r="I12" s="702">
        <v>72</v>
      </c>
      <c r="J12" s="500">
        <v>9</v>
      </c>
      <c r="K12" s="741">
        <v>15</v>
      </c>
      <c r="L12" s="741">
        <v>16</v>
      </c>
      <c r="M12" s="731">
        <f>LOOKUP(K12,'1Ф КРУГ'!A:A,'1Ф КРУГ'!B:B)</f>
        <v>0</v>
      </c>
      <c r="N12" s="730" t="e">
        <f>IF(M12="","",VLOOKUP(M12,'Списки участников'!A:K,3,FALSE))</f>
        <v>#N/A</v>
      </c>
      <c r="O12" s="731">
        <f>LOOKUP(L12,'1Ф КРУГ'!A:A,'1Ф КРУГ'!B:B)</f>
        <v>0</v>
      </c>
      <c r="P12" s="730" t="e">
        <f>IF(O12="","",VLOOKUP(O12,'Списки участников'!A:K,3,FALSE))</f>
        <v>#N/A</v>
      </c>
      <c r="Q12" s="749">
        <v>8</v>
      </c>
      <c r="R12" s="749">
        <v>57</v>
      </c>
    </row>
    <row r="13" spans="1:20" ht="17.25" x14ac:dyDescent="0.25">
      <c r="A13" s="486">
        <v>9</v>
      </c>
      <c r="B13" s="487">
        <v>2</v>
      </c>
      <c r="C13" s="742">
        <v>1</v>
      </c>
      <c r="D13" s="743">
        <v>15</v>
      </c>
      <c r="E13" s="484">
        <f>LOOKUP(C13,'1Ф КРУГ'!A:A,'1Ф КРУГ'!B:B)</f>
        <v>0</v>
      </c>
      <c r="F13" s="695" t="e">
        <f>IF(E13="","",VLOOKUP(E13,'Списки участников'!A:K,3,FALSE))</f>
        <v>#N/A</v>
      </c>
      <c r="G13" s="485">
        <f>LOOKUP(D13,'1Ф КРУГ'!A:A,'1Ф КРУГ'!B:B)</f>
        <v>0</v>
      </c>
      <c r="H13" s="695" t="e">
        <f>IF(G13="","",VLOOKUP(G13,'Списки участников'!A:K,3,FALSE))</f>
        <v>#N/A</v>
      </c>
      <c r="I13" s="692">
        <v>73</v>
      </c>
      <c r="J13" s="496">
        <v>10</v>
      </c>
      <c r="K13" s="743">
        <v>1</v>
      </c>
      <c r="L13" s="743">
        <v>7</v>
      </c>
      <c r="M13" s="485">
        <f>LOOKUP(K13,'1Ф КРУГ'!A:A,'1Ф КРУГ'!B:B)</f>
        <v>0</v>
      </c>
      <c r="N13" s="695" t="e">
        <f>IF(M13="","",VLOOKUP(M13,'Списки участников'!A:K,3,FALSE))</f>
        <v>#N/A</v>
      </c>
      <c r="O13" s="485">
        <f>LOOKUP(L13,'1Ф КРУГ'!A:A,'1Ф КРУГ'!B:B)</f>
        <v>0</v>
      </c>
      <c r="P13" s="695" t="e">
        <f>IF(O13="","",VLOOKUP(O13,'Списки участников'!A:K,3,FALSE))</f>
        <v>#N/A</v>
      </c>
      <c r="Q13" s="749">
        <v>9</v>
      </c>
      <c r="R13" s="749">
        <v>65</v>
      </c>
    </row>
    <row r="14" spans="1:20" ht="17.25" x14ac:dyDescent="0.25">
      <c r="A14" s="486">
        <v>10</v>
      </c>
      <c r="B14" s="487">
        <v>2</v>
      </c>
      <c r="C14" s="738">
        <v>14</v>
      </c>
      <c r="D14" s="739">
        <v>16</v>
      </c>
      <c r="E14" s="484">
        <f>LOOKUP(C14,'1Ф КРУГ'!A:A,'1Ф КРУГ'!B:B)</f>
        <v>0</v>
      </c>
      <c r="F14" s="695" t="e">
        <f>IF(E14="","",VLOOKUP(E14,'Списки участников'!A:K,3,FALSE))</f>
        <v>#N/A</v>
      </c>
      <c r="G14" s="485">
        <f>LOOKUP(D14,'1Ф КРУГ'!A:A,'1Ф КРУГ'!B:B)</f>
        <v>0</v>
      </c>
      <c r="H14" s="695" t="e">
        <f>IF(G14="","",VLOOKUP(G14,'Списки участников'!A:K,3,FALSE))</f>
        <v>#N/A</v>
      </c>
      <c r="I14" s="486">
        <v>74</v>
      </c>
      <c r="J14" s="496">
        <v>10</v>
      </c>
      <c r="K14" s="739">
        <v>6</v>
      </c>
      <c r="L14" s="743">
        <v>8</v>
      </c>
      <c r="M14" s="485">
        <f>LOOKUP(K14,'1Ф КРУГ'!A:A,'1Ф КРУГ'!B:B)</f>
        <v>0</v>
      </c>
      <c r="N14" s="695" t="e">
        <f>IF(M14="","",VLOOKUP(M14,'Списки участников'!A:K,3,FALSE))</f>
        <v>#N/A</v>
      </c>
      <c r="O14" s="485">
        <f>LOOKUP(L14,'1Ф КРУГ'!A:A,'1Ф КРУГ'!B:B)</f>
        <v>0</v>
      </c>
      <c r="P14" s="695" t="e">
        <f>IF(O14="","",VLOOKUP(O14,'Списки участников'!A:K,3,FALSE))</f>
        <v>#N/A</v>
      </c>
      <c r="Q14" s="749">
        <v>10</v>
      </c>
      <c r="R14" s="749">
        <v>73</v>
      </c>
    </row>
    <row r="15" spans="1:20" ht="17.25" x14ac:dyDescent="0.25">
      <c r="A15" s="486">
        <v>11</v>
      </c>
      <c r="B15" s="487">
        <v>2</v>
      </c>
      <c r="C15" s="738">
        <v>2</v>
      </c>
      <c r="D15" s="739">
        <v>13</v>
      </c>
      <c r="E15" s="484">
        <f>LOOKUP(C15,'1Ф КРУГ'!A:A,'1Ф КРУГ'!B:B)</f>
        <v>0</v>
      </c>
      <c r="F15" s="695" t="e">
        <f>IF(E15="","",VLOOKUP(E15,'Списки участников'!A:K,3,FALSE))</f>
        <v>#N/A</v>
      </c>
      <c r="G15" s="485">
        <f>LOOKUP(D15,'1Ф КРУГ'!A:A,'1Ф КРУГ'!B:B)</f>
        <v>0</v>
      </c>
      <c r="H15" s="695" t="e">
        <f>IF(G15="","",VLOOKUP(G15,'Списки участников'!A:K,3,FALSE))</f>
        <v>#N/A</v>
      </c>
      <c r="I15" s="486">
        <v>75</v>
      </c>
      <c r="J15" s="496">
        <v>10</v>
      </c>
      <c r="K15" s="739">
        <v>5</v>
      </c>
      <c r="L15" s="743">
        <v>9</v>
      </c>
      <c r="M15" s="485">
        <f>LOOKUP(K15,'1Ф КРУГ'!A:A,'1Ф КРУГ'!B:B)</f>
        <v>0</v>
      </c>
      <c r="N15" s="695" t="e">
        <f>IF(M15="","",VLOOKUP(M15,'Списки участников'!A:K,3,FALSE))</f>
        <v>#N/A</v>
      </c>
      <c r="O15" s="485">
        <f>LOOKUP(L15,'1Ф КРУГ'!A:A,'1Ф КРУГ'!B:B)</f>
        <v>0</v>
      </c>
      <c r="P15" s="695" t="e">
        <f>IF(O15="","",VLOOKUP(O15,'Списки участников'!A:K,3,FALSE))</f>
        <v>#N/A</v>
      </c>
      <c r="Q15" s="749">
        <v>11</v>
      </c>
      <c r="R15" s="749">
        <v>81</v>
      </c>
    </row>
    <row r="16" spans="1:20" ht="17.25" x14ac:dyDescent="0.25">
      <c r="A16" s="486">
        <v>12</v>
      </c>
      <c r="B16" s="487">
        <v>2</v>
      </c>
      <c r="C16" s="738">
        <v>3</v>
      </c>
      <c r="D16" s="739">
        <v>12</v>
      </c>
      <c r="E16" s="484">
        <f>LOOKUP(C16,'1Ф КРУГ'!A:A,'1Ф КРУГ'!B:B)</f>
        <v>0</v>
      </c>
      <c r="F16" s="695" t="e">
        <f>IF(E16="","",VLOOKUP(E16,'Списки участников'!A:K,3,FALSE))</f>
        <v>#N/A</v>
      </c>
      <c r="G16" s="485">
        <f>LOOKUP(D16,'1Ф КРУГ'!A:A,'1Ф КРУГ'!B:B)</f>
        <v>0</v>
      </c>
      <c r="H16" s="695" t="e">
        <f>IF(G16="","",VLOOKUP(G16,'Списки участников'!A:K,3,FALSE))</f>
        <v>#N/A</v>
      </c>
      <c r="I16" s="486">
        <v>76</v>
      </c>
      <c r="J16" s="496">
        <v>10</v>
      </c>
      <c r="K16" s="739">
        <v>4</v>
      </c>
      <c r="L16" s="743">
        <v>10</v>
      </c>
      <c r="M16" s="485">
        <f>LOOKUP(K16,'1Ф КРУГ'!A:A,'1Ф КРУГ'!B:B)</f>
        <v>0</v>
      </c>
      <c r="N16" s="695" t="e">
        <f>IF(M16="","",VLOOKUP(M16,'Списки участников'!A:K,3,FALSE))</f>
        <v>#N/A</v>
      </c>
      <c r="O16" s="485">
        <f>LOOKUP(L16,'1Ф КРУГ'!A:A,'1Ф КРУГ'!B:B)</f>
        <v>0</v>
      </c>
      <c r="P16" s="695" t="e">
        <f>IF(O16="","",VLOOKUP(O16,'Списки участников'!A:K,3,FALSE))</f>
        <v>#N/A</v>
      </c>
      <c r="Q16" s="749">
        <v>12</v>
      </c>
      <c r="R16" s="749">
        <v>89</v>
      </c>
    </row>
    <row r="17" spans="1:18" ht="17.25" x14ac:dyDescent="0.25">
      <c r="A17" s="486">
        <v>13</v>
      </c>
      <c r="B17" s="489">
        <v>2</v>
      </c>
      <c r="C17" s="738">
        <v>4</v>
      </c>
      <c r="D17" s="739">
        <v>11</v>
      </c>
      <c r="E17" s="484">
        <f>LOOKUP(C17,'1Ф КРУГ'!A:A,'1Ф КРУГ'!B:B)</f>
        <v>0</v>
      </c>
      <c r="F17" s="695" t="e">
        <f>IF(E17="","",VLOOKUP(E17,'Списки участников'!A:K,3,FALSE))</f>
        <v>#N/A</v>
      </c>
      <c r="G17" s="485">
        <f>LOOKUP(D17,'1Ф КРУГ'!A:A,'1Ф КРУГ'!B:B)</f>
        <v>0</v>
      </c>
      <c r="H17" s="695" t="e">
        <f>IF(G17="","",VLOOKUP(G17,'Списки участников'!A:K,3,FALSE))</f>
        <v>#N/A</v>
      </c>
      <c r="I17" s="486">
        <v>77</v>
      </c>
      <c r="J17" s="501">
        <v>10</v>
      </c>
      <c r="K17" s="739">
        <v>3</v>
      </c>
      <c r="L17" s="743">
        <v>11</v>
      </c>
      <c r="M17" s="485">
        <f>LOOKUP(K17,'1Ф КРУГ'!A:A,'1Ф КРУГ'!B:B)</f>
        <v>0</v>
      </c>
      <c r="N17" s="695" t="e">
        <f>IF(M17="","",VLOOKUP(M17,'Списки участников'!A:K,3,FALSE))</f>
        <v>#N/A</v>
      </c>
      <c r="O17" s="485">
        <f>LOOKUP(L17,'1Ф КРУГ'!A:A,'1Ф КРУГ'!B:B)</f>
        <v>0</v>
      </c>
      <c r="P17" s="695" t="e">
        <f>IF(O17="","",VLOOKUP(O17,'Списки участников'!A:K,3,FALSE))</f>
        <v>#N/A</v>
      </c>
      <c r="Q17" s="749">
        <v>13</v>
      </c>
      <c r="R17" s="749">
        <v>97</v>
      </c>
    </row>
    <row r="18" spans="1:18" ht="17.25" x14ac:dyDescent="0.25">
      <c r="A18" s="486">
        <v>14</v>
      </c>
      <c r="B18" s="487">
        <v>2</v>
      </c>
      <c r="C18" s="738">
        <v>5</v>
      </c>
      <c r="D18" s="739">
        <v>10</v>
      </c>
      <c r="E18" s="484">
        <f>LOOKUP(C18,'1Ф КРУГ'!A:A,'1Ф КРУГ'!B:B)</f>
        <v>0</v>
      </c>
      <c r="F18" s="695" t="e">
        <f>IF(E18="","",VLOOKUP(E18,'Списки участников'!A:K,3,FALSE))</f>
        <v>#N/A</v>
      </c>
      <c r="G18" s="485">
        <f>LOOKUP(D18,'1Ф КРУГ'!A:A,'1Ф КРУГ'!B:B)</f>
        <v>0</v>
      </c>
      <c r="H18" s="695" t="e">
        <f>IF(G18="","",VLOOKUP(G18,'Списки участников'!A:K,3,FALSE))</f>
        <v>#N/A</v>
      </c>
      <c r="I18" s="486">
        <v>78</v>
      </c>
      <c r="J18" s="496">
        <v>10</v>
      </c>
      <c r="K18" s="745">
        <v>2</v>
      </c>
      <c r="L18" s="743">
        <v>12</v>
      </c>
      <c r="M18" s="485">
        <f>LOOKUP(K18,'1Ф КРУГ'!A:A,'1Ф КРУГ'!B:B)</f>
        <v>0</v>
      </c>
      <c r="N18" s="695" t="e">
        <f>IF(M18="","",VLOOKUP(M18,'Списки участников'!A:K,3,FALSE))</f>
        <v>#N/A</v>
      </c>
      <c r="O18" s="485">
        <f>LOOKUP(L18,'1Ф КРУГ'!A:A,'1Ф КРУГ'!B:B)</f>
        <v>0</v>
      </c>
      <c r="P18" s="695" t="e">
        <f>IF(O18="","",VLOOKUP(O18,'Списки участников'!A:K,3,FALSE))</f>
        <v>#N/A</v>
      </c>
      <c r="Q18" s="749">
        <v>14</v>
      </c>
      <c r="R18" s="749">
        <v>105</v>
      </c>
    </row>
    <row r="19" spans="1:18" ht="17.25" x14ac:dyDescent="0.25">
      <c r="A19" s="486">
        <v>15</v>
      </c>
      <c r="B19" s="487">
        <v>2</v>
      </c>
      <c r="C19" s="738">
        <v>6</v>
      </c>
      <c r="D19" s="739">
        <v>9</v>
      </c>
      <c r="E19" s="484">
        <f>LOOKUP(C19,'1Ф КРУГ'!A:A,'1Ф КРУГ'!B:B)</f>
        <v>0</v>
      </c>
      <c r="F19" s="695" t="e">
        <f>IF(E19="","",VLOOKUP(E19,'Списки участников'!A:K,3,FALSE))</f>
        <v>#N/A</v>
      </c>
      <c r="G19" s="485">
        <f>LOOKUP(D19,'1Ф КРУГ'!A:A,'1Ф КРУГ'!B:B)</f>
        <v>0</v>
      </c>
      <c r="H19" s="695" t="e">
        <f>IF(G19="","",VLOOKUP(G19,'Списки участников'!A:K,3,FALSE))</f>
        <v>#N/A</v>
      </c>
      <c r="I19" s="486">
        <v>79</v>
      </c>
      <c r="J19" s="496">
        <v>10</v>
      </c>
      <c r="K19" s="745">
        <v>13</v>
      </c>
      <c r="L19" s="739">
        <v>16</v>
      </c>
      <c r="M19" s="485">
        <f>LOOKUP(K19,'1Ф КРУГ'!A:A,'1Ф КРУГ'!B:B)</f>
        <v>0</v>
      </c>
      <c r="N19" s="695" t="e">
        <f>IF(M19="","",VLOOKUP(M19,'Списки участников'!A:K,3,FALSE))</f>
        <v>#N/A</v>
      </c>
      <c r="O19" s="485">
        <f>LOOKUP(L19,'1Ф КРУГ'!A:A,'1Ф КРУГ'!B:B)</f>
        <v>0</v>
      </c>
      <c r="P19" s="695" t="e">
        <f>IF(O19="","",VLOOKUP(O19,'Списки участников'!A:K,3,FALSE))</f>
        <v>#N/A</v>
      </c>
      <c r="Q19" s="749">
        <v>15</v>
      </c>
      <c r="R19" s="749">
        <v>113</v>
      </c>
    </row>
    <row r="20" spans="1:18" ht="18" thickBot="1" x14ac:dyDescent="0.3">
      <c r="A20" s="486">
        <v>16</v>
      </c>
      <c r="B20" s="492">
        <v>2</v>
      </c>
      <c r="C20" s="740">
        <v>7</v>
      </c>
      <c r="D20" s="741">
        <v>8</v>
      </c>
      <c r="E20" s="494">
        <f>LOOKUP(C20,'1Ф КРУГ'!A:A,'1Ф КРУГ'!B:B)</f>
        <v>0</v>
      </c>
      <c r="F20" s="730" t="e">
        <f>IF(E20="","",VLOOKUP(E20,'Списки участников'!A:K,3,FALSE))</f>
        <v>#N/A</v>
      </c>
      <c r="G20" s="731">
        <f>LOOKUP(D20,'1Ф КРУГ'!A:A,'1Ф КРУГ'!B:B)</f>
        <v>0</v>
      </c>
      <c r="H20" s="730" t="e">
        <f>IF(G20="","",VLOOKUP(G20,'Списки участников'!A:K,3,FALSE))</f>
        <v>#N/A</v>
      </c>
      <c r="I20" s="702">
        <v>80</v>
      </c>
      <c r="J20" s="500">
        <v>10</v>
      </c>
      <c r="K20" s="741">
        <v>14</v>
      </c>
      <c r="L20" s="746">
        <v>15</v>
      </c>
      <c r="M20" s="731">
        <f>LOOKUP(K20,'1Ф КРУГ'!A:A,'1Ф КРУГ'!B:B)</f>
        <v>0</v>
      </c>
      <c r="N20" s="730" t="e">
        <f>IF(M20="","",VLOOKUP(M20,'Списки участников'!A:K,3,FALSE))</f>
        <v>#N/A</v>
      </c>
      <c r="O20" s="731">
        <f>LOOKUP(L20,'1Ф КРУГ'!A:A,'1Ф КРУГ'!B:B)</f>
        <v>0</v>
      </c>
      <c r="P20" s="730" t="e">
        <f>IF(O20="","",VLOOKUP(O20,'Списки участников'!A:K,3,FALSE))</f>
        <v>#N/A</v>
      </c>
      <c r="Q20" s="749"/>
      <c r="R20" s="749"/>
    </row>
    <row r="21" spans="1:18" ht="17.25" x14ac:dyDescent="0.25">
      <c r="A21" s="486">
        <v>17</v>
      </c>
      <c r="B21" s="496">
        <v>3</v>
      </c>
      <c r="C21" s="742">
        <v>1</v>
      </c>
      <c r="D21" s="743">
        <v>14</v>
      </c>
      <c r="E21" s="485">
        <f>LOOKUP(C21,'1Ф КРУГ'!A:A,'1Ф КРУГ'!B:B)</f>
        <v>0</v>
      </c>
      <c r="F21" s="695" t="e">
        <f>IF(E21="","",VLOOKUP(E21,'Списки участников'!A:K,3,FALSE))</f>
        <v>#N/A</v>
      </c>
      <c r="G21" s="485">
        <f>LOOKUP(D21,'1Ф КРУГ'!A:A,'1Ф КРУГ'!B:B)</f>
        <v>0</v>
      </c>
      <c r="H21" s="695" t="e">
        <f>IF(G21="","",VLOOKUP(G21,'Списки участников'!A:K,3,FALSE))</f>
        <v>#N/A</v>
      </c>
      <c r="I21" s="692">
        <v>81</v>
      </c>
      <c r="J21" s="496">
        <v>11</v>
      </c>
      <c r="K21" s="743">
        <v>1</v>
      </c>
      <c r="L21" s="743">
        <v>6</v>
      </c>
      <c r="M21" s="485">
        <f>LOOKUP(K21,'1Ф КРУГ'!A:A,'1Ф КРУГ'!B:B)</f>
        <v>0</v>
      </c>
      <c r="N21" s="695" t="e">
        <f>IF(M21="","",VLOOKUP(M21,'Списки участников'!A:K,3,FALSE))</f>
        <v>#N/A</v>
      </c>
      <c r="O21" s="485">
        <f>LOOKUP(L21,'1Ф КРУГ'!A:A,'1Ф КРУГ'!B:B)</f>
        <v>0</v>
      </c>
      <c r="P21" s="695" t="e">
        <f>IF(O21="","",VLOOKUP(O21,'Списки участников'!A:K,3,FALSE))</f>
        <v>#N/A</v>
      </c>
    </row>
    <row r="22" spans="1:18" ht="17.25" x14ac:dyDescent="0.25">
      <c r="A22" s="486">
        <v>18</v>
      </c>
      <c r="B22" s="496">
        <v>3</v>
      </c>
      <c r="C22" s="738">
        <v>13</v>
      </c>
      <c r="D22" s="739">
        <v>15</v>
      </c>
      <c r="E22" s="484">
        <f>LOOKUP(C22,'1Ф КРУГ'!A:A,'1Ф КРУГ'!B:B)</f>
        <v>0</v>
      </c>
      <c r="F22" s="695" t="e">
        <f>IF(E22="","",VLOOKUP(E22,'Списки участников'!A:K,3,FALSE))</f>
        <v>#N/A</v>
      </c>
      <c r="G22" s="485">
        <f>LOOKUP(D22,'1Ф КРУГ'!A:A,'1Ф КРУГ'!B:B)</f>
        <v>0</v>
      </c>
      <c r="H22" s="695" t="e">
        <f>IF(G22="","",VLOOKUP(G22,'Списки участников'!A:K,3,FALSE))</f>
        <v>#N/A</v>
      </c>
      <c r="I22" s="486">
        <v>82</v>
      </c>
      <c r="J22" s="496">
        <v>11</v>
      </c>
      <c r="K22" s="739">
        <v>5</v>
      </c>
      <c r="L22" s="739">
        <v>7</v>
      </c>
      <c r="M22" s="485">
        <f>LOOKUP(K22,'1Ф КРУГ'!A:A,'1Ф КРУГ'!B:B)</f>
        <v>0</v>
      </c>
      <c r="N22" s="695" t="e">
        <f>IF(M22="","",VLOOKUP(M22,'Списки участников'!A:K,3,FALSE))</f>
        <v>#N/A</v>
      </c>
      <c r="O22" s="485">
        <f>LOOKUP(L22,'1Ф КРУГ'!A:A,'1Ф КРУГ'!B:B)</f>
        <v>0</v>
      </c>
      <c r="P22" s="695" t="e">
        <f>IF(O22="","",VLOOKUP(O22,'Списки участников'!A:K,3,FALSE))</f>
        <v>#N/A</v>
      </c>
    </row>
    <row r="23" spans="1:18" ht="17.25" x14ac:dyDescent="0.25">
      <c r="A23" s="486">
        <v>19</v>
      </c>
      <c r="B23" s="496">
        <v>3</v>
      </c>
      <c r="C23" s="738">
        <v>12</v>
      </c>
      <c r="D23" s="739">
        <v>16</v>
      </c>
      <c r="E23" s="484">
        <f>LOOKUP(C23,'1Ф КРУГ'!A:A,'1Ф КРУГ'!B:B)</f>
        <v>0</v>
      </c>
      <c r="F23" s="695" t="e">
        <f>IF(E23="","",VLOOKUP(E23,'Списки участников'!A:K,3,FALSE))</f>
        <v>#N/A</v>
      </c>
      <c r="G23" s="485">
        <f>LOOKUP(D23,'1Ф КРУГ'!A:A,'1Ф КРУГ'!B:B)</f>
        <v>0</v>
      </c>
      <c r="H23" s="695" t="e">
        <f>IF(G23="","",VLOOKUP(G23,'Списки участников'!A:K,3,FALSE))</f>
        <v>#N/A</v>
      </c>
      <c r="I23" s="486">
        <v>83</v>
      </c>
      <c r="J23" s="496">
        <v>11</v>
      </c>
      <c r="K23" s="739">
        <v>4</v>
      </c>
      <c r="L23" s="739">
        <v>8</v>
      </c>
      <c r="M23" s="485">
        <f>LOOKUP(K23,'1Ф КРУГ'!A:A,'1Ф КРУГ'!B:B)</f>
        <v>0</v>
      </c>
      <c r="N23" s="695" t="e">
        <f>IF(M23="","",VLOOKUP(M23,'Списки участников'!A:K,3,FALSE))</f>
        <v>#N/A</v>
      </c>
      <c r="O23" s="485">
        <f>LOOKUP(L23,'1Ф КРУГ'!A:A,'1Ф КРУГ'!B:B)</f>
        <v>0</v>
      </c>
      <c r="P23" s="695" t="e">
        <f>IF(O23="","",VLOOKUP(O23,'Списки участников'!A:K,3,FALSE))</f>
        <v>#N/A</v>
      </c>
    </row>
    <row r="24" spans="1:18" ht="17.25" x14ac:dyDescent="0.25">
      <c r="A24" s="486">
        <v>20</v>
      </c>
      <c r="B24" s="496">
        <v>3</v>
      </c>
      <c r="C24" s="738">
        <v>2</v>
      </c>
      <c r="D24" s="739">
        <v>11</v>
      </c>
      <c r="E24" s="484">
        <f>LOOKUP(C24,'1Ф КРУГ'!A:A,'1Ф КРУГ'!B:B)</f>
        <v>0</v>
      </c>
      <c r="F24" s="695" t="e">
        <f>IF(E24="","",VLOOKUP(E24,'Списки участников'!A:K,3,FALSE))</f>
        <v>#N/A</v>
      </c>
      <c r="G24" s="485">
        <f>LOOKUP(D24,'1Ф КРУГ'!A:A,'1Ф КРУГ'!B:B)</f>
        <v>0</v>
      </c>
      <c r="H24" s="695" t="e">
        <f>IF(G24="","",VLOOKUP(G24,'Списки участников'!A:K,3,FALSE))</f>
        <v>#N/A</v>
      </c>
      <c r="I24" s="486">
        <v>84</v>
      </c>
      <c r="J24" s="496">
        <v>11</v>
      </c>
      <c r="K24" s="739">
        <v>3</v>
      </c>
      <c r="L24" s="739">
        <v>9</v>
      </c>
      <c r="M24" s="485">
        <f>LOOKUP(K24,'1Ф КРУГ'!A:A,'1Ф КРУГ'!B:B)</f>
        <v>0</v>
      </c>
      <c r="N24" s="695" t="e">
        <f>IF(M24="","",VLOOKUP(M24,'Списки участников'!A:K,3,FALSE))</f>
        <v>#N/A</v>
      </c>
      <c r="O24" s="485">
        <f>LOOKUP(L24,'1Ф КРУГ'!A:A,'1Ф КРУГ'!B:B)</f>
        <v>0</v>
      </c>
      <c r="P24" s="695" t="e">
        <f>IF(O24="","",VLOOKUP(O24,'Списки участников'!A:K,3,FALSE))</f>
        <v>#N/A</v>
      </c>
    </row>
    <row r="25" spans="1:18" ht="17.25" x14ac:dyDescent="0.25">
      <c r="A25" s="486">
        <v>21</v>
      </c>
      <c r="B25" s="489">
        <v>3</v>
      </c>
      <c r="C25" s="738">
        <v>3</v>
      </c>
      <c r="D25" s="739">
        <v>10</v>
      </c>
      <c r="E25" s="484">
        <f>LOOKUP(C25,'1Ф КРУГ'!A:A,'1Ф КРУГ'!B:B)</f>
        <v>0</v>
      </c>
      <c r="F25" s="695" t="e">
        <f>IF(E25="","",VLOOKUP(E25,'Списки участников'!A:K,3,FALSE))</f>
        <v>#N/A</v>
      </c>
      <c r="G25" s="485">
        <f>LOOKUP(D25,'1Ф КРУГ'!A:A,'1Ф КРУГ'!B:B)</f>
        <v>0</v>
      </c>
      <c r="H25" s="695" t="e">
        <f>IF(G25="","",VLOOKUP(G25,'Списки участников'!A:K,3,FALSE))</f>
        <v>#N/A</v>
      </c>
      <c r="I25" s="486">
        <v>85</v>
      </c>
      <c r="J25" s="501">
        <v>11</v>
      </c>
      <c r="K25" s="739">
        <v>2</v>
      </c>
      <c r="L25" s="739">
        <v>10</v>
      </c>
      <c r="M25" s="485">
        <f>LOOKUP(K25,'1Ф КРУГ'!A:A,'1Ф КРУГ'!B:B)</f>
        <v>0</v>
      </c>
      <c r="N25" s="695" t="e">
        <f>IF(M25="","",VLOOKUP(M25,'Списки участников'!A:K,3,FALSE))</f>
        <v>#N/A</v>
      </c>
      <c r="O25" s="485">
        <f>LOOKUP(L25,'1Ф КРУГ'!A:A,'1Ф КРУГ'!B:B)</f>
        <v>0</v>
      </c>
      <c r="P25" s="695" t="e">
        <f>IF(O25="","",VLOOKUP(O25,'Списки участников'!A:K,3,FALSE))</f>
        <v>#N/A</v>
      </c>
    </row>
    <row r="26" spans="1:18" ht="17.25" x14ac:dyDescent="0.25">
      <c r="A26" s="486">
        <v>22</v>
      </c>
      <c r="B26" s="496">
        <v>3</v>
      </c>
      <c r="C26" s="738">
        <v>4</v>
      </c>
      <c r="D26" s="739">
        <v>9</v>
      </c>
      <c r="E26" s="484">
        <f>LOOKUP(C26,'1Ф КРУГ'!A:A,'1Ф КРУГ'!B:B)</f>
        <v>0</v>
      </c>
      <c r="F26" s="695" t="e">
        <f>IF(E26="","",VLOOKUP(E26,'Списки участников'!A:K,3,FALSE))</f>
        <v>#N/A</v>
      </c>
      <c r="G26" s="485">
        <f>LOOKUP(D26,'1Ф КРУГ'!A:A,'1Ф КРУГ'!B:B)</f>
        <v>0</v>
      </c>
      <c r="H26" s="695" t="e">
        <f>IF(G26="","",VLOOKUP(G26,'Списки участников'!A:K,3,FALSE))</f>
        <v>#N/A</v>
      </c>
      <c r="I26" s="486">
        <v>86</v>
      </c>
      <c r="J26" s="496">
        <v>11</v>
      </c>
      <c r="K26" s="745">
        <v>11</v>
      </c>
      <c r="L26" s="745">
        <v>16</v>
      </c>
      <c r="M26" s="485">
        <f>LOOKUP(K26,'1Ф КРУГ'!A:A,'1Ф КРУГ'!B:B)</f>
        <v>0</v>
      </c>
      <c r="N26" s="695" t="e">
        <f>IF(M26="","",VLOOKUP(M26,'Списки участников'!A:K,3,FALSE))</f>
        <v>#N/A</v>
      </c>
      <c r="O26" s="485">
        <f>LOOKUP(L26,'1Ф КРУГ'!A:A,'1Ф КРУГ'!B:B)</f>
        <v>0</v>
      </c>
      <c r="P26" s="695" t="e">
        <f>IF(O26="","",VLOOKUP(O26,'Списки участников'!A:K,3,FALSE))</f>
        <v>#N/A</v>
      </c>
    </row>
    <row r="27" spans="1:18" ht="17.25" x14ac:dyDescent="0.25">
      <c r="A27" s="486">
        <v>23</v>
      </c>
      <c r="B27" s="496">
        <v>3</v>
      </c>
      <c r="C27" s="738">
        <v>5</v>
      </c>
      <c r="D27" s="739">
        <v>8</v>
      </c>
      <c r="E27" s="484">
        <f>LOOKUP(C27,'1Ф КРУГ'!A:A,'1Ф КРУГ'!B:B)</f>
        <v>0</v>
      </c>
      <c r="F27" s="695" t="e">
        <f>IF(E27="","",VLOOKUP(E27,'Списки участников'!A:K,3,FALSE))</f>
        <v>#N/A</v>
      </c>
      <c r="G27" s="485">
        <f>LOOKUP(D27,'1Ф КРУГ'!A:A,'1Ф КРУГ'!B:B)</f>
        <v>0</v>
      </c>
      <c r="H27" s="695" t="e">
        <f>IF(G27="","",VLOOKUP(G27,'Списки участников'!A:K,3,FALSE))</f>
        <v>#N/A</v>
      </c>
      <c r="I27" s="486">
        <v>87</v>
      </c>
      <c r="J27" s="496">
        <v>11</v>
      </c>
      <c r="K27" s="745">
        <v>12</v>
      </c>
      <c r="L27" s="745">
        <v>15</v>
      </c>
      <c r="M27" s="485">
        <f>LOOKUP(K27,'1Ф КРУГ'!A:A,'1Ф КРУГ'!B:B)</f>
        <v>0</v>
      </c>
      <c r="N27" s="695" t="e">
        <f>IF(M27="","",VLOOKUP(M27,'Списки участников'!A:K,3,FALSE))</f>
        <v>#N/A</v>
      </c>
      <c r="O27" s="485">
        <f>LOOKUP(L27,'1Ф КРУГ'!A:A,'1Ф КРУГ'!B:B)</f>
        <v>0</v>
      </c>
      <c r="P27" s="695" t="e">
        <f>IF(O27="","",VLOOKUP(O27,'Списки участников'!A:K,3,FALSE))</f>
        <v>#N/A</v>
      </c>
    </row>
    <row r="28" spans="1:18" ht="18" thickBot="1" x14ac:dyDescent="0.3">
      <c r="A28" s="486">
        <v>24</v>
      </c>
      <c r="B28" s="500">
        <v>3</v>
      </c>
      <c r="C28" s="740">
        <v>6</v>
      </c>
      <c r="D28" s="741">
        <v>7</v>
      </c>
      <c r="E28" s="494">
        <f>LOOKUP(C28,'1Ф КРУГ'!A:A,'1Ф КРУГ'!B:B)</f>
        <v>0</v>
      </c>
      <c r="F28" s="730" t="e">
        <f>IF(E28="","",VLOOKUP(E28,'Списки участников'!A:K,3,FALSE))</f>
        <v>#N/A</v>
      </c>
      <c r="G28" s="731">
        <f>LOOKUP(D28,'1Ф КРУГ'!A:A,'1Ф КРУГ'!B:B)</f>
        <v>0</v>
      </c>
      <c r="H28" s="730" t="e">
        <f>IF(G28="","",VLOOKUP(G28,'Списки участников'!A:K,3,FALSE))</f>
        <v>#N/A</v>
      </c>
      <c r="I28" s="702">
        <v>88</v>
      </c>
      <c r="J28" s="500">
        <v>11</v>
      </c>
      <c r="K28" s="741">
        <v>13</v>
      </c>
      <c r="L28" s="741">
        <v>14</v>
      </c>
      <c r="M28" s="731">
        <f>LOOKUP(K28,'1Ф КРУГ'!A:A,'1Ф КРУГ'!B:B)</f>
        <v>0</v>
      </c>
      <c r="N28" s="730" t="e">
        <f>IF(M28="","",VLOOKUP(M28,'Списки участников'!A:K,3,FALSE))</f>
        <v>#N/A</v>
      </c>
      <c r="O28" s="731">
        <f>LOOKUP(L28,'1Ф КРУГ'!A:A,'1Ф КРУГ'!B:B)</f>
        <v>0</v>
      </c>
      <c r="P28" s="730" t="e">
        <f>IF(O28="","",VLOOKUP(O28,'Списки участников'!A:K,3,FALSE))</f>
        <v>#N/A</v>
      </c>
    </row>
    <row r="29" spans="1:18" ht="17.25" x14ac:dyDescent="0.25">
      <c r="A29" s="486">
        <v>25</v>
      </c>
      <c r="B29" s="733">
        <v>4</v>
      </c>
      <c r="C29" s="742">
        <v>1</v>
      </c>
      <c r="D29" s="743">
        <v>13</v>
      </c>
      <c r="E29" s="485">
        <f>LOOKUP(C29,'1Ф КРУГ'!A:A,'1Ф КРУГ'!B:B)</f>
        <v>0</v>
      </c>
      <c r="F29" s="695" t="e">
        <f>IF(E29="","",VLOOKUP(E29,'Списки участников'!A:K,3,FALSE))</f>
        <v>#N/A</v>
      </c>
      <c r="G29" s="485">
        <f>LOOKUP(D29,'1Ф КРУГ'!A:A,'1Ф КРУГ'!B:B)</f>
        <v>0</v>
      </c>
      <c r="H29" s="695" t="e">
        <f>IF(G29="","",VLOOKUP(G29,'Списки участников'!A:K,3,FALSE))</f>
        <v>#N/A</v>
      </c>
      <c r="I29" s="692">
        <v>89</v>
      </c>
      <c r="J29" s="496">
        <v>12</v>
      </c>
      <c r="K29" s="743">
        <v>1</v>
      </c>
      <c r="L29" s="743">
        <v>5</v>
      </c>
      <c r="M29" s="485">
        <f>LOOKUP(K29,'1Ф КРУГ'!A:A,'1Ф КРУГ'!B:B)</f>
        <v>0</v>
      </c>
      <c r="N29" s="695" t="e">
        <f>IF(M29="","",VLOOKUP(M29,'Списки участников'!A:K,3,FALSE))</f>
        <v>#N/A</v>
      </c>
      <c r="O29" s="485">
        <f>LOOKUP(L29,'1Ф КРУГ'!A:A,'1Ф КРУГ'!B:B)</f>
        <v>0</v>
      </c>
      <c r="P29" s="695" t="e">
        <f>IF(O29="","",VLOOKUP(O29,'Списки участников'!A:K,3,FALSE))</f>
        <v>#N/A</v>
      </c>
    </row>
    <row r="30" spans="1:18" ht="17.25" x14ac:dyDescent="0.25">
      <c r="A30" s="486">
        <v>26</v>
      </c>
      <c r="B30" s="733">
        <v>4</v>
      </c>
      <c r="C30" s="738">
        <v>12</v>
      </c>
      <c r="D30" s="739">
        <v>14</v>
      </c>
      <c r="E30" s="484">
        <f>LOOKUP(C30,'1Ф КРУГ'!A:A,'1Ф КРУГ'!B:B)</f>
        <v>0</v>
      </c>
      <c r="F30" s="695" t="e">
        <f>IF(E30="","",VLOOKUP(E30,'Списки участников'!A:K,3,FALSE))</f>
        <v>#N/A</v>
      </c>
      <c r="G30" s="485">
        <f>LOOKUP(D30,'1Ф КРУГ'!A:A,'1Ф КРУГ'!B:B)</f>
        <v>0</v>
      </c>
      <c r="H30" s="695" t="e">
        <f>IF(G30="","",VLOOKUP(G30,'Списки участников'!A:K,3,FALSE))</f>
        <v>#N/A</v>
      </c>
      <c r="I30" s="486">
        <v>90</v>
      </c>
      <c r="J30" s="496">
        <v>12</v>
      </c>
      <c r="K30" s="739">
        <v>4</v>
      </c>
      <c r="L30" s="743">
        <v>6</v>
      </c>
      <c r="M30" s="485">
        <f>LOOKUP(K30,'1Ф КРУГ'!A:A,'1Ф КРУГ'!B:B)</f>
        <v>0</v>
      </c>
      <c r="N30" s="695" t="e">
        <f>IF(M30="","",VLOOKUP(M30,'Списки участников'!A:K,3,FALSE))</f>
        <v>#N/A</v>
      </c>
      <c r="O30" s="485">
        <f>LOOKUP(L30,'1Ф КРУГ'!A:A,'1Ф КРУГ'!B:B)</f>
        <v>0</v>
      </c>
      <c r="P30" s="695" t="e">
        <f>IF(O30="","",VLOOKUP(O30,'Списки участников'!A:K,3,FALSE))</f>
        <v>#N/A</v>
      </c>
    </row>
    <row r="31" spans="1:18" ht="17.25" x14ac:dyDescent="0.25">
      <c r="A31" s="486">
        <v>27</v>
      </c>
      <c r="B31" s="733">
        <v>4</v>
      </c>
      <c r="C31" s="738">
        <v>11</v>
      </c>
      <c r="D31" s="739">
        <v>15</v>
      </c>
      <c r="E31" s="484">
        <f>LOOKUP(C31,'1Ф КРУГ'!A:A,'1Ф КРУГ'!B:B)</f>
        <v>0</v>
      </c>
      <c r="F31" s="695" t="e">
        <f>IF(E31="","",VLOOKUP(E31,'Списки участников'!A:K,3,FALSE))</f>
        <v>#N/A</v>
      </c>
      <c r="G31" s="485">
        <f>LOOKUP(D31,'1Ф КРУГ'!A:A,'1Ф КРУГ'!B:B)</f>
        <v>0</v>
      </c>
      <c r="H31" s="695" t="e">
        <f>IF(G31="","",VLOOKUP(G31,'Списки участников'!A:K,3,FALSE))</f>
        <v>#N/A</v>
      </c>
      <c r="I31" s="486">
        <v>91</v>
      </c>
      <c r="J31" s="496">
        <v>12</v>
      </c>
      <c r="K31" s="739">
        <v>3</v>
      </c>
      <c r="L31" s="743">
        <v>7</v>
      </c>
      <c r="M31" s="485">
        <f>LOOKUP(K31,'1Ф КРУГ'!A:A,'1Ф КРУГ'!B:B)</f>
        <v>0</v>
      </c>
      <c r="N31" s="695" t="e">
        <f>IF(M31="","",VLOOKUP(M31,'Списки участников'!A:K,3,FALSE))</f>
        <v>#N/A</v>
      </c>
      <c r="O31" s="485">
        <f>LOOKUP(L31,'1Ф КРУГ'!A:A,'1Ф КРУГ'!B:B)</f>
        <v>0</v>
      </c>
      <c r="P31" s="695" t="e">
        <f>IF(O31="","",VLOOKUP(O31,'Списки участников'!A:K,3,FALSE))</f>
        <v>#N/A</v>
      </c>
    </row>
    <row r="32" spans="1:18" ht="17.25" x14ac:dyDescent="0.25">
      <c r="A32" s="486">
        <v>28</v>
      </c>
      <c r="B32" s="733">
        <v>4</v>
      </c>
      <c r="C32" s="738">
        <v>10</v>
      </c>
      <c r="D32" s="739">
        <v>16</v>
      </c>
      <c r="E32" s="484">
        <f>LOOKUP(C32,'1Ф КРУГ'!A:A,'1Ф КРУГ'!B:B)</f>
        <v>0</v>
      </c>
      <c r="F32" s="695" t="e">
        <f>IF(E32="","",VLOOKUP(E32,'Списки участников'!A:K,3,FALSE))</f>
        <v>#N/A</v>
      </c>
      <c r="G32" s="485">
        <f>LOOKUP(D32,'1Ф КРУГ'!A:A,'1Ф КРУГ'!B:B)</f>
        <v>0</v>
      </c>
      <c r="H32" s="695" t="e">
        <f>IF(G32="","",VLOOKUP(G32,'Списки участников'!A:K,3,FALSE))</f>
        <v>#N/A</v>
      </c>
      <c r="I32" s="486">
        <v>92</v>
      </c>
      <c r="J32" s="496">
        <v>12</v>
      </c>
      <c r="K32" s="739">
        <v>2</v>
      </c>
      <c r="L32" s="743">
        <v>8</v>
      </c>
      <c r="M32" s="485">
        <f>LOOKUP(K32,'1Ф КРУГ'!A:A,'1Ф КРУГ'!B:B)</f>
        <v>0</v>
      </c>
      <c r="N32" s="695" t="e">
        <f>IF(M32="","",VLOOKUP(M32,'Списки участников'!A:K,3,FALSE))</f>
        <v>#N/A</v>
      </c>
      <c r="O32" s="485">
        <f>LOOKUP(L32,'1Ф КРУГ'!A:A,'1Ф КРУГ'!B:B)</f>
        <v>0</v>
      </c>
      <c r="P32" s="695" t="e">
        <f>IF(O32="","",VLOOKUP(O32,'Списки участников'!A:K,3,FALSE))</f>
        <v>#N/A</v>
      </c>
    </row>
    <row r="33" spans="1:16" ht="17.25" x14ac:dyDescent="0.25">
      <c r="A33" s="486">
        <v>29</v>
      </c>
      <c r="B33" s="734">
        <v>4</v>
      </c>
      <c r="C33" s="738">
        <v>2</v>
      </c>
      <c r="D33" s="739">
        <v>9</v>
      </c>
      <c r="E33" s="484">
        <f>LOOKUP(C33,'1Ф КРУГ'!A:A,'1Ф КРУГ'!B:B)</f>
        <v>0</v>
      </c>
      <c r="F33" s="695" t="e">
        <f>IF(E33="","",VLOOKUP(E33,'Списки участников'!A:K,3,FALSE))</f>
        <v>#N/A</v>
      </c>
      <c r="G33" s="485">
        <f>LOOKUP(D33,'1Ф КРУГ'!A:A,'1Ф КРУГ'!B:B)</f>
        <v>0</v>
      </c>
      <c r="H33" s="695" t="e">
        <f>IF(G33="","",VLOOKUP(G33,'Списки участников'!A:K,3,FALSE))</f>
        <v>#N/A</v>
      </c>
      <c r="I33" s="486">
        <v>93</v>
      </c>
      <c r="J33" s="501">
        <v>12</v>
      </c>
      <c r="K33" s="739">
        <v>9</v>
      </c>
      <c r="L33" s="743">
        <v>16</v>
      </c>
      <c r="M33" s="485">
        <f>LOOKUP(K33,'1Ф КРУГ'!A:A,'1Ф КРУГ'!B:B)</f>
        <v>0</v>
      </c>
      <c r="N33" s="695" t="e">
        <f>IF(M33="","",VLOOKUP(M33,'Списки участников'!A:K,3,FALSE))</f>
        <v>#N/A</v>
      </c>
      <c r="O33" s="485">
        <f>LOOKUP(L33,'1Ф КРУГ'!A:A,'1Ф КРУГ'!B:B)</f>
        <v>0</v>
      </c>
      <c r="P33" s="695" t="e">
        <f>IF(O33="","",VLOOKUP(O33,'Списки участников'!A:K,3,FALSE))</f>
        <v>#N/A</v>
      </c>
    </row>
    <row r="34" spans="1:16" ht="17.25" x14ac:dyDescent="0.25">
      <c r="A34" s="486">
        <v>30</v>
      </c>
      <c r="B34" s="733">
        <v>4</v>
      </c>
      <c r="C34" s="738">
        <v>3</v>
      </c>
      <c r="D34" s="739">
        <v>8</v>
      </c>
      <c r="E34" s="484">
        <f>LOOKUP(C34,'1Ф КРУГ'!A:A,'1Ф КРУГ'!B:B)</f>
        <v>0</v>
      </c>
      <c r="F34" s="695" t="e">
        <f>IF(E34="","",VLOOKUP(E34,'Списки участников'!A:K,3,FALSE))</f>
        <v>#N/A</v>
      </c>
      <c r="G34" s="485">
        <f>LOOKUP(D34,'1Ф КРУГ'!A:A,'1Ф КРУГ'!B:B)</f>
        <v>0</v>
      </c>
      <c r="H34" s="695" t="e">
        <f>IF(G34="","",VLOOKUP(G34,'Списки участников'!A:K,3,FALSE))</f>
        <v>#N/A</v>
      </c>
      <c r="I34" s="486">
        <v>94</v>
      </c>
      <c r="J34" s="496">
        <v>12</v>
      </c>
      <c r="K34" s="745">
        <v>10</v>
      </c>
      <c r="L34" s="739">
        <v>15</v>
      </c>
      <c r="M34" s="485">
        <f>LOOKUP(K34,'1Ф КРУГ'!A:A,'1Ф КРУГ'!B:B)</f>
        <v>0</v>
      </c>
      <c r="N34" s="695" t="e">
        <f>IF(M34="","",VLOOKUP(M34,'Списки участников'!A:K,3,FALSE))</f>
        <v>#N/A</v>
      </c>
      <c r="O34" s="485">
        <f>LOOKUP(L34,'1Ф КРУГ'!A:A,'1Ф КРУГ'!B:B)</f>
        <v>0</v>
      </c>
      <c r="P34" s="695" t="e">
        <f>IF(O34="","",VLOOKUP(O34,'Списки участников'!A:K,3,FALSE))</f>
        <v>#N/A</v>
      </c>
    </row>
    <row r="35" spans="1:16" ht="17.25" x14ac:dyDescent="0.25">
      <c r="A35" s="486">
        <v>31</v>
      </c>
      <c r="B35" s="733">
        <v>4</v>
      </c>
      <c r="C35" s="738">
        <v>4</v>
      </c>
      <c r="D35" s="739">
        <v>7</v>
      </c>
      <c r="E35" s="484">
        <f>LOOKUP(C35,'1Ф КРУГ'!A:A,'1Ф КРУГ'!B:B)</f>
        <v>0</v>
      </c>
      <c r="F35" s="695" t="e">
        <f>IF(E35="","",VLOOKUP(E35,'Списки участников'!A:K,3,FALSE))</f>
        <v>#N/A</v>
      </c>
      <c r="G35" s="485">
        <f>LOOKUP(D35,'1Ф КРУГ'!A:A,'1Ф КРУГ'!B:B)</f>
        <v>0</v>
      </c>
      <c r="H35" s="695" t="e">
        <f>IF(G35="","",VLOOKUP(G35,'Списки участников'!A:K,3,FALSE))</f>
        <v>#N/A</v>
      </c>
      <c r="I35" s="486">
        <v>95</v>
      </c>
      <c r="J35" s="496">
        <v>12</v>
      </c>
      <c r="K35" s="745">
        <v>11</v>
      </c>
      <c r="L35" s="739">
        <v>14</v>
      </c>
      <c r="M35" s="485">
        <f>LOOKUP(K35,'1Ф КРУГ'!A:A,'1Ф КРУГ'!B:B)</f>
        <v>0</v>
      </c>
      <c r="N35" s="695" t="e">
        <f>IF(M35="","",VLOOKUP(M35,'Списки участников'!A:K,3,FALSE))</f>
        <v>#N/A</v>
      </c>
      <c r="O35" s="485">
        <f>LOOKUP(L35,'1Ф КРУГ'!A:A,'1Ф КРУГ'!B:B)</f>
        <v>0</v>
      </c>
      <c r="P35" s="695" t="e">
        <f>IF(O35="","",VLOOKUP(O35,'Списки участников'!A:K,3,FALSE))</f>
        <v>#N/A</v>
      </c>
    </row>
    <row r="36" spans="1:16" ht="18" thickBot="1" x14ac:dyDescent="0.3">
      <c r="A36" s="486">
        <v>32</v>
      </c>
      <c r="B36" s="736">
        <v>4</v>
      </c>
      <c r="C36" s="740">
        <v>5</v>
      </c>
      <c r="D36" s="741">
        <v>6</v>
      </c>
      <c r="E36" s="494">
        <f>LOOKUP(C36,'1Ф КРУГ'!A:A,'1Ф КРУГ'!B:B)</f>
        <v>0</v>
      </c>
      <c r="F36" s="730" t="e">
        <f>IF(E36="","",VLOOKUP(E36,'Списки участников'!A:K,3,FALSE))</f>
        <v>#N/A</v>
      </c>
      <c r="G36" s="731">
        <f>LOOKUP(D36,'1Ф КРУГ'!A:A,'1Ф КРУГ'!B:B)</f>
        <v>0</v>
      </c>
      <c r="H36" s="730" t="e">
        <f>IF(G36="","",VLOOKUP(G36,'Списки участников'!A:K,3,FALSE))</f>
        <v>#N/A</v>
      </c>
      <c r="I36" s="702">
        <v>96</v>
      </c>
      <c r="J36" s="500">
        <v>12</v>
      </c>
      <c r="K36" s="741">
        <v>12</v>
      </c>
      <c r="L36" s="746">
        <v>13</v>
      </c>
      <c r="M36" s="731">
        <f>LOOKUP(K36,'1Ф КРУГ'!A:A,'1Ф КРУГ'!B:B)</f>
        <v>0</v>
      </c>
      <c r="N36" s="730" t="e">
        <f>IF(M36="","",VLOOKUP(M36,'Списки участников'!A:K,3,FALSE))</f>
        <v>#N/A</v>
      </c>
      <c r="O36" s="731">
        <f>LOOKUP(L36,'1Ф КРУГ'!A:A,'1Ф КРУГ'!B:B)</f>
        <v>0</v>
      </c>
      <c r="P36" s="730" t="e">
        <f>IF(O36="","",VLOOKUP(O36,'Списки участников'!A:K,3,FALSE))</f>
        <v>#N/A</v>
      </c>
    </row>
    <row r="37" spans="1:16" ht="17.25" x14ac:dyDescent="0.25">
      <c r="A37" s="486">
        <v>33</v>
      </c>
      <c r="B37" s="737">
        <v>5</v>
      </c>
      <c r="C37" s="742">
        <v>1</v>
      </c>
      <c r="D37" s="743">
        <v>12</v>
      </c>
      <c r="E37" s="485">
        <f>LOOKUP(C37,'1Ф КРУГ'!A:A,'1Ф КРУГ'!B:B)</f>
        <v>0</v>
      </c>
      <c r="F37" s="695" t="e">
        <f>IF(E37="","",VLOOKUP(E37,'Списки участников'!A:K,3,FALSE))</f>
        <v>#N/A</v>
      </c>
      <c r="G37" s="485">
        <f>LOOKUP(D37,'1Ф КРУГ'!A:A,'1Ф КРУГ'!B:B)</f>
        <v>0</v>
      </c>
      <c r="H37" s="695" t="e">
        <f>IF(G37="","",VLOOKUP(G37,'Списки участников'!A:K,3,FALSE))</f>
        <v>#N/A</v>
      </c>
      <c r="I37" s="692">
        <v>97</v>
      </c>
      <c r="J37" s="497">
        <v>13</v>
      </c>
      <c r="K37" s="743">
        <v>1</v>
      </c>
      <c r="L37" s="743">
        <v>4</v>
      </c>
      <c r="M37" s="485">
        <f>LOOKUP(K37,'1Ф КРУГ'!A:A,'1Ф КРУГ'!B:B)</f>
        <v>0</v>
      </c>
      <c r="N37" s="695" t="e">
        <f>IF(M37="","",VLOOKUP(M37,'Списки участников'!A:K,3,FALSE))</f>
        <v>#N/A</v>
      </c>
      <c r="O37" s="485">
        <f>LOOKUP(L37,'1Ф КРУГ'!A:A,'1Ф КРУГ'!B:B)</f>
        <v>0</v>
      </c>
      <c r="P37" s="695" t="e">
        <f>IF(O37="","",VLOOKUP(O37,'Списки участников'!A:K,3,FALSE))</f>
        <v>#N/A</v>
      </c>
    </row>
    <row r="38" spans="1:16" ht="17.25" x14ac:dyDescent="0.25">
      <c r="A38" s="486">
        <v>34</v>
      </c>
      <c r="B38" s="733">
        <v>5</v>
      </c>
      <c r="C38" s="738">
        <v>11</v>
      </c>
      <c r="D38" s="743">
        <v>13</v>
      </c>
      <c r="E38" s="484">
        <f>LOOKUP(C38,'1Ф КРУГ'!A:A,'1Ф КРУГ'!B:B)</f>
        <v>0</v>
      </c>
      <c r="F38" s="695" t="e">
        <f>IF(E38="","",VLOOKUP(E38,'Списки участников'!A:K,3,FALSE))</f>
        <v>#N/A</v>
      </c>
      <c r="G38" s="485">
        <f>LOOKUP(D38,'1Ф КРУГ'!A:A,'1Ф КРУГ'!B:B)</f>
        <v>0</v>
      </c>
      <c r="H38" s="695" t="e">
        <f>IF(G38="","",VLOOKUP(G38,'Списки участников'!A:K,3,FALSE))</f>
        <v>#N/A</v>
      </c>
      <c r="I38" s="692">
        <v>98</v>
      </c>
      <c r="J38" s="497">
        <v>13</v>
      </c>
      <c r="K38" s="743">
        <v>3</v>
      </c>
      <c r="L38" s="743">
        <v>5</v>
      </c>
      <c r="M38" s="485">
        <f>LOOKUP(K38,'1Ф КРУГ'!A:A,'1Ф КРУГ'!B:B)</f>
        <v>0</v>
      </c>
      <c r="N38" s="695" t="e">
        <f>IF(M38="","",VLOOKUP(M38,'Списки участников'!A:K,3,FALSE))</f>
        <v>#N/A</v>
      </c>
      <c r="O38" s="485">
        <f>LOOKUP(L38,'1Ф КРУГ'!A:A,'1Ф КРУГ'!B:B)</f>
        <v>0</v>
      </c>
      <c r="P38" s="695" t="e">
        <f>IF(O38="","",VLOOKUP(O38,'Списки участников'!A:K,3,FALSE))</f>
        <v>#N/A</v>
      </c>
    </row>
    <row r="39" spans="1:16" ht="17.25" x14ac:dyDescent="0.25">
      <c r="A39" s="486">
        <v>35</v>
      </c>
      <c r="B39" s="735">
        <v>5</v>
      </c>
      <c r="C39" s="742">
        <v>10</v>
      </c>
      <c r="D39" s="743">
        <v>14</v>
      </c>
      <c r="E39" s="484">
        <f>LOOKUP(C39,'1Ф КРУГ'!A:A,'1Ф КРУГ'!B:B)</f>
        <v>0</v>
      </c>
      <c r="F39" s="695" t="e">
        <f>IF(E39="","",VLOOKUP(E39,'Списки участников'!A:K,3,FALSE))</f>
        <v>#N/A</v>
      </c>
      <c r="G39" s="485">
        <f>LOOKUP(D39,'1Ф КРУГ'!A:A,'1Ф КРУГ'!B:B)</f>
        <v>0</v>
      </c>
      <c r="H39" s="695" t="e">
        <f>IF(G39="","",VLOOKUP(G39,'Списки участников'!A:K,3,FALSE))</f>
        <v>#N/A</v>
      </c>
      <c r="I39" s="692">
        <v>99</v>
      </c>
      <c r="J39" s="496">
        <v>13</v>
      </c>
      <c r="K39" s="743">
        <v>2</v>
      </c>
      <c r="L39" s="743">
        <v>6</v>
      </c>
      <c r="M39" s="485">
        <f>LOOKUP(K39,'1Ф КРУГ'!A:A,'1Ф КРУГ'!B:B)</f>
        <v>0</v>
      </c>
      <c r="N39" s="695" t="e">
        <f>IF(M39="","",VLOOKUP(M39,'Списки участников'!A:K,3,FALSE))</f>
        <v>#N/A</v>
      </c>
      <c r="O39" s="485">
        <f>LOOKUP(L39,'1Ф КРУГ'!A:A,'1Ф КРУГ'!B:B)</f>
        <v>0</v>
      </c>
      <c r="P39" s="695" t="e">
        <f>IF(O39="","",VLOOKUP(O39,'Списки участников'!A:K,3,FALSE))</f>
        <v>#N/A</v>
      </c>
    </row>
    <row r="40" spans="1:16" ht="17.25" x14ac:dyDescent="0.25">
      <c r="A40" s="486">
        <v>36</v>
      </c>
      <c r="B40" s="496">
        <v>5</v>
      </c>
      <c r="C40" s="738">
        <v>9</v>
      </c>
      <c r="D40" s="739">
        <v>15</v>
      </c>
      <c r="E40" s="484">
        <f>LOOKUP(C40,'1Ф КРУГ'!A:A,'1Ф КРУГ'!B:B)</f>
        <v>0</v>
      </c>
      <c r="F40" s="695" t="e">
        <f>IF(E40="","",VLOOKUP(E40,'Списки участников'!A:K,3,FALSE))</f>
        <v>#N/A</v>
      </c>
      <c r="G40" s="485">
        <f>LOOKUP(D40,'1Ф КРУГ'!A:A,'1Ф КРУГ'!B:B)</f>
        <v>0</v>
      </c>
      <c r="H40" s="695" t="e">
        <f>IF(G40="","",VLOOKUP(G40,'Списки участников'!A:K,3,FALSE))</f>
        <v>#N/A</v>
      </c>
      <c r="I40" s="486">
        <v>100</v>
      </c>
      <c r="J40" s="496">
        <v>13</v>
      </c>
      <c r="K40" s="739">
        <v>7</v>
      </c>
      <c r="L40" s="739">
        <v>16</v>
      </c>
      <c r="M40" s="485">
        <f>LOOKUP(K40,'1Ф КРУГ'!A:A,'1Ф КРУГ'!B:B)</f>
        <v>0</v>
      </c>
      <c r="N40" s="695" t="e">
        <f>IF(M40="","",VLOOKUP(M40,'Списки участников'!A:K,3,FALSE))</f>
        <v>#N/A</v>
      </c>
      <c r="O40" s="485">
        <f>LOOKUP(L40,'1Ф КРУГ'!A:A,'1Ф КРУГ'!B:B)</f>
        <v>0</v>
      </c>
      <c r="P40" s="695" t="e">
        <f>IF(O40="","",VLOOKUP(O40,'Списки участников'!A:K,3,FALSE))</f>
        <v>#N/A</v>
      </c>
    </row>
    <row r="41" spans="1:16" ht="17.25" x14ac:dyDescent="0.25">
      <c r="A41" s="486">
        <v>37</v>
      </c>
      <c r="B41" s="489">
        <v>5</v>
      </c>
      <c r="C41" s="738">
        <v>8</v>
      </c>
      <c r="D41" s="739">
        <v>16</v>
      </c>
      <c r="E41" s="484">
        <f>LOOKUP(C41,'1Ф КРУГ'!A:A,'1Ф КРУГ'!B:B)</f>
        <v>0</v>
      </c>
      <c r="F41" s="695" t="e">
        <f>IF(E41="","",VLOOKUP(E41,'Списки участников'!A:K,3,FALSE))</f>
        <v>#N/A</v>
      </c>
      <c r="G41" s="485">
        <f>LOOKUP(D41,'1Ф КРУГ'!A:A,'1Ф КРУГ'!B:B)</f>
        <v>0</v>
      </c>
      <c r="H41" s="695" t="e">
        <f>IF(G41="","",VLOOKUP(G41,'Списки участников'!A:K,3,FALSE))</f>
        <v>#N/A</v>
      </c>
      <c r="I41" s="486">
        <v>101</v>
      </c>
      <c r="J41" s="501">
        <v>13</v>
      </c>
      <c r="K41" s="739">
        <v>8</v>
      </c>
      <c r="L41" s="739">
        <v>15</v>
      </c>
      <c r="M41" s="485">
        <f>LOOKUP(K41,'1Ф КРУГ'!A:A,'1Ф КРУГ'!B:B)</f>
        <v>0</v>
      </c>
      <c r="N41" s="695" t="e">
        <f>IF(M41="","",VLOOKUP(M41,'Списки участников'!A:K,3,FALSE))</f>
        <v>#N/A</v>
      </c>
      <c r="O41" s="485">
        <f>LOOKUP(L41,'1Ф КРУГ'!A:A,'1Ф КРУГ'!B:B)</f>
        <v>0</v>
      </c>
      <c r="P41" s="695" t="e">
        <f>IF(O41="","",VLOOKUP(O41,'Списки участников'!A:K,3,FALSE))</f>
        <v>#N/A</v>
      </c>
    </row>
    <row r="42" spans="1:16" ht="17.25" x14ac:dyDescent="0.25">
      <c r="A42" s="486">
        <v>38</v>
      </c>
      <c r="B42" s="496">
        <v>5</v>
      </c>
      <c r="C42" s="738">
        <v>2</v>
      </c>
      <c r="D42" s="739">
        <v>7</v>
      </c>
      <c r="E42" s="484">
        <f>LOOKUP(C42,'1Ф КРУГ'!A:A,'1Ф КРУГ'!B:B)</f>
        <v>0</v>
      </c>
      <c r="F42" s="695" t="e">
        <f>IF(E42="","",VLOOKUP(E42,'Списки участников'!A:K,3,FALSE))</f>
        <v>#N/A</v>
      </c>
      <c r="G42" s="485">
        <f>LOOKUP(D42,'1Ф КРУГ'!A:A,'1Ф КРУГ'!B:B)</f>
        <v>0</v>
      </c>
      <c r="H42" s="695" t="e">
        <f>IF(G42="","",VLOOKUP(G42,'Списки участников'!A:K,3,FALSE))</f>
        <v>#N/A</v>
      </c>
      <c r="I42" s="486">
        <v>102</v>
      </c>
      <c r="J42" s="496">
        <v>13</v>
      </c>
      <c r="K42" s="745">
        <v>9</v>
      </c>
      <c r="L42" s="745">
        <v>14</v>
      </c>
      <c r="M42" s="485">
        <f>LOOKUP(K42,'1Ф КРУГ'!A:A,'1Ф КРУГ'!B:B)</f>
        <v>0</v>
      </c>
      <c r="N42" s="695" t="e">
        <f>IF(M42="","",VLOOKUP(M42,'Списки участников'!A:K,3,FALSE))</f>
        <v>#N/A</v>
      </c>
      <c r="O42" s="485">
        <f>LOOKUP(L42,'1Ф КРУГ'!A:A,'1Ф КРУГ'!B:B)</f>
        <v>0</v>
      </c>
      <c r="P42" s="695" t="e">
        <f>IF(O42="","",VLOOKUP(O42,'Списки участников'!A:K,3,FALSE))</f>
        <v>#N/A</v>
      </c>
    </row>
    <row r="43" spans="1:16" ht="17.25" x14ac:dyDescent="0.25">
      <c r="A43" s="486">
        <v>39</v>
      </c>
      <c r="B43" s="496">
        <v>5</v>
      </c>
      <c r="C43" s="738">
        <v>3</v>
      </c>
      <c r="D43" s="739">
        <v>6</v>
      </c>
      <c r="E43" s="484">
        <f>LOOKUP(C43,'1Ф КРУГ'!A:A,'1Ф КРУГ'!B:B)</f>
        <v>0</v>
      </c>
      <c r="F43" s="695" t="e">
        <f>IF(E43="","",VLOOKUP(E43,'Списки участников'!A:K,3,FALSE))</f>
        <v>#N/A</v>
      </c>
      <c r="G43" s="485">
        <f>LOOKUP(D43,'1Ф КРУГ'!A:A,'1Ф КРУГ'!B:B)</f>
        <v>0</v>
      </c>
      <c r="H43" s="695" t="e">
        <f>IF(G43="","",VLOOKUP(G43,'Списки участников'!A:K,3,FALSE))</f>
        <v>#N/A</v>
      </c>
      <c r="I43" s="486">
        <v>103</v>
      </c>
      <c r="J43" s="496">
        <v>13</v>
      </c>
      <c r="K43" s="745">
        <v>10</v>
      </c>
      <c r="L43" s="745">
        <v>13</v>
      </c>
      <c r="M43" s="485">
        <f>LOOKUP(K43,'1Ф КРУГ'!A:A,'1Ф КРУГ'!B:B)</f>
        <v>0</v>
      </c>
      <c r="N43" s="695" t="e">
        <f>IF(M43="","",VLOOKUP(M43,'Списки участников'!A:K,3,FALSE))</f>
        <v>#N/A</v>
      </c>
      <c r="O43" s="485">
        <f>LOOKUP(L43,'1Ф КРУГ'!A:A,'1Ф КРУГ'!B:B)</f>
        <v>0</v>
      </c>
      <c r="P43" s="695" t="e">
        <f>IF(O43="","",VLOOKUP(O43,'Списки участников'!A:K,3,FALSE))</f>
        <v>#N/A</v>
      </c>
    </row>
    <row r="44" spans="1:16" ht="18" thickBot="1" x14ac:dyDescent="0.3">
      <c r="A44" s="486">
        <v>40</v>
      </c>
      <c r="B44" s="500">
        <v>5</v>
      </c>
      <c r="C44" s="740">
        <v>4</v>
      </c>
      <c r="D44" s="741">
        <v>5</v>
      </c>
      <c r="E44" s="494">
        <f>LOOKUP(C44,'1Ф КРУГ'!A:A,'1Ф КРУГ'!B:B)</f>
        <v>0</v>
      </c>
      <c r="F44" s="730" t="e">
        <f>IF(E44="","",VLOOKUP(E44,'Списки участников'!A:K,3,FALSE))</f>
        <v>#N/A</v>
      </c>
      <c r="G44" s="731">
        <f>LOOKUP(D44,'1Ф КРУГ'!A:A,'1Ф КРУГ'!B:B)</f>
        <v>0</v>
      </c>
      <c r="H44" s="730" t="e">
        <f>IF(G44="","",VLOOKUP(G44,'Списки участников'!A:K,3,FALSE))</f>
        <v>#N/A</v>
      </c>
      <c r="I44" s="702">
        <v>104</v>
      </c>
      <c r="J44" s="500">
        <v>13</v>
      </c>
      <c r="K44" s="741">
        <v>11</v>
      </c>
      <c r="L44" s="741">
        <v>12</v>
      </c>
      <c r="M44" s="731">
        <f>LOOKUP(K44,'1Ф КРУГ'!A:A,'1Ф КРУГ'!B:B)</f>
        <v>0</v>
      </c>
      <c r="N44" s="730" t="e">
        <f>IF(M44="","",VLOOKUP(M44,'Списки участников'!A:K,3,FALSE))</f>
        <v>#N/A</v>
      </c>
      <c r="O44" s="731">
        <f>LOOKUP(L44,'1Ф КРУГ'!A:A,'1Ф КРУГ'!B:B)</f>
        <v>0</v>
      </c>
      <c r="P44" s="730" t="e">
        <f>IF(O44="","",VLOOKUP(O44,'Списки участников'!A:K,3,FALSE))</f>
        <v>#N/A</v>
      </c>
    </row>
    <row r="45" spans="1:16" ht="17.25" x14ac:dyDescent="0.25">
      <c r="A45" s="486">
        <v>41</v>
      </c>
      <c r="B45" s="496">
        <v>6</v>
      </c>
      <c r="C45" s="742">
        <v>1</v>
      </c>
      <c r="D45" s="743">
        <v>11</v>
      </c>
      <c r="E45" s="485">
        <f>LOOKUP(C45,'1Ф КРУГ'!A:A,'1Ф КРУГ'!B:B)</f>
        <v>0</v>
      </c>
      <c r="F45" s="695" t="e">
        <f>IF(E45="","",VLOOKUP(E45,'Списки участников'!A:K,3,FALSE))</f>
        <v>#N/A</v>
      </c>
      <c r="G45" s="485">
        <f>LOOKUP(D45,'1Ф КРУГ'!A:A,'1Ф КРУГ'!B:B)</f>
        <v>0</v>
      </c>
      <c r="H45" s="695" t="e">
        <f>IF(G45="","",VLOOKUP(G45,'Списки участников'!A:K,3,FALSE))</f>
        <v>#N/A</v>
      </c>
      <c r="I45" s="692">
        <v>105</v>
      </c>
      <c r="J45" s="496">
        <v>14</v>
      </c>
      <c r="K45" s="743">
        <v>1</v>
      </c>
      <c r="L45" s="743">
        <v>3</v>
      </c>
      <c r="M45" s="485">
        <f>LOOKUP(K45,'1Ф КРУГ'!A:A,'1Ф КРУГ'!B:B)</f>
        <v>0</v>
      </c>
      <c r="N45" s="695" t="e">
        <f>IF(M45="","",VLOOKUP(M45,'Списки участников'!A:K,3,FALSE))</f>
        <v>#N/A</v>
      </c>
      <c r="O45" s="485">
        <f>LOOKUP(L45,'1Ф КРУГ'!A:A,'1Ф КРУГ'!B:B)</f>
        <v>0</v>
      </c>
      <c r="P45" s="695" t="e">
        <f>IF(O45="","",VLOOKUP(O45,'Списки участников'!A:K,3,FALSE))</f>
        <v>#N/A</v>
      </c>
    </row>
    <row r="46" spans="1:16" ht="17.25" x14ac:dyDescent="0.25">
      <c r="A46" s="486">
        <v>42</v>
      </c>
      <c r="B46" s="496">
        <v>6</v>
      </c>
      <c r="C46" s="738">
        <v>10</v>
      </c>
      <c r="D46" s="739">
        <v>12</v>
      </c>
      <c r="E46" s="484">
        <f>LOOKUP(C46,'1Ф КРУГ'!A:A,'1Ф КРУГ'!B:B)</f>
        <v>0</v>
      </c>
      <c r="F46" s="695" t="e">
        <f>IF(E46="","",VLOOKUP(E46,'Списки участников'!A:K,3,FALSE))</f>
        <v>#N/A</v>
      </c>
      <c r="G46" s="485">
        <f>LOOKUP(D46,'1Ф КРУГ'!A:A,'1Ф КРУГ'!B:B)</f>
        <v>0</v>
      </c>
      <c r="H46" s="695" t="e">
        <f>IF(G46="","",VLOOKUP(G46,'Списки участников'!A:K,3,FALSE))</f>
        <v>#N/A</v>
      </c>
      <c r="I46" s="486">
        <v>106</v>
      </c>
      <c r="J46" s="496">
        <v>14</v>
      </c>
      <c r="K46" s="739">
        <v>2</v>
      </c>
      <c r="L46" s="743">
        <v>4</v>
      </c>
      <c r="M46" s="485">
        <f>LOOKUP(K46,'1Ф КРУГ'!A:A,'1Ф КРУГ'!B:B)</f>
        <v>0</v>
      </c>
      <c r="N46" s="695" t="e">
        <f>IF(M46="","",VLOOKUP(M46,'Списки участников'!A:K,3,FALSE))</f>
        <v>#N/A</v>
      </c>
      <c r="O46" s="485">
        <f>LOOKUP(L46,'1Ф КРУГ'!A:A,'1Ф КРУГ'!B:B)</f>
        <v>0</v>
      </c>
      <c r="P46" s="695" t="e">
        <f>IF(O46="","",VLOOKUP(O46,'Списки участников'!A:K,3,FALSE))</f>
        <v>#N/A</v>
      </c>
    </row>
    <row r="47" spans="1:16" ht="17.25" x14ac:dyDescent="0.25">
      <c r="A47" s="486">
        <v>43</v>
      </c>
      <c r="B47" s="496">
        <v>6</v>
      </c>
      <c r="C47" s="738">
        <v>9</v>
      </c>
      <c r="D47" s="739">
        <v>13</v>
      </c>
      <c r="E47" s="484">
        <f>LOOKUP(C47,'1Ф КРУГ'!A:A,'1Ф КРУГ'!B:B)</f>
        <v>0</v>
      </c>
      <c r="F47" s="695" t="e">
        <f>IF(E47="","",VLOOKUP(E47,'Списки участников'!A:K,3,FALSE))</f>
        <v>#N/A</v>
      </c>
      <c r="G47" s="485">
        <f>LOOKUP(D47,'1Ф КРУГ'!A:A,'1Ф КРУГ'!B:B)</f>
        <v>0</v>
      </c>
      <c r="H47" s="695" t="e">
        <f>IF(G47="","",VLOOKUP(G47,'Списки участников'!A:K,3,FALSE))</f>
        <v>#N/A</v>
      </c>
      <c r="I47" s="486">
        <v>107</v>
      </c>
      <c r="J47" s="496">
        <v>14</v>
      </c>
      <c r="K47" s="739">
        <v>5</v>
      </c>
      <c r="L47" s="743">
        <v>16</v>
      </c>
      <c r="M47" s="485">
        <f>LOOKUP(K47,'1Ф КРУГ'!A:A,'1Ф КРУГ'!B:B)</f>
        <v>0</v>
      </c>
      <c r="N47" s="695" t="e">
        <f>IF(M47="","",VLOOKUP(M47,'Списки участников'!A:K,3,FALSE))</f>
        <v>#N/A</v>
      </c>
      <c r="O47" s="485">
        <f>LOOKUP(L47,'1Ф КРУГ'!A:A,'1Ф КРУГ'!B:B)</f>
        <v>0</v>
      </c>
      <c r="P47" s="695" t="e">
        <f>IF(O47="","",VLOOKUP(O47,'Списки участников'!A:K,3,FALSE))</f>
        <v>#N/A</v>
      </c>
    </row>
    <row r="48" spans="1:16" ht="17.25" x14ac:dyDescent="0.25">
      <c r="A48" s="486">
        <v>44</v>
      </c>
      <c r="B48" s="496">
        <v>6</v>
      </c>
      <c r="C48" s="738">
        <v>8</v>
      </c>
      <c r="D48" s="739">
        <v>14</v>
      </c>
      <c r="E48" s="484">
        <f>LOOKUP(C48,'1Ф КРУГ'!A:A,'1Ф КРУГ'!B:B)</f>
        <v>0</v>
      </c>
      <c r="F48" s="695" t="e">
        <f>IF(E48="","",VLOOKUP(E48,'Списки участников'!A:K,3,FALSE))</f>
        <v>#N/A</v>
      </c>
      <c r="G48" s="485">
        <f>LOOKUP(D48,'1Ф КРУГ'!A:A,'1Ф КРУГ'!B:B)</f>
        <v>0</v>
      </c>
      <c r="H48" s="695" t="e">
        <f>IF(G48="","",VLOOKUP(G48,'Списки участников'!A:K,3,FALSE))</f>
        <v>#N/A</v>
      </c>
      <c r="I48" s="486">
        <v>108</v>
      </c>
      <c r="J48" s="496">
        <v>14</v>
      </c>
      <c r="K48" s="739">
        <v>6</v>
      </c>
      <c r="L48" s="743">
        <v>15</v>
      </c>
      <c r="M48" s="485">
        <f>LOOKUP(K48,'1Ф КРУГ'!A:A,'1Ф КРУГ'!B:B)</f>
        <v>0</v>
      </c>
      <c r="N48" s="695" t="e">
        <f>IF(M48="","",VLOOKUP(M48,'Списки участников'!A:K,3,FALSE))</f>
        <v>#N/A</v>
      </c>
      <c r="O48" s="485">
        <f>LOOKUP(L48,'1Ф КРУГ'!A:A,'1Ф КРУГ'!B:B)</f>
        <v>0</v>
      </c>
      <c r="P48" s="695" t="e">
        <f>IF(O48="","",VLOOKUP(O48,'Списки участников'!A:K,3,FALSE))</f>
        <v>#N/A</v>
      </c>
    </row>
    <row r="49" spans="1:16" ht="17.25" x14ac:dyDescent="0.25">
      <c r="A49" s="486">
        <v>45</v>
      </c>
      <c r="B49" s="501">
        <v>6</v>
      </c>
      <c r="C49" s="738">
        <v>7</v>
      </c>
      <c r="D49" s="739">
        <v>15</v>
      </c>
      <c r="E49" s="484">
        <f>LOOKUP(C49,'1Ф КРУГ'!A:A,'1Ф КРУГ'!B:B)</f>
        <v>0</v>
      </c>
      <c r="F49" s="695" t="e">
        <f>IF(E49="","",VLOOKUP(E49,'Списки участников'!A:K,3,FALSE))</f>
        <v>#N/A</v>
      </c>
      <c r="G49" s="485">
        <f>LOOKUP(D49,'1Ф КРУГ'!A:A,'1Ф КРУГ'!B:B)</f>
        <v>0</v>
      </c>
      <c r="H49" s="695" t="e">
        <f>IF(G49="","",VLOOKUP(G49,'Списки участников'!A:K,3,FALSE))</f>
        <v>#N/A</v>
      </c>
      <c r="I49" s="486">
        <v>109</v>
      </c>
      <c r="J49" s="501">
        <v>14</v>
      </c>
      <c r="K49" s="739">
        <v>7</v>
      </c>
      <c r="L49" s="743">
        <v>14</v>
      </c>
      <c r="M49" s="485">
        <f>LOOKUP(K49,'1Ф КРУГ'!A:A,'1Ф КРУГ'!B:B)</f>
        <v>0</v>
      </c>
      <c r="N49" s="695" t="e">
        <f>IF(M49="","",VLOOKUP(M49,'Списки участников'!A:K,3,FALSE))</f>
        <v>#N/A</v>
      </c>
      <c r="O49" s="485">
        <f>LOOKUP(L49,'1Ф КРУГ'!A:A,'1Ф КРУГ'!B:B)</f>
        <v>0</v>
      </c>
      <c r="P49" s="695" t="e">
        <f>IF(O49="","",VLOOKUP(O49,'Списки участников'!A:K,3,FALSE))</f>
        <v>#N/A</v>
      </c>
    </row>
    <row r="50" spans="1:16" ht="17.25" x14ac:dyDescent="0.25">
      <c r="A50" s="486">
        <v>46</v>
      </c>
      <c r="B50" s="496">
        <v>6</v>
      </c>
      <c r="C50" s="738">
        <v>6</v>
      </c>
      <c r="D50" s="739">
        <v>16</v>
      </c>
      <c r="E50" s="484">
        <f>LOOKUP(C50,'1Ф КРУГ'!A:A,'1Ф КРУГ'!B:B)</f>
        <v>0</v>
      </c>
      <c r="F50" s="695" t="e">
        <f>IF(E50="","",VLOOKUP(E50,'Списки участников'!A:K,3,FALSE))</f>
        <v>#N/A</v>
      </c>
      <c r="G50" s="485">
        <f>LOOKUP(D50,'1Ф КРУГ'!A:A,'1Ф КРУГ'!B:B)</f>
        <v>0</v>
      </c>
      <c r="H50" s="695" t="e">
        <f>IF(G50="","",VLOOKUP(G50,'Списки участников'!A:K,3,FALSE))</f>
        <v>#N/A</v>
      </c>
      <c r="I50" s="486">
        <v>110</v>
      </c>
      <c r="J50" s="496">
        <v>14</v>
      </c>
      <c r="K50" s="745">
        <v>8</v>
      </c>
      <c r="L50" s="739">
        <v>13</v>
      </c>
      <c r="M50" s="485">
        <f>LOOKUP(K50,'1Ф КРУГ'!A:A,'1Ф КРУГ'!B:B)</f>
        <v>0</v>
      </c>
      <c r="N50" s="695" t="e">
        <f>IF(M50="","",VLOOKUP(M50,'Списки участников'!A:K,3,FALSE))</f>
        <v>#N/A</v>
      </c>
      <c r="O50" s="485">
        <f>LOOKUP(L50,'1Ф КРУГ'!A:A,'1Ф КРУГ'!B:B)</f>
        <v>0</v>
      </c>
      <c r="P50" s="695" t="e">
        <f>IF(O50="","",VLOOKUP(O50,'Списки участников'!A:K,3,FALSE))</f>
        <v>#N/A</v>
      </c>
    </row>
    <row r="51" spans="1:16" ht="17.25" x14ac:dyDescent="0.25">
      <c r="A51" s="486">
        <v>47</v>
      </c>
      <c r="B51" s="496">
        <v>6</v>
      </c>
      <c r="C51" s="738">
        <v>2</v>
      </c>
      <c r="D51" s="739">
        <v>5</v>
      </c>
      <c r="E51" s="484">
        <f>LOOKUP(C51,'1Ф КРУГ'!A:A,'1Ф КРУГ'!B:B)</f>
        <v>0</v>
      </c>
      <c r="F51" s="695" t="e">
        <f>IF(E51="","",VLOOKUP(E51,'Списки участников'!A:K,3,FALSE))</f>
        <v>#N/A</v>
      </c>
      <c r="G51" s="485">
        <f>LOOKUP(D51,'1Ф КРУГ'!A:A,'1Ф КРУГ'!B:B)</f>
        <v>0</v>
      </c>
      <c r="H51" s="695" t="e">
        <f>IF(G51="","",VLOOKUP(G51,'Списки участников'!A:K,3,FALSE))</f>
        <v>#N/A</v>
      </c>
      <c r="I51" s="486">
        <v>111</v>
      </c>
      <c r="J51" s="496">
        <v>14</v>
      </c>
      <c r="K51" s="745">
        <v>9</v>
      </c>
      <c r="L51" s="739">
        <v>12</v>
      </c>
      <c r="M51" s="485">
        <f>LOOKUP(K51,'1Ф КРУГ'!A:A,'1Ф КРУГ'!B:B)</f>
        <v>0</v>
      </c>
      <c r="N51" s="695" t="e">
        <f>IF(M51="","",VLOOKUP(M51,'Списки участников'!A:K,3,FALSE))</f>
        <v>#N/A</v>
      </c>
      <c r="O51" s="485">
        <f>LOOKUP(L51,'1Ф КРУГ'!A:A,'1Ф КРУГ'!B:B)</f>
        <v>0</v>
      </c>
      <c r="P51" s="695" t="e">
        <f>IF(O51="","",VLOOKUP(O51,'Списки участников'!A:K,3,FALSE))</f>
        <v>#N/A</v>
      </c>
    </row>
    <row r="52" spans="1:16" ht="18" thickBot="1" x14ac:dyDescent="0.3">
      <c r="A52" s="486">
        <v>48</v>
      </c>
      <c r="B52" s="500">
        <v>6</v>
      </c>
      <c r="C52" s="740">
        <v>3</v>
      </c>
      <c r="D52" s="741">
        <v>4</v>
      </c>
      <c r="E52" s="494">
        <f>LOOKUP(C52,'1Ф КРУГ'!A:A,'1Ф КРУГ'!B:B)</f>
        <v>0</v>
      </c>
      <c r="F52" s="730" t="e">
        <f>IF(E52="","",VLOOKUP(E52,'Списки участников'!A:K,3,FALSE))</f>
        <v>#N/A</v>
      </c>
      <c r="G52" s="731">
        <f>LOOKUP(D52,'1Ф КРУГ'!A:A,'1Ф КРУГ'!B:B)</f>
        <v>0</v>
      </c>
      <c r="H52" s="730" t="e">
        <f>IF(G52="","",VLOOKUP(G52,'Списки участников'!A:K,3,FALSE))</f>
        <v>#N/A</v>
      </c>
      <c r="I52" s="702">
        <v>112</v>
      </c>
      <c r="J52" s="500">
        <v>14</v>
      </c>
      <c r="K52" s="741">
        <v>10</v>
      </c>
      <c r="L52" s="746">
        <v>11</v>
      </c>
      <c r="M52" s="731">
        <f>LOOKUP(K52,'1Ф КРУГ'!A:A,'1Ф КРУГ'!B:B)</f>
        <v>0</v>
      </c>
      <c r="N52" s="730" t="e">
        <f>IF(M52="","",VLOOKUP(M52,'Списки участников'!A:K,3,FALSE))</f>
        <v>#N/A</v>
      </c>
      <c r="O52" s="731">
        <f>LOOKUP(L52,'1Ф КРУГ'!A:A,'1Ф КРУГ'!B:B)</f>
        <v>0</v>
      </c>
      <c r="P52" s="730" t="e">
        <f>IF(O52="","",VLOOKUP(O52,'Списки участников'!A:K,3,FALSE))</f>
        <v>#N/A</v>
      </c>
    </row>
    <row r="53" spans="1:16" ht="17.25" x14ac:dyDescent="0.25">
      <c r="A53" s="486">
        <v>49</v>
      </c>
      <c r="B53" s="496">
        <v>7</v>
      </c>
      <c r="C53" s="742">
        <v>1</v>
      </c>
      <c r="D53" s="743">
        <v>10</v>
      </c>
      <c r="E53" s="485">
        <f>LOOKUP(C53,'1Ф КРУГ'!A:A,'1Ф КРУГ'!B:B)</f>
        <v>0</v>
      </c>
      <c r="F53" s="695" t="e">
        <f>IF(E53="","",VLOOKUP(E53,'Списки участников'!A:K,3,FALSE))</f>
        <v>#N/A</v>
      </c>
      <c r="G53" s="485">
        <f>LOOKUP(D53,'1Ф КРУГ'!A:A,'1Ф КРУГ'!B:B)</f>
        <v>0</v>
      </c>
      <c r="H53" s="695" t="e">
        <f>IF(G53="","",VLOOKUP(G53,'Списки участников'!A:K,3,FALSE))</f>
        <v>#N/A</v>
      </c>
      <c r="I53" s="692">
        <v>113</v>
      </c>
      <c r="J53" s="496">
        <v>15</v>
      </c>
      <c r="K53" s="743">
        <v>1</v>
      </c>
      <c r="L53" s="743">
        <v>2</v>
      </c>
      <c r="M53" s="485">
        <f>LOOKUP(K53,'1Ф КРУГ'!A:A,'1Ф КРУГ'!B:B)</f>
        <v>0</v>
      </c>
      <c r="N53" s="695" t="e">
        <f>IF(M53="","",VLOOKUP(M53,'Списки участников'!A:K,3,FALSE))</f>
        <v>#N/A</v>
      </c>
      <c r="O53" s="485">
        <f>LOOKUP(L53,'1Ф КРУГ'!A:A,'1Ф КРУГ'!B:B)</f>
        <v>0</v>
      </c>
      <c r="P53" s="695" t="e">
        <f>IF(O53="","",VLOOKUP(O53,'Списки участников'!A:K,3,FALSE))</f>
        <v>#N/A</v>
      </c>
    </row>
    <row r="54" spans="1:16" ht="17.25" x14ac:dyDescent="0.25">
      <c r="A54" s="486">
        <v>50</v>
      </c>
      <c r="B54" s="496">
        <v>7</v>
      </c>
      <c r="C54" s="738">
        <v>9</v>
      </c>
      <c r="D54" s="739">
        <v>11</v>
      </c>
      <c r="E54" s="484">
        <f>LOOKUP(C54,'1Ф КРУГ'!A:A,'1Ф КРУГ'!B:B)</f>
        <v>0</v>
      </c>
      <c r="F54" s="695" t="e">
        <f>IF(E54="","",VLOOKUP(E54,'Списки участников'!A:K,3,FALSE))</f>
        <v>#N/A</v>
      </c>
      <c r="G54" s="485">
        <f>LOOKUP(D54,'1Ф КРУГ'!A:A,'1Ф КРУГ'!B:B)</f>
        <v>0</v>
      </c>
      <c r="H54" s="695" t="e">
        <f>IF(G54="","",VLOOKUP(G54,'Списки участников'!A:K,3,FALSE))</f>
        <v>#N/A</v>
      </c>
      <c r="I54" s="486">
        <v>114</v>
      </c>
      <c r="J54" s="496">
        <v>15</v>
      </c>
      <c r="K54" s="739">
        <v>3</v>
      </c>
      <c r="L54" s="739">
        <v>16</v>
      </c>
      <c r="M54" s="485">
        <f>LOOKUP(K54,'1Ф КРУГ'!A:A,'1Ф КРУГ'!B:B)</f>
        <v>0</v>
      </c>
      <c r="N54" s="695" t="e">
        <f>IF(M54="","",VLOOKUP(M54,'Списки участников'!A:K,3,FALSE))</f>
        <v>#N/A</v>
      </c>
      <c r="O54" s="485">
        <f>LOOKUP(L54,'1Ф КРУГ'!A:A,'1Ф КРУГ'!B:B)</f>
        <v>0</v>
      </c>
      <c r="P54" s="695" t="e">
        <f>IF(O54="","",VLOOKUP(O54,'Списки участников'!A:K,3,FALSE))</f>
        <v>#N/A</v>
      </c>
    </row>
    <row r="55" spans="1:16" ht="17.25" x14ac:dyDescent="0.25">
      <c r="A55" s="486">
        <v>51</v>
      </c>
      <c r="B55" s="496">
        <v>7</v>
      </c>
      <c r="C55" s="738">
        <v>8</v>
      </c>
      <c r="D55" s="739">
        <v>12</v>
      </c>
      <c r="E55" s="484">
        <f>LOOKUP(C55,'1Ф КРУГ'!A:A,'1Ф КРУГ'!B:B)</f>
        <v>0</v>
      </c>
      <c r="F55" s="695" t="e">
        <f>IF(E55="","",VLOOKUP(E55,'Списки участников'!A:K,3,FALSE))</f>
        <v>#N/A</v>
      </c>
      <c r="G55" s="485">
        <f>LOOKUP(D55,'1Ф КРУГ'!A:A,'1Ф КРУГ'!B:B)</f>
        <v>0</v>
      </c>
      <c r="H55" s="695" t="e">
        <f>IF(G55="","",VLOOKUP(G55,'Списки участников'!A:K,3,FALSE))</f>
        <v>#N/A</v>
      </c>
      <c r="I55" s="486">
        <v>115</v>
      </c>
      <c r="J55" s="496">
        <v>15</v>
      </c>
      <c r="K55" s="739">
        <v>4</v>
      </c>
      <c r="L55" s="739">
        <v>15</v>
      </c>
      <c r="M55" s="485">
        <f>LOOKUP(K55,'1Ф КРУГ'!A:A,'1Ф КРУГ'!B:B)</f>
        <v>0</v>
      </c>
      <c r="N55" s="695" t="e">
        <f>IF(M55="","",VLOOKUP(M55,'Списки участников'!A:K,3,FALSE))</f>
        <v>#N/A</v>
      </c>
      <c r="O55" s="485">
        <f>LOOKUP(L55,'1Ф КРУГ'!A:A,'1Ф КРУГ'!B:B)</f>
        <v>0</v>
      </c>
      <c r="P55" s="695" t="e">
        <f>IF(O55="","",VLOOKUP(O55,'Списки участников'!A:K,3,FALSE))</f>
        <v>#N/A</v>
      </c>
    </row>
    <row r="56" spans="1:16" ht="17.25" x14ac:dyDescent="0.25">
      <c r="A56" s="486">
        <v>52</v>
      </c>
      <c r="B56" s="496">
        <v>7</v>
      </c>
      <c r="C56" s="738">
        <v>7</v>
      </c>
      <c r="D56" s="739">
        <v>13</v>
      </c>
      <c r="E56" s="484">
        <f>LOOKUP(C56,'1Ф КРУГ'!A:A,'1Ф КРУГ'!B:B)</f>
        <v>0</v>
      </c>
      <c r="F56" s="695" t="e">
        <f>IF(E56="","",VLOOKUP(E56,'Списки участников'!A:K,3,FALSE))</f>
        <v>#N/A</v>
      </c>
      <c r="G56" s="485">
        <f>LOOKUP(D56,'1Ф КРУГ'!A:A,'1Ф КРУГ'!B:B)</f>
        <v>0</v>
      </c>
      <c r="H56" s="695" t="e">
        <f>IF(G56="","",VLOOKUP(G56,'Списки участников'!A:K,3,FALSE))</f>
        <v>#N/A</v>
      </c>
      <c r="I56" s="486">
        <v>116</v>
      </c>
      <c r="J56" s="496">
        <v>15</v>
      </c>
      <c r="K56" s="739">
        <v>5</v>
      </c>
      <c r="L56" s="739">
        <v>14</v>
      </c>
      <c r="M56" s="485">
        <f>LOOKUP(K56,'1Ф КРУГ'!A:A,'1Ф КРУГ'!B:B)</f>
        <v>0</v>
      </c>
      <c r="N56" s="695" t="e">
        <f>IF(M56="","",VLOOKUP(M56,'Списки участников'!A:K,3,FALSE))</f>
        <v>#N/A</v>
      </c>
      <c r="O56" s="485">
        <f>LOOKUP(L56,'1Ф КРУГ'!A:A,'1Ф КРУГ'!B:B)</f>
        <v>0</v>
      </c>
      <c r="P56" s="695" t="e">
        <f>IF(O56="","",VLOOKUP(O56,'Списки участников'!A:K,3,FALSE))</f>
        <v>#N/A</v>
      </c>
    </row>
    <row r="57" spans="1:16" ht="17.25" x14ac:dyDescent="0.25">
      <c r="A57" s="486">
        <v>53</v>
      </c>
      <c r="B57" s="501">
        <v>7</v>
      </c>
      <c r="C57" s="738">
        <v>6</v>
      </c>
      <c r="D57" s="739">
        <v>14</v>
      </c>
      <c r="E57" s="484">
        <f>LOOKUP(C57,'1Ф КРУГ'!A:A,'1Ф КРУГ'!B:B)</f>
        <v>0</v>
      </c>
      <c r="F57" s="695" t="e">
        <f>IF(E57="","",VLOOKUP(E57,'Списки участников'!A:K,3,FALSE))</f>
        <v>#N/A</v>
      </c>
      <c r="G57" s="485">
        <f>LOOKUP(D57,'1Ф КРУГ'!A:A,'1Ф КРУГ'!B:B)</f>
        <v>0</v>
      </c>
      <c r="H57" s="695" t="e">
        <f>IF(G57="","",VLOOKUP(G57,'Списки участников'!A:K,3,FALSE))</f>
        <v>#N/A</v>
      </c>
      <c r="I57" s="486">
        <v>117</v>
      </c>
      <c r="J57" s="501">
        <v>15</v>
      </c>
      <c r="K57" s="739">
        <v>6</v>
      </c>
      <c r="L57" s="739">
        <v>13</v>
      </c>
      <c r="M57" s="485">
        <f>LOOKUP(K57,'1Ф КРУГ'!A:A,'1Ф КРУГ'!B:B)</f>
        <v>0</v>
      </c>
      <c r="N57" s="695" t="e">
        <f>IF(M57="","",VLOOKUP(M57,'Списки участников'!A:K,3,FALSE))</f>
        <v>#N/A</v>
      </c>
      <c r="O57" s="485">
        <f>LOOKUP(L57,'1Ф КРУГ'!A:A,'1Ф КРУГ'!B:B)</f>
        <v>0</v>
      </c>
      <c r="P57" s="695" t="e">
        <f>IF(O57="","",VLOOKUP(O57,'Списки участников'!A:K,3,FALSE))</f>
        <v>#N/A</v>
      </c>
    </row>
    <row r="58" spans="1:16" ht="17.25" x14ac:dyDescent="0.25">
      <c r="A58" s="486">
        <v>54</v>
      </c>
      <c r="B58" s="496">
        <v>7</v>
      </c>
      <c r="C58" s="738">
        <v>5</v>
      </c>
      <c r="D58" s="739">
        <v>15</v>
      </c>
      <c r="E58" s="484">
        <f>LOOKUP(C58,'1Ф КРУГ'!A:A,'1Ф КРУГ'!B:B)</f>
        <v>0</v>
      </c>
      <c r="F58" s="695" t="e">
        <f>IF(E58="","",VLOOKUP(E58,'Списки участников'!A:K,3,FALSE))</f>
        <v>#N/A</v>
      </c>
      <c r="G58" s="485">
        <f>LOOKUP(D58,'1Ф КРУГ'!A:A,'1Ф КРУГ'!B:B)</f>
        <v>0</v>
      </c>
      <c r="H58" s="695" t="e">
        <f>IF(G58="","",VLOOKUP(G58,'Списки участников'!A:K,3,FALSE))</f>
        <v>#N/A</v>
      </c>
      <c r="I58" s="486">
        <v>118</v>
      </c>
      <c r="J58" s="496">
        <v>15</v>
      </c>
      <c r="K58" s="745">
        <v>7</v>
      </c>
      <c r="L58" s="745">
        <v>12</v>
      </c>
      <c r="M58" s="485">
        <f>LOOKUP(K58,'1Ф КРУГ'!A:A,'1Ф КРУГ'!B:B)</f>
        <v>0</v>
      </c>
      <c r="N58" s="695" t="e">
        <f>IF(M58="","",VLOOKUP(M58,'Списки участников'!A:K,3,FALSE))</f>
        <v>#N/A</v>
      </c>
      <c r="O58" s="485">
        <f>LOOKUP(L58,'1Ф КРУГ'!A:A,'1Ф КРУГ'!B:B)</f>
        <v>0</v>
      </c>
      <c r="P58" s="695" t="e">
        <f>IF(O58="","",VLOOKUP(O58,'Списки участников'!A:K,3,FALSE))</f>
        <v>#N/A</v>
      </c>
    </row>
    <row r="59" spans="1:16" ht="17.25" x14ac:dyDescent="0.25">
      <c r="A59" s="486">
        <v>55</v>
      </c>
      <c r="B59" s="496">
        <v>7</v>
      </c>
      <c r="C59" s="738">
        <v>4</v>
      </c>
      <c r="D59" s="739">
        <v>16</v>
      </c>
      <c r="E59" s="484">
        <f>LOOKUP(C59,'1Ф КРУГ'!A:A,'1Ф КРУГ'!B:B)</f>
        <v>0</v>
      </c>
      <c r="F59" s="695" t="e">
        <f>IF(E59="","",VLOOKUP(E59,'Списки участников'!A:K,3,FALSE))</f>
        <v>#N/A</v>
      </c>
      <c r="G59" s="485">
        <f>LOOKUP(D59,'1Ф КРУГ'!A:A,'1Ф КРУГ'!B:B)</f>
        <v>0</v>
      </c>
      <c r="H59" s="695" t="e">
        <f>IF(G59="","",VLOOKUP(G59,'Списки участников'!A:K,3,FALSE))</f>
        <v>#N/A</v>
      </c>
      <c r="I59" s="486">
        <v>119</v>
      </c>
      <c r="J59" s="496">
        <v>15</v>
      </c>
      <c r="K59" s="745">
        <v>8</v>
      </c>
      <c r="L59" s="745">
        <v>11</v>
      </c>
      <c r="M59" s="485">
        <f>LOOKUP(K59,'1Ф КРУГ'!A:A,'1Ф КРУГ'!B:B)</f>
        <v>0</v>
      </c>
      <c r="N59" s="695" t="e">
        <f>IF(M59="","",VLOOKUP(M59,'Списки участников'!A:K,3,FALSE))</f>
        <v>#N/A</v>
      </c>
      <c r="O59" s="485">
        <f>LOOKUP(L59,'1Ф КРУГ'!A:A,'1Ф КРУГ'!B:B)</f>
        <v>0</v>
      </c>
      <c r="P59" s="695" t="e">
        <f>IF(O59="","",VLOOKUP(O59,'Списки участников'!A:K,3,FALSE))</f>
        <v>#N/A</v>
      </c>
    </row>
    <row r="60" spans="1:16" ht="18" thickBot="1" x14ac:dyDescent="0.3">
      <c r="A60" s="486">
        <v>56</v>
      </c>
      <c r="B60" s="500">
        <v>7</v>
      </c>
      <c r="C60" s="740">
        <v>2</v>
      </c>
      <c r="D60" s="744">
        <v>3</v>
      </c>
      <c r="E60" s="494">
        <f>LOOKUP(C60,'1Ф КРУГ'!A:A,'1Ф КРУГ'!B:B)</f>
        <v>0</v>
      </c>
      <c r="F60" s="730" t="e">
        <f>IF(E60="","",VLOOKUP(E60,'Списки участников'!A:K,3,FALSE))</f>
        <v>#N/A</v>
      </c>
      <c r="G60" s="731">
        <f>LOOKUP(D60,'1Ф КРУГ'!A:A,'1Ф КРУГ'!B:B)</f>
        <v>0</v>
      </c>
      <c r="H60" s="730" t="e">
        <f>IF(G60="","",VLOOKUP(G60,'Списки участников'!A:K,3,FALSE))</f>
        <v>#N/A</v>
      </c>
      <c r="I60" s="732">
        <v>120</v>
      </c>
      <c r="J60" s="500">
        <v>15</v>
      </c>
      <c r="K60" s="744">
        <v>9</v>
      </c>
      <c r="L60" s="744">
        <v>10</v>
      </c>
      <c r="M60" s="731">
        <f>LOOKUP(K60,'1Ф КРУГ'!A:A,'1Ф КРУГ'!B:B)</f>
        <v>0</v>
      </c>
      <c r="N60" s="730" t="e">
        <f>IF(M60="","",VLOOKUP(M60,'Списки участников'!A:K,3,FALSE))</f>
        <v>#N/A</v>
      </c>
      <c r="O60" s="731">
        <f>LOOKUP(L60,'1Ф КРУГ'!A:A,'1Ф КРУГ'!B:B)</f>
        <v>0</v>
      </c>
      <c r="P60" s="730" t="e">
        <f>IF(O60="","",VLOOKUP(O60,'Списки участников'!A:K,3,FALSE))</f>
        <v>#N/A</v>
      </c>
    </row>
    <row r="61" spans="1:16" ht="15.75" x14ac:dyDescent="0.25">
      <c r="A61" s="486">
        <v>57</v>
      </c>
      <c r="B61" s="496">
        <v>8</v>
      </c>
      <c r="C61" s="742">
        <v>1</v>
      </c>
      <c r="D61" s="743">
        <v>9</v>
      </c>
      <c r="E61" s="485">
        <f>LOOKUP(C61,'1Ф КРУГ'!A:A,'1Ф КРУГ'!B:B)</f>
        <v>0</v>
      </c>
      <c r="F61" s="695" t="e">
        <f>IF(E61="","",VLOOKUP(E61,'Списки участников'!A:K,3,FALSE))</f>
        <v>#N/A</v>
      </c>
      <c r="G61" s="485">
        <f>LOOKUP(D61,'1Ф КРУГ'!A:A,'1Ф КРУГ'!B:B)</f>
        <v>0</v>
      </c>
      <c r="H61" s="695" t="e">
        <f>IF(G61="","",VLOOKUP(G61,'Списки участников'!A:K,3,FALSE))</f>
        <v>#N/A</v>
      </c>
    </row>
    <row r="62" spans="1:16" ht="15.75" x14ac:dyDescent="0.25">
      <c r="A62" s="486">
        <v>58</v>
      </c>
      <c r="B62" s="496">
        <v>8</v>
      </c>
      <c r="C62" s="738">
        <v>8</v>
      </c>
      <c r="D62" s="739">
        <v>10</v>
      </c>
      <c r="E62" s="484">
        <f>LOOKUP(C62,'1Ф КРУГ'!A:A,'1Ф КРУГ'!B:B)</f>
        <v>0</v>
      </c>
      <c r="F62" s="695" t="e">
        <f>IF(E62="","",VLOOKUP(E62,'Списки участников'!A:K,3,FALSE))</f>
        <v>#N/A</v>
      </c>
      <c r="G62" s="485">
        <f>LOOKUP(D62,'1Ф КРУГ'!A:A,'1Ф КРУГ'!B:B)</f>
        <v>0</v>
      </c>
      <c r="H62" s="695" t="e">
        <f>IF(G62="","",VLOOKUP(G62,'Списки участников'!A:K,3,FALSE))</f>
        <v>#N/A</v>
      </c>
    </row>
    <row r="63" spans="1:16" ht="15.75" x14ac:dyDescent="0.25">
      <c r="A63" s="486">
        <v>59</v>
      </c>
      <c r="B63" s="496">
        <v>8</v>
      </c>
      <c r="C63" s="738">
        <v>7</v>
      </c>
      <c r="D63" s="739">
        <v>11</v>
      </c>
      <c r="E63" s="484">
        <f>LOOKUP(C63,'1Ф КРУГ'!A:A,'1Ф КРУГ'!B:B)</f>
        <v>0</v>
      </c>
      <c r="F63" s="695" t="e">
        <f>IF(E63="","",VLOOKUP(E63,'Списки участников'!A:K,3,FALSE))</f>
        <v>#N/A</v>
      </c>
      <c r="G63" s="485">
        <f>LOOKUP(D63,'1Ф КРУГ'!A:A,'1Ф КРУГ'!B:B)</f>
        <v>0</v>
      </c>
      <c r="H63" s="695" t="e">
        <f>IF(G63="","",VLOOKUP(G63,'Списки участников'!A:K,3,FALSE))</f>
        <v>#N/A</v>
      </c>
    </row>
    <row r="64" spans="1:16" ht="15.75" x14ac:dyDescent="0.25">
      <c r="A64" s="486">
        <v>60</v>
      </c>
      <c r="B64" s="496">
        <v>8</v>
      </c>
      <c r="C64" s="738">
        <v>6</v>
      </c>
      <c r="D64" s="739">
        <v>12</v>
      </c>
      <c r="E64" s="484">
        <f>LOOKUP(C64,'1Ф КРУГ'!A:A,'1Ф КРУГ'!B:B)</f>
        <v>0</v>
      </c>
      <c r="F64" s="695" t="e">
        <f>IF(E64="","",VLOOKUP(E64,'Списки участников'!A:K,3,FALSE))</f>
        <v>#N/A</v>
      </c>
      <c r="G64" s="485">
        <f>LOOKUP(D64,'1Ф КРУГ'!A:A,'1Ф КРУГ'!B:B)</f>
        <v>0</v>
      </c>
      <c r="H64" s="695" t="e">
        <f>IF(G64="","",VLOOKUP(G64,'Списки участников'!A:K,3,FALSE))</f>
        <v>#N/A</v>
      </c>
    </row>
    <row r="65" spans="1:8" ht="15.75" x14ac:dyDescent="0.25">
      <c r="A65" s="486">
        <v>61</v>
      </c>
      <c r="B65" s="501">
        <v>8</v>
      </c>
      <c r="C65" s="738">
        <v>5</v>
      </c>
      <c r="D65" s="739">
        <v>13</v>
      </c>
      <c r="E65" s="484">
        <f>LOOKUP(C65,'1Ф КРУГ'!A:A,'1Ф КРУГ'!B:B)</f>
        <v>0</v>
      </c>
      <c r="F65" s="695" t="e">
        <f>IF(E65="","",VLOOKUP(E65,'Списки участников'!A:K,3,FALSE))</f>
        <v>#N/A</v>
      </c>
      <c r="G65" s="485">
        <f>LOOKUP(D65,'1Ф КРУГ'!A:A,'1Ф КРУГ'!B:B)</f>
        <v>0</v>
      </c>
      <c r="H65" s="695" t="e">
        <f>IF(G65="","",VLOOKUP(G65,'Списки участников'!A:K,3,FALSE))</f>
        <v>#N/A</v>
      </c>
    </row>
    <row r="66" spans="1:8" ht="15.75" x14ac:dyDescent="0.25">
      <c r="A66" s="486">
        <v>62</v>
      </c>
      <c r="B66" s="496">
        <v>8</v>
      </c>
      <c r="C66" s="738">
        <v>4</v>
      </c>
      <c r="D66" s="739">
        <v>14</v>
      </c>
      <c r="E66" s="484">
        <f>LOOKUP(C66,'1Ф КРУГ'!A:A,'1Ф КРУГ'!B:B)</f>
        <v>0</v>
      </c>
      <c r="F66" s="695" t="e">
        <f>IF(E66="","",VLOOKUP(E66,'Списки участников'!A:K,3,FALSE))</f>
        <v>#N/A</v>
      </c>
      <c r="G66" s="485">
        <f>LOOKUP(D66,'1Ф КРУГ'!A:A,'1Ф КРУГ'!B:B)</f>
        <v>0</v>
      </c>
      <c r="H66" s="695" t="e">
        <f>IF(G66="","",VLOOKUP(G66,'Списки участников'!A:K,3,FALSE))</f>
        <v>#N/A</v>
      </c>
    </row>
    <row r="67" spans="1:8" ht="15.75" x14ac:dyDescent="0.25">
      <c r="A67" s="486">
        <v>63</v>
      </c>
      <c r="B67" s="496">
        <v>8</v>
      </c>
      <c r="C67" s="738">
        <v>3</v>
      </c>
      <c r="D67" s="739">
        <v>15</v>
      </c>
      <c r="E67" s="484">
        <f>LOOKUP(C67,'1Ф КРУГ'!A:A,'1Ф КРУГ'!B:B)</f>
        <v>0</v>
      </c>
      <c r="F67" s="695" t="e">
        <f>IF(E67="","",VLOOKUP(E67,'Списки участников'!A:K,3,FALSE))</f>
        <v>#N/A</v>
      </c>
      <c r="G67" s="485">
        <f>LOOKUP(D67,'1Ф КРУГ'!A:A,'1Ф КРУГ'!B:B)</f>
        <v>0</v>
      </c>
      <c r="H67" s="695" t="e">
        <f>IF(G67="","",VLOOKUP(G67,'Списки участников'!A:K,3,FALSE))</f>
        <v>#N/A</v>
      </c>
    </row>
    <row r="68" spans="1:8" ht="16.5" thickBot="1" x14ac:dyDescent="0.3">
      <c r="A68" s="486">
        <v>64</v>
      </c>
      <c r="B68" s="500">
        <v>8</v>
      </c>
      <c r="C68" s="740">
        <v>2</v>
      </c>
      <c r="D68" s="741">
        <v>16</v>
      </c>
      <c r="E68" s="484">
        <f>LOOKUP(C68,'1Ф КРУГ'!A:A,'1Ф КРУГ'!B:B)</f>
        <v>0</v>
      </c>
      <c r="F68" s="701" t="e">
        <f>IF(E68="","",VLOOKUP(E68,'Списки участников'!A:K,3,FALSE))</f>
        <v>#N/A</v>
      </c>
      <c r="G68" s="494">
        <f>LOOKUP(D68,'1Ф КРУГ'!A:A,'1Ф КРУГ'!B:B)</f>
        <v>0</v>
      </c>
      <c r="H68" s="701" t="e">
        <f>IF(G68="","",VLOOKUP(G68,'Списки участников'!A:K,3,FALSE))</f>
        <v>#N/A</v>
      </c>
    </row>
  </sheetData>
  <mergeCells count="13">
    <mergeCell ref="P3:P4"/>
    <mergeCell ref="A1:P1"/>
    <mergeCell ref="A3:A4"/>
    <mergeCell ref="B3:B4"/>
    <mergeCell ref="E3:E4"/>
    <mergeCell ref="F3:F4"/>
    <mergeCell ref="H3:H4"/>
    <mergeCell ref="I3:I4"/>
    <mergeCell ref="J3:J4"/>
    <mergeCell ref="N3:N4"/>
    <mergeCell ref="C3:D4"/>
    <mergeCell ref="I2:L2"/>
    <mergeCell ref="K3:L4"/>
  </mergeCells>
  <pageMargins left="0.31496062992125984" right="0.31496062992125984" top="0.35433070866141736" bottom="0.35433070866141736" header="0.31496062992125984" footer="0.31496062992125984"/>
  <pageSetup paperSize="9" scale="68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68"/>
  <sheetViews>
    <sheetView view="pageBreakPreview" zoomScale="90" zoomScaleNormal="100" zoomScaleSheetLayoutView="90" workbookViewId="0">
      <selection activeCell="H3" sqref="H3:H4"/>
    </sheetView>
  </sheetViews>
  <sheetFormatPr defaultRowHeight="12.75" outlineLevelCol="1" x14ac:dyDescent="0.2"/>
  <cols>
    <col min="1" max="1" width="6.6640625" customWidth="1"/>
    <col min="2" max="2" width="4.5" customWidth="1"/>
    <col min="3" max="4" width="5" customWidth="1"/>
    <col min="5" max="5" width="8" customWidth="1" outlineLevel="1"/>
    <col min="6" max="6" width="29.1640625" customWidth="1"/>
    <col min="7" max="7" width="9.33203125" customWidth="1" outlineLevel="1"/>
    <col min="8" max="8" width="29.1640625" customWidth="1"/>
    <col min="9" max="9" width="6.6640625" customWidth="1"/>
    <col min="10" max="10" width="4.83203125" customWidth="1"/>
    <col min="11" max="12" width="5" customWidth="1"/>
    <col min="13" max="13" width="9.33203125" customWidth="1" outlineLevel="1"/>
    <col min="14" max="14" width="29.1640625" customWidth="1"/>
    <col min="15" max="15" width="9.33203125" customWidth="1" outlineLevel="1"/>
    <col min="16" max="16" width="29.1640625" customWidth="1"/>
  </cols>
  <sheetData>
    <row r="1" spans="1:20" ht="21.75" customHeight="1" x14ac:dyDescent="0.3">
      <c r="A1" s="1310" t="str">
        <f>'Списки участников'!A1</f>
        <v xml:space="preserve">X Спартакиада
среди предприятий Нижегородской области ФСК "Профсоюзов",
под девизом "Будь спортивным - будь успешным!"
</v>
      </c>
      <c r="B1" s="1310"/>
      <c r="C1" s="1310"/>
      <c r="D1" s="1310"/>
      <c r="E1" s="1310"/>
      <c r="F1" s="1310"/>
      <c r="G1" s="1310"/>
      <c r="H1" s="1310"/>
      <c r="I1" s="1310"/>
      <c r="J1" s="1310"/>
      <c r="K1" s="1310"/>
      <c r="L1" s="1310"/>
      <c r="M1" s="1310"/>
      <c r="N1" s="1310"/>
      <c r="O1" s="1310"/>
      <c r="P1" s="1310"/>
    </row>
    <row r="2" spans="1:20" ht="16.5" thickBot="1" x14ac:dyDescent="0.3">
      <c r="A2" s="686" t="str">
        <f>'Списки участников'!C3</f>
        <v>22 октября 2016 г.</v>
      </c>
      <c r="B2" s="686"/>
      <c r="C2" s="686"/>
      <c r="D2" s="686"/>
      <c r="E2" s="685" t="s">
        <v>1047</v>
      </c>
      <c r="F2" s="685"/>
      <c r="G2" s="685"/>
      <c r="H2" s="794" t="s">
        <v>1054</v>
      </c>
      <c r="I2" s="1331">
        <f>'Списки участников'!D6</f>
        <v>0</v>
      </c>
      <c r="J2" s="1332"/>
      <c r="K2" s="1332"/>
      <c r="L2" s="1332"/>
      <c r="M2" s="685"/>
      <c r="N2" s="685"/>
      <c r="P2" s="684">
        <f>'Списки участников'!H3</f>
        <v>0</v>
      </c>
    </row>
    <row r="3" spans="1:20" ht="16.5" customHeight="1" x14ac:dyDescent="0.25">
      <c r="A3" s="1311" t="s">
        <v>1040</v>
      </c>
      <c r="B3" s="1313" t="s">
        <v>964</v>
      </c>
      <c r="C3" s="1327" t="s">
        <v>3</v>
      </c>
      <c r="D3" s="1328"/>
      <c r="E3" s="1315"/>
      <c r="F3" s="1317" t="s">
        <v>4</v>
      </c>
      <c r="G3" s="680"/>
      <c r="H3" s="1319" t="s">
        <v>4</v>
      </c>
      <c r="I3" s="1321" t="s">
        <v>1040</v>
      </c>
      <c r="J3" s="1323" t="s">
        <v>964</v>
      </c>
      <c r="K3" s="1333" t="s">
        <v>3</v>
      </c>
      <c r="L3" s="1334"/>
      <c r="M3" s="728"/>
      <c r="N3" s="1325" t="s">
        <v>4</v>
      </c>
      <c r="O3" s="681"/>
      <c r="P3" s="1308" t="s">
        <v>4</v>
      </c>
      <c r="R3" s="109"/>
      <c r="S3" s="109"/>
      <c r="T3" s="109"/>
    </row>
    <row r="4" spans="1:20" ht="16.5" thickBot="1" x14ac:dyDescent="0.3">
      <c r="A4" s="1312"/>
      <c r="B4" s="1314"/>
      <c r="C4" s="1329"/>
      <c r="D4" s="1330"/>
      <c r="E4" s="1316"/>
      <c r="F4" s="1318"/>
      <c r="G4" s="682"/>
      <c r="H4" s="1320"/>
      <c r="I4" s="1322"/>
      <c r="J4" s="1324"/>
      <c r="K4" s="1335"/>
      <c r="L4" s="1336"/>
      <c r="M4" s="729"/>
      <c r="N4" s="1326"/>
      <c r="O4" s="683"/>
      <c r="P4" s="1309"/>
      <c r="R4" s="109"/>
      <c r="S4" s="109"/>
      <c r="T4" s="109"/>
    </row>
    <row r="5" spans="1:20" ht="15.75" x14ac:dyDescent="0.25">
      <c r="A5" s="915">
        <v>1</v>
      </c>
      <c r="B5" s="482">
        <v>1</v>
      </c>
      <c r="C5" s="738">
        <v>1</v>
      </c>
      <c r="D5" s="739">
        <v>16</v>
      </c>
      <c r="E5" s="484">
        <f>LOOKUP(C5,'2Ф КРУГ'!A:A,'2Ф КРУГ'!B:B)</f>
        <v>0</v>
      </c>
      <c r="F5" s="922" t="e">
        <f>IF(E5="","",VLOOKUP(E5,'Списки участников'!A:K,3,FALSE))</f>
        <v>#N/A</v>
      </c>
      <c r="G5" s="485">
        <f>LOOKUP(D5,'2Ф КРУГ'!A:A,'2Ф КРУГ'!B:B)</f>
        <v>0</v>
      </c>
      <c r="H5" s="922" t="e">
        <f>IF(G5="","",VLOOKUP(G5,'Списки участников'!A:K,3,FALSE))</f>
        <v>#N/A</v>
      </c>
      <c r="I5" s="915">
        <v>65</v>
      </c>
      <c r="J5" s="496">
        <v>9</v>
      </c>
      <c r="K5" s="743">
        <v>1</v>
      </c>
      <c r="L5" s="743">
        <v>8</v>
      </c>
      <c r="M5" s="485">
        <f>LOOKUP(K5,'2Ф КРУГ'!A:A,'2Ф КРУГ'!B:B)</f>
        <v>0</v>
      </c>
      <c r="N5" s="922" t="e">
        <f>IF(M5="","",VLOOKUP(M5,'Списки участников'!A:K,3,FALSE))</f>
        <v>#N/A</v>
      </c>
      <c r="O5" s="485">
        <f>LOOKUP(L5,'2Ф КРУГ'!A:A,'2Ф КРУГ'!B:B)</f>
        <v>0</v>
      </c>
      <c r="P5" s="922" t="e">
        <f>IF(O5="","",VLOOKUP(O5,'Списки участников'!A:K,3,FALSE))</f>
        <v>#N/A</v>
      </c>
      <c r="Q5" s="749">
        <v>1</v>
      </c>
      <c r="R5" s="749">
        <v>1</v>
      </c>
      <c r="S5" s="109"/>
      <c r="T5" s="109"/>
    </row>
    <row r="6" spans="1:20" ht="15.75" x14ac:dyDescent="0.25">
      <c r="A6" s="486">
        <v>2</v>
      </c>
      <c r="B6" s="487">
        <v>1</v>
      </c>
      <c r="C6" s="738">
        <v>2</v>
      </c>
      <c r="D6" s="739">
        <v>15</v>
      </c>
      <c r="E6" s="484">
        <f>LOOKUP(C6,'2Ф КРУГ'!A:A,'2Ф КРУГ'!B:B)</f>
        <v>0</v>
      </c>
      <c r="F6" s="922" t="e">
        <f>IF(E6="","",VLOOKUP(E6,'Списки участников'!A:K,3,FALSE))</f>
        <v>#N/A</v>
      </c>
      <c r="G6" s="485">
        <f>LOOKUP(D6,'2Ф КРУГ'!A:A,'2Ф КРУГ'!B:B)</f>
        <v>0</v>
      </c>
      <c r="H6" s="922" t="e">
        <f>IF(G6="","",VLOOKUP(G6,'Списки участников'!A:K,3,FALSE))</f>
        <v>#N/A</v>
      </c>
      <c r="I6" s="486">
        <v>66</v>
      </c>
      <c r="J6" s="496">
        <v>9</v>
      </c>
      <c r="K6" s="739">
        <v>7</v>
      </c>
      <c r="L6" s="739">
        <v>9</v>
      </c>
      <c r="M6" s="485">
        <f>LOOKUP(K6,'2Ф КРУГ'!A:A,'2Ф КРУГ'!B:B)</f>
        <v>0</v>
      </c>
      <c r="N6" s="922" t="e">
        <f>IF(M6="","",VLOOKUP(M6,'Списки участников'!A:K,3,FALSE))</f>
        <v>#N/A</v>
      </c>
      <c r="O6" s="485">
        <f>LOOKUP(L6,'2Ф КРУГ'!A:A,'2Ф КРУГ'!B:B)</f>
        <v>0</v>
      </c>
      <c r="P6" s="922" t="e">
        <f>IF(O6="","",VLOOKUP(O6,'Списки участников'!A:K,3,FALSE))</f>
        <v>#N/A</v>
      </c>
      <c r="Q6" s="749">
        <v>2</v>
      </c>
      <c r="R6" s="749">
        <v>9</v>
      </c>
      <c r="S6" s="109"/>
      <c r="T6" s="109"/>
    </row>
    <row r="7" spans="1:20" ht="15.75" x14ac:dyDescent="0.25">
      <c r="A7" s="486">
        <v>3</v>
      </c>
      <c r="B7" s="487">
        <v>1</v>
      </c>
      <c r="C7" s="738">
        <v>3</v>
      </c>
      <c r="D7" s="739">
        <v>14</v>
      </c>
      <c r="E7" s="484">
        <f>LOOKUP(C7,'2Ф КРУГ'!A:A,'2Ф КРУГ'!B:B)</f>
        <v>0</v>
      </c>
      <c r="F7" s="922" t="e">
        <f>IF(E7="","",VLOOKUP(E7,'Списки участников'!A:K,3,FALSE))</f>
        <v>#N/A</v>
      </c>
      <c r="G7" s="485">
        <f>LOOKUP(D7,'2Ф КРУГ'!A:A,'2Ф КРУГ'!B:B)</f>
        <v>0</v>
      </c>
      <c r="H7" s="922" t="e">
        <f>IF(G7="","",VLOOKUP(G7,'Списки участников'!A:K,3,FALSE))</f>
        <v>#N/A</v>
      </c>
      <c r="I7" s="486">
        <v>67</v>
      </c>
      <c r="J7" s="496">
        <v>9</v>
      </c>
      <c r="K7" s="739">
        <v>6</v>
      </c>
      <c r="L7" s="739">
        <v>10</v>
      </c>
      <c r="M7" s="485">
        <f>LOOKUP(K7,'2Ф КРУГ'!A:A,'2Ф КРУГ'!B:B)</f>
        <v>0</v>
      </c>
      <c r="N7" s="922" t="e">
        <f>IF(M7="","",VLOOKUP(M7,'Списки участников'!A:K,3,FALSE))</f>
        <v>#N/A</v>
      </c>
      <c r="O7" s="485">
        <f>LOOKUP(L7,'2Ф КРУГ'!A:A,'2Ф КРУГ'!B:B)</f>
        <v>0</v>
      </c>
      <c r="P7" s="922" t="e">
        <f>IF(O7="","",VLOOKUP(O7,'Списки участников'!A:K,3,FALSE))</f>
        <v>#N/A</v>
      </c>
      <c r="Q7" s="749">
        <v>3</v>
      </c>
      <c r="R7" s="749">
        <v>17</v>
      </c>
      <c r="S7" s="109"/>
      <c r="T7" s="109"/>
    </row>
    <row r="8" spans="1:20" ht="15.75" x14ac:dyDescent="0.25">
      <c r="A8" s="486">
        <v>4</v>
      </c>
      <c r="B8" s="487">
        <v>1</v>
      </c>
      <c r="C8" s="738">
        <v>4</v>
      </c>
      <c r="D8" s="739">
        <v>13</v>
      </c>
      <c r="E8" s="484">
        <f>LOOKUP(C8,'2Ф КРУГ'!A:A,'2Ф КРУГ'!B:B)</f>
        <v>0</v>
      </c>
      <c r="F8" s="922" t="e">
        <f>IF(E8="","",VLOOKUP(E8,'Списки участников'!A:K,3,FALSE))</f>
        <v>#N/A</v>
      </c>
      <c r="G8" s="485">
        <f>LOOKUP(D8,'2Ф КРУГ'!A:A,'2Ф КРУГ'!B:B)</f>
        <v>0</v>
      </c>
      <c r="H8" s="922" t="e">
        <f>IF(G8="","",VLOOKUP(G8,'Списки участников'!A:K,3,FALSE))</f>
        <v>#N/A</v>
      </c>
      <c r="I8" s="486">
        <v>68</v>
      </c>
      <c r="J8" s="496">
        <v>9</v>
      </c>
      <c r="K8" s="739">
        <v>5</v>
      </c>
      <c r="L8" s="739">
        <v>11</v>
      </c>
      <c r="M8" s="485">
        <f>LOOKUP(K8,'2Ф КРУГ'!A:A,'2Ф КРУГ'!B:B)</f>
        <v>0</v>
      </c>
      <c r="N8" s="922" t="e">
        <f>IF(M8="","",VLOOKUP(M8,'Списки участников'!A:K,3,FALSE))</f>
        <v>#N/A</v>
      </c>
      <c r="O8" s="485">
        <f>LOOKUP(L8,'2Ф КРУГ'!A:A,'2Ф КРУГ'!B:B)</f>
        <v>0</v>
      </c>
      <c r="P8" s="922" t="e">
        <f>IF(O8="","",VLOOKUP(O8,'Списки участников'!A:K,3,FALSE))</f>
        <v>#N/A</v>
      </c>
      <c r="Q8" s="749">
        <v>4</v>
      </c>
      <c r="R8" s="749">
        <v>25</v>
      </c>
      <c r="S8" s="109"/>
      <c r="T8" s="109"/>
    </row>
    <row r="9" spans="1:20" ht="15.75" x14ac:dyDescent="0.25">
      <c r="A9" s="486">
        <v>5</v>
      </c>
      <c r="B9" s="489">
        <v>1</v>
      </c>
      <c r="C9" s="738">
        <v>5</v>
      </c>
      <c r="D9" s="739">
        <v>12</v>
      </c>
      <c r="E9" s="484">
        <f>LOOKUP(C9,'2Ф КРУГ'!A:A,'2Ф КРУГ'!B:B)</f>
        <v>0</v>
      </c>
      <c r="F9" s="922" t="e">
        <f>IF(E9="","",VLOOKUP(E9,'Списки участников'!A:K,3,FALSE))</f>
        <v>#N/A</v>
      </c>
      <c r="G9" s="485">
        <f>LOOKUP(D9,'2Ф КРУГ'!A:A,'2Ф КРУГ'!B:B)</f>
        <v>0</v>
      </c>
      <c r="H9" s="922" t="e">
        <f>IF(G9="","",VLOOKUP(G9,'Списки участников'!A:K,3,FALSE))</f>
        <v>#N/A</v>
      </c>
      <c r="I9" s="486">
        <v>69</v>
      </c>
      <c r="J9" s="501">
        <v>9</v>
      </c>
      <c r="K9" s="739">
        <v>4</v>
      </c>
      <c r="L9" s="739">
        <v>12</v>
      </c>
      <c r="M9" s="485">
        <f>LOOKUP(K9,'2Ф КРУГ'!A:A,'2Ф КРУГ'!B:B)</f>
        <v>0</v>
      </c>
      <c r="N9" s="922" t="e">
        <f>IF(M9="","",VLOOKUP(M9,'Списки участников'!A:K,3,FALSE))</f>
        <v>#N/A</v>
      </c>
      <c r="O9" s="485">
        <f>LOOKUP(L9,'2Ф КРУГ'!A:A,'2Ф КРУГ'!B:B)</f>
        <v>0</v>
      </c>
      <c r="P9" s="922" t="e">
        <f>IF(O9="","",VLOOKUP(O9,'Списки участников'!A:K,3,FALSE))</f>
        <v>#N/A</v>
      </c>
      <c r="Q9" s="749">
        <v>5</v>
      </c>
      <c r="R9" s="749">
        <v>33</v>
      </c>
      <c r="S9" s="109"/>
      <c r="T9" s="109"/>
    </row>
    <row r="10" spans="1:20" ht="15.75" x14ac:dyDescent="0.25">
      <c r="A10" s="486">
        <v>6</v>
      </c>
      <c r="B10" s="487">
        <v>1</v>
      </c>
      <c r="C10" s="738">
        <v>6</v>
      </c>
      <c r="D10" s="739">
        <v>11</v>
      </c>
      <c r="E10" s="484">
        <f>LOOKUP(C10,'2Ф КРУГ'!A:A,'2Ф КРУГ'!B:B)</f>
        <v>0</v>
      </c>
      <c r="F10" s="922" t="e">
        <f>IF(E10="","",VLOOKUP(E10,'Списки участников'!A:K,3,FALSE))</f>
        <v>#N/A</v>
      </c>
      <c r="G10" s="485">
        <f>LOOKUP(D10,'2Ф КРУГ'!A:A,'2Ф КРУГ'!B:B)</f>
        <v>0</v>
      </c>
      <c r="H10" s="922" t="e">
        <f>IF(G10="","",VLOOKUP(G10,'Списки участников'!A:K,3,FALSE))</f>
        <v>#N/A</v>
      </c>
      <c r="I10" s="486">
        <v>70</v>
      </c>
      <c r="J10" s="496">
        <v>9</v>
      </c>
      <c r="K10" s="739">
        <v>3</v>
      </c>
      <c r="L10" s="739">
        <v>13</v>
      </c>
      <c r="M10" s="485">
        <f>LOOKUP(K10,'2Ф КРУГ'!A:A,'2Ф КРУГ'!B:B)</f>
        <v>0</v>
      </c>
      <c r="N10" s="922" t="e">
        <f>IF(M10="","",VLOOKUP(M10,'Списки участников'!A:K,3,FALSE))</f>
        <v>#N/A</v>
      </c>
      <c r="O10" s="485">
        <f>LOOKUP(L10,'2Ф КРУГ'!A:A,'2Ф КРУГ'!B:B)</f>
        <v>0</v>
      </c>
      <c r="P10" s="922" t="e">
        <f>IF(O10="","",VLOOKUP(O10,'Списки участников'!A:K,3,FALSE))</f>
        <v>#N/A</v>
      </c>
      <c r="Q10" s="749">
        <v>6</v>
      </c>
      <c r="R10" s="749">
        <v>41</v>
      </c>
      <c r="S10" s="109"/>
      <c r="T10" s="109"/>
    </row>
    <row r="11" spans="1:20" ht="15.75" x14ac:dyDescent="0.25">
      <c r="A11" s="486">
        <v>7</v>
      </c>
      <c r="B11" s="487">
        <v>1</v>
      </c>
      <c r="C11" s="738">
        <v>7</v>
      </c>
      <c r="D11" s="739">
        <v>10</v>
      </c>
      <c r="E11" s="484">
        <f>LOOKUP(C11,'2Ф КРУГ'!A:A,'2Ф КРУГ'!B:B)</f>
        <v>0</v>
      </c>
      <c r="F11" s="922" t="e">
        <f>IF(E11="","",VLOOKUP(E11,'Списки участников'!A:K,3,FALSE))</f>
        <v>#N/A</v>
      </c>
      <c r="G11" s="485">
        <f>LOOKUP(D11,'2Ф КРУГ'!A:A,'2Ф КРУГ'!B:B)</f>
        <v>0</v>
      </c>
      <c r="H11" s="922" t="e">
        <f>IF(G11="","",VLOOKUP(G11,'Списки участников'!A:K,3,FALSE))</f>
        <v>#N/A</v>
      </c>
      <c r="I11" s="486">
        <v>71</v>
      </c>
      <c r="J11" s="496">
        <v>9</v>
      </c>
      <c r="K11" s="739">
        <v>2</v>
      </c>
      <c r="L11" s="739">
        <v>14</v>
      </c>
      <c r="M11" s="485">
        <f>LOOKUP(K11,'2Ф КРУГ'!A:A,'2Ф КРУГ'!B:B)</f>
        <v>0</v>
      </c>
      <c r="N11" s="922" t="e">
        <f>IF(M11="","",VLOOKUP(M11,'Списки участников'!A:K,3,FALSE))</f>
        <v>#N/A</v>
      </c>
      <c r="O11" s="485">
        <f>LOOKUP(L11,'2Ф КРУГ'!A:A,'2Ф КРУГ'!B:B)</f>
        <v>0</v>
      </c>
      <c r="P11" s="922" t="e">
        <f>IF(O11="","",VLOOKUP(O11,'Списки участников'!A:K,3,FALSE))</f>
        <v>#N/A</v>
      </c>
      <c r="Q11" s="749">
        <v>7</v>
      </c>
      <c r="R11" s="749">
        <v>49</v>
      </c>
      <c r="S11" s="109"/>
      <c r="T11" s="109"/>
    </row>
    <row r="12" spans="1:20" ht="16.5" thickBot="1" x14ac:dyDescent="0.3">
      <c r="A12" s="486">
        <v>8</v>
      </c>
      <c r="B12" s="492">
        <v>1</v>
      </c>
      <c r="C12" s="740">
        <v>8</v>
      </c>
      <c r="D12" s="741">
        <v>9</v>
      </c>
      <c r="E12" s="484">
        <f>LOOKUP(C12,'2Ф КРУГ'!A:A,'2Ф КРУГ'!B:B)</f>
        <v>0</v>
      </c>
      <c r="F12" s="730" t="e">
        <f>IF(E12="","",VLOOKUP(E12,'Списки участников'!A:K,3,FALSE))</f>
        <v>#N/A</v>
      </c>
      <c r="G12" s="731">
        <f>LOOKUP(D12,'2Ф КРУГ'!A:A,'2Ф КРУГ'!B:B)</f>
        <v>0</v>
      </c>
      <c r="H12" s="730" t="e">
        <f>IF(G12="","",VLOOKUP(G12,'Списки участников'!A:K,3,FALSE))</f>
        <v>#N/A</v>
      </c>
      <c r="I12" s="702">
        <v>72</v>
      </c>
      <c r="J12" s="500">
        <v>9</v>
      </c>
      <c r="K12" s="741">
        <v>15</v>
      </c>
      <c r="L12" s="741">
        <v>16</v>
      </c>
      <c r="M12" s="731">
        <f>LOOKUP(K12,'2Ф КРУГ'!A:A,'2Ф КРУГ'!B:B)</f>
        <v>0</v>
      </c>
      <c r="N12" s="730" t="e">
        <f>IF(M12="","",VLOOKUP(M12,'Списки участников'!A:K,3,FALSE))</f>
        <v>#N/A</v>
      </c>
      <c r="O12" s="731">
        <f>LOOKUP(L12,'2Ф КРУГ'!A:A,'2Ф КРУГ'!B:B)</f>
        <v>0</v>
      </c>
      <c r="P12" s="730" t="e">
        <f>IF(O12="","",VLOOKUP(O12,'Списки участников'!A:K,3,FALSE))</f>
        <v>#N/A</v>
      </c>
      <c r="Q12" s="749">
        <v>8</v>
      </c>
      <c r="R12" s="749">
        <v>57</v>
      </c>
    </row>
    <row r="13" spans="1:20" ht="17.25" x14ac:dyDescent="0.25">
      <c r="A13" s="486">
        <v>9</v>
      </c>
      <c r="B13" s="487">
        <v>2</v>
      </c>
      <c r="C13" s="742">
        <v>1</v>
      </c>
      <c r="D13" s="743">
        <v>15</v>
      </c>
      <c r="E13" s="484">
        <f>LOOKUP(C13,'2Ф КРУГ'!A:A,'2Ф КРУГ'!B:B)</f>
        <v>0</v>
      </c>
      <c r="F13" s="922" t="e">
        <f>IF(E13="","",VLOOKUP(E13,'Списки участников'!A:K,3,FALSE))</f>
        <v>#N/A</v>
      </c>
      <c r="G13" s="485">
        <f>LOOKUP(D13,'2Ф КРУГ'!A:A,'2Ф КРУГ'!B:B)</f>
        <v>0</v>
      </c>
      <c r="H13" s="922" t="e">
        <f>IF(G13="","",VLOOKUP(G13,'Списки участников'!A:K,3,FALSE))</f>
        <v>#N/A</v>
      </c>
      <c r="I13" s="915">
        <v>73</v>
      </c>
      <c r="J13" s="496">
        <v>10</v>
      </c>
      <c r="K13" s="743">
        <v>1</v>
      </c>
      <c r="L13" s="743">
        <v>7</v>
      </c>
      <c r="M13" s="485">
        <f>LOOKUP(K13,'2Ф КРУГ'!A:A,'2Ф КРУГ'!B:B)</f>
        <v>0</v>
      </c>
      <c r="N13" s="922" t="e">
        <f>IF(M13="","",VLOOKUP(M13,'Списки участников'!A:K,3,FALSE))</f>
        <v>#N/A</v>
      </c>
      <c r="O13" s="485">
        <f>LOOKUP(L13,'2Ф КРУГ'!A:A,'2Ф КРУГ'!B:B)</f>
        <v>0</v>
      </c>
      <c r="P13" s="922" t="e">
        <f>IF(O13="","",VLOOKUP(O13,'Списки участников'!A:K,3,FALSE))</f>
        <v>#N/A</v>
      </c>
      <c r="Q13" s="749">
        <v>9</v>
      </c>
      <c r="R13" s="749">
        <v>65</v>
      </c>
    </row>
    <row r="14" spans="1:20" ht="17.25" x14ac:dyDescent="0.25">
      <c r="A14" s="486">
        <v>10</v>
      </c>
      <c r="B14" s="487">
        <v>2</v>
      </c>
      <c r="C14" s="738">
        <v>14</v>
      </c>
      <c r="D14" s="739">
        <v>16</v>
      </c>
      <c r="E14" s="484">
        <f>LOOKUP(C14,'2Ф КРУГ'!A:A,'2Ф КРУГ'!B:B)</f>
        <v>0</v>
      </c>
      <c r="F14" s="922" t="e">
        <f>IF(E14="","",VLOOKUP(E14,'Списки участников'!A:K,3,FALSE))</f>
        <v>#N/A</v>
      </c>
      <c r="G14" s="485">
        <f>LOOKUP(D14,'2Ф КРУГ'!A:A,'2Ф КРУГ'!B:B)</f>
        <v>0</v>
      </c>
      <c r="H14" s="922" t="e">
        <f>IF(G14="","",VLOOKUP(G14,'Списки участников'!A:K,3,FALSE))</f>
        <v>#N/A</v>
      </c>
      <c r="I14" s="486">
        <v>74</v>
      </c>
      <c r="J14" s="496">
        <v>10</v>
      </c>
      <c r="K14" s="739">
        <v>6</v>
      </c>
      <c r="L14" s="743">
        <v>8</v>
      </c>
      <c r="M14" s="485">
        <f>LOOKUP(K14,'2Ф КРУГ'!A:A,'2Ф КРУГ'!B:B)</f>
        <v>0</v>
      </c>
      <c r="N14" s="922" t="e">
        <f>IF(M14="","",VLOOKUP(M14,'Списки участников'!A:K,3,FALSE))</f>
        <v>#N/A</v>
      </c>
      <c r="O14" s="485">
        <f>LOOKUP(L14,'2Ф КРУГ'!A:A,'2Ф КРУГ'!B:B)</f>
        <v>0</v>
      </c>
      <c r="P14" s="922" t="e">
        <f>IF(O14="","",VLOOKUP(O14,'Списки участников'!A:K,3,FALSE))</f>
        <v>#N/A</v>
      </c>
      <c r="Q14" s="749">
        <v>10</v>
      </c>
      <c r="R14" s="749">
        <v>73</v>
      </c>
    </row>
    <row r="15" spans="1:20" ht="17.25" x14ac:dyDescent="0.25">
      <c r="A15" s="486">
        <v>11</v>
      </c>
      <c r="B15" s="487">
        <v>2</v>
      </c>
      <c r="C15" s="738">
        <v>2</v>
      </c>
      <c r="D15" s="739">
        <v>13</v>
      </c>
      <c r="E15" s="484">
        <f>LOOKUP(C15,'2Ф КРУГ'!A:A,'2Ф КРУГ'!B:B)</f>
        <v>0</v>
      </c>
      <c r="F15" s="922" t="e">
        <f>IF(E15="","",VLOOKUP(E15,'Списки участников'!A:K,3,FALSE))</f>
        <v>#N/A</v>
      </c>
      <c r="G15" s="485">
        <f>LOOKUP(D15,'2Ф КРУГ'!A:A,'2Ф КРУГ'!B:B)</f>
        <v>0</v>
      </c>
      <c r="H15" s="922" t="e">
        <f>IF(G15="","",VLOOKUP(G15,'Списки участников'!A:K,3,FALSE))</f>
        <v>#N/A</v>
      </c>
      <c r="I15" s="486">
        <v>75</v>
      </c>
      <c r="J15" s="496">
        <v>10</v>
      </c>
      <c r="K15" s="739">
        <v>5</v>
      </c>
      <c r="L15" s="743">
        <v>9</v>
      </c>
      <c r="M15" s="485">
        <f>LOOKUP(K15,'2Ф КРУГ'!A:A,'2Ф КРУГ'!B:B)</f>
        <v>0</v>
      </c>
      <c r="N15" s="922" t="e">
        <f>IF(M15="","",VLOOKUP(M15,'Списки участников'!A:K,3,FALSE))</f>
        <v>#N/A</v>
      </c>
      <c r="O15" s="485">
        <f>LOOKUP(L15,'2Ф КРУГ'!A:A,'2Ф КРУГ'!B:B)</f>
        <v>0</v>
      </c>
      <c r="P15" s="922" t="e">
        <f>IF(O15="","",VLOOKUP(O15,'Списки участников'!A:K,3,FALSE))</f>
        <v>#N/A</v>
      </c>
      <c r="Q15" s="749">
        <v>11</v>
      </c>
      <c r="R15" s="749">
        <v>81</v>
      </c>
    </row>
    <row r="16" spans="1:20" ht="17.25" x14ac:dyDescent="0.25">
      <c r="A16" s="486">
        <v>12</v>
      </c>
      <c r="B16" s="487">
        <v>2</v>
      </c>
      <c r="C16" s="738">
        <v>3</v>
      </c>
      <c r="D16" s="739">
        <v>12</v>
      </c>
      <c r="E16" s="484">
        <f>LOOKUP(C16,'2Ф КРУГ'!A:A,'2Ф КРУГ'!B:B)</f>
        <v>0</v>
      </c>
      <c r="F16" s="922" t="e">
        <f>IF(E16="","",VLOOKUP(E16,'Списки участников'!A:K,3,FALSE))</f>
        <v>#N/A</v>
      </c>
      <c r="G16" s="485">
        <f>LOOKUP(D16,'2Ф КРУГ'!A:A,'2Ф КРУГ'!B:B)</f>
        <v>0</v>
      </c>
      <c r="H16" s="922" t="e">
        <f>IF(G16="","",VLOOKUP(G16,'Списки участников'!A:K,3,FALSE))</f>
        <v>#N/A</v>
      </c>
      <c r="I16" s="486">
        <v>76</v>
      </c>
      <c r="J16" s="496">
        <v>10</v>
      </c>
      <c r="K16" s="739">
        <v>4</v>
      </c>
      <c r="L16" s="743">
        <v>10</v>
      </c>
      <c r="M16" s="485">
        <f>LOOKUP(K16,'2Ф КРУГ'!A:A,'2Ф КРУГ'!B:B)</f>
        <v>0</v>
      </c>
      <c r="N16" s="922" t="e">
        <f>IF(M16="","",VLOOKUP(M16,'Списки участников'!A:K,3,FALSE))</f>
        <v>#N/A</v>
      </c>
      <c r="O16" s="485">
        <f>LOOKUP(L16,'2Ф КРУГ'!A:A,'2Ф КРУГ'!B:B)</f>
        <v>0</v>
      </c>
      <c r="P16" s="922" t="e">
        <f>IF(O16="","",VLOOKUP(O16,'Списки участников'!A:K,3,FALSE))</f>
        <v>#N/A</v>
      </c>
      <c r="Q16" s="749">
        <v>12</v>
      </c>
      <c r="R16" s="749">
        <v>89</v>
      </c>
    </row>
    <row r="17" spans="1:18" ht="17.25" x14ac:dyDescent="0.25">
      <c r="A17" s="486">
        <v>13</v>
      </c>
      <c r="B17" s="489">
        <v>2</v>
      </c>
      <c r="C17" s="738">
        <v>4</v>
      </c>
      <c r="D17" s="739">
        <v>11</v>
      </c>
      <c r="E17" s="484">
        <f>LOOKUP(C17,'2Ф КРУГ'!A:A,'2Ф КРУГ'!B:B)</f>
        <v>0</v>
      </c>
      <c r="F17" s="922" t="e">
        <f>IF(E17="","",VLOOKUP(E17,'Списки участников'!A:K,3,FALSE))</f>
        <v>#N/A</v>
      </c>
      <c r="G17" s="485">
        <f>LOOKUP(D17,'2Ф КРУГ'!A:A,'2Ф КРУГ'!B:B)</f>
        <v>0</v>
      </c>
      <c r="H17" s="922" t="e">
        <f>IF(G17="","",VLOOKUP(G17,'Списки участников'!A:K,3,FALSE))</f>
        <v>#N/A</v>
      </c>
      <c r="I17" s="486">
        <v>77</v>
      </c>
      <c r="J17" s="501">
        <v>10</v>
      </c>
      <c r="K17" s="739">
        <v>3</v>
      </c>
      <c r="L17" s="743">
        <v>11</v>
      </c>
      <c r="M17" s="485">
        <f>LOOKUP(K17,'2Ф КРУГ'!A:A,'2Ф КРУГ'!B:B)</f>
        <v>0</v>
      </c>
      <c r="N17" s="922" t="e">
        <f>IF(M17="","",VLOOKUP(M17,'Списки участников'!A:K,3,FALSE))</f>
        <v>#N/A</v>
      </c>
      <c r="O17" s="485">
        <f>LOOKUP(L17,'2Ф КРУГ'!A:A,'2Ф КРУГ'!B:B)</f>
        <v>0</v>
      </c>
      <c r="P17" s="922" t="e">
        <f>IF(O17="","",VLOOKUP(O17,'Списки участников'!A:K,3,FALSE))</f>
        <v>#N/A</v>
      </c>
      <c r="Q17" s="749">
        <v>13</v>
      </c>
      <c r="R17" s="749">
        <v>97</v>
      </c>
    </row>
    <row r="18" spans="1:18" ht="17.25" x14ac:dyDescent="0.25">
      <c r="A18" s="486">
        <v>14</v>
      </c>
      <c r="B18" s="487">
        <v>2</v>
      </c>
      <c r="C18" s="738">
        <v>5</v>
      </c>
      <c r="D18" s="739">
        <v>10</v>
      </c>
      <c r="E18" s="484">
        <f>LOOKUP(C18,'2Ф КРУГ'!A:A,'2Ф КРУГ'!B:B)</f>
        <v>0</v>
      </c>
      <c r="F18" s="922" t="e">
        <f>IF(E18="","",VLOOKUP(E18,'Списки участников'!A:K,3,FALSE))</f>
        <v>#N/A</v>
      </c>
      <c r="G18" s="485">
        <f>LOOKUP(D18,'2Ф КРУГ'!A:A,'2Ф КРУГ'!B:B)</f>
        <v>0</v>
      </c>
      <c r="H18" s="922" t="e">
        <f>IF(G18="","",VLOOKUP(G18,'Списки участников'!A:K,3,FALSE))</f>
        <v>#N/A</v>
      </c>
      <c r="I18" s="486">
        <v>78</v>
      </c>
      <c r="J18" s="496">
        <v>10</v>
      </c>
      <c r="K18" s="745">
        <v>2</v>
      </c>
      <c r="L18" s="743">
        <v>12</v>
      </c>
      <c r="M18" s="485">
        <f>LOOKUP(K18,'2Ф КРУГ'!A:A,'2Ф КРУГ'!B:B)</f>
        <v>0</v>
      </c>
      <c r="N18" s="922" t="e">
        <f>IF(M18="","",VLOOKUP(M18,'Списки участников'!A:K,3,FALSE))</f>
        <v>#N/A</v>
      </c>
      <c r="O18" s="485">
        <f>LOOKUP(L18,'2Ф КРУГ'!A:A,'2Ф КРУГ'!B:B)</f>
        <v>0</v>
      </c>
      <c r="P18" s="922" t="e">
        <f>IF(O18="","",VLOOKUP(O18,'Списки участников'!A:K,3,FALSE))</f>
        <v>#N/A</v>
      </c>
      <c r="Q18" s="749">
        <v>14</v>
      </c>
      <c r="R18" s="749">
        <v>105</v>
      </c>
    </row>
    <row r="19" spans="1:18" ht="17.25" x14ac:dyDescent="0.25">
      <c r="A19" s="486">
        <v>15</v>
      </c>
      <c r="B19" s="487">
        <v>2</v>
      </c>
      <c r="C19" s="738">
        <v>6</v>
      </c>
      <c r="D19" s="739">
        <v>9</v>
      </c>
      <c r="E19" s="484">
        <f>LOOKUP(C19,'2Ф КРУГ'!A:A,'2Ф КРУГ'!B:B)</f>
        <v>0</v>
      </c>
      <c r="F19" s="922" t="e">
        <f>IF(E19="","",VLOOKUP(E19,'Списки участников'!A:K,3,FALSE))</f>
        <v>#N/A</v>
      </c>
      <c r="G19" s="485">
        <f>LOOKUP(D19,'2Ф КРУГ'!A:A,'2Ф КРУГ'!B:B)</f>
        <v>0</v>
      </c>
      <c r="H19" s="922" t="e">
        <f>IF(G19="","",VLOOKUP(G19,'Списки участников'!A:K,3,FALSE))</f>
        <v>#N/A</v>
      </c>
      <c r="I19" s="486">
        <v>79</v>
      </c>
      <c r="J19" s="496">
        <v>10</v>
      </c>
      <c r="K19" s="745">
        <v>13</v>
      </c>
      <c r="L19" s="739">
        <v>16</v>
      </c>
      <c r="M19" s="485">
        <f>LOOKUP(K19,'2Ф КРУГ'!A:A,'2Ф КРУГ'!B:B)</f>
        <v>0</v>
      </c>
      <c r="N19" s="922" t="e">
        <f>IF(M19="","",VLOOKUP(M19,'Списки участников'!A:K,3,FALSE))</f>
        <v>#N/A</v>
      </c>
      <c r="O19" s="485">
        <f>LOOKUP(L19,'2Ф КРУГ'!A:A,'2Ф КРУГ'!B:B)</f>
        <v>0</v>
      </c>
      <c r="P19" s="922" t="e">
        <f>IF(O19="","",VLOOKUP(O19,'Списки участников'!A:K,3,FALSE))</f>
        <v>#N/A</v>
      </c>
      <c r="Q19" s="749">
        <v>15</v>
      </c>
      <c r="R19" s="749">
        <v>113</v>
      </c>
    </row>
    <row r="20" spans="1:18" ht="18" thickBot="1" x14ac:dyDescent="0.3">
      <c r="A20" s="486">
        <v>16</v>
      </c>
      <c r="B20" s="492">
        <v>2</v>
      </c>
      <c r="C20" s="740">
        <v>7</v>
      </c>
      <c r="D20" s="741">
        <v>8</v>
      </c>
      <c r="E20" s="494">
        <f>LOOKUP(C20,'2Ф КРУГ'!A:A,'2Ф КРУГ'!B:B)</f>
        <v>0</v>
      </c>
      <c r="F20" s="730" t="e">
        <f>IF(E20="","",VLOOKUP(E20,'Списки участников'!A:K,3,FALSE))</f>
        <v>#N/A</v>
      </c>
      <c r="G20" s="731">
        <f>LOOKUP(D20,'2Ф КРУГ'!A:A,'2Ф КРУГ'!B:B)</f>
        <v>0</v>
      </c>
      <c r="H20" s="730" t="e">
        <f>IF(G20="","",VLOOKUP(G20,'Списки участников'!A:K,3,FALSE))</f>
        <v>#N/A</v>
      </c>
      <c r="I20" s="702">
        <v>80</v>
      </c>
      <c r="J20" s="500">
        <v>10</v>
      </c>
      <c r="K20" s="741">
        <v>14</v>
      </c>
      <c r="L20" s="746">
        <v>15</v>
      </c>
      <c r="M20" s="731">
        <f>LOOKUP(K20,'2Ф КРУГ'!A:A,'2Ф КРУГ'!B:B)</f>
        <v>0</v>
      </c>
      <c r="N20" s="730" t="e">
        <f>IF(M20="","",VLOOKUP(M20,'Списки участников'!A:K,3,FALSE))</f>
        <v>#N/A</v>
      </c>
      <c r="O20" s="731">
        <f>LOOKUP(L20,'2Ф КРУГ'!A:A,'2Ф КРУГ'!B:B)</f>
        <v>0</v>
      </c>
      <c r="P20" s="730" t="e">
        <f>IF(O20="","",VLOOKUP(O20,'Списки участников'!A:K,3,FALSE))</f>
        <v>#N/A</v>
      </c>
      <c r="Q20" s="749"/>
      <c r="R20" s="749"/>
    </row>
    <row r="21" spans="1:18" ht="17.25" x14ac:dyDescent="0.25">
      <c r="A21" s="486">
        <v>17</v>
      </c>
      <c r="B21" s="496">
        <v>3</v>
      </c>
      <c r="C21" s="742">
        <v>1</v>
      </c>
      <c r="D21" s="743">
        <v>14</v>
      </c>
      <c r="E21" s="485">
        <f>LOOKUP(C21,'2Ф КРУГ'!A:A,'2Ф КРУГ'!B:B)</f>
        <v>0</v>
      </c>
      <c r="F21" s="922" t="e">
        <f>IF(E21="","",VLOOKUP(E21,'Списки участников'!A:K,3,FALSE))</f>
        <v>#N/A</v>
      </c>
      <c r="G21" s="485">
        <f>LOOKUP(D21,'2Ф КРУГ'!A:A,'2Ф КРУГ'!B:B)</f>
        <v>0</v>
      </c>
      <c r="H21" s="922" t="e">
        <f>IF(G21="","",VLOOKUP(G21,'Списки участников'!A:K,3,FALSE))</f>
        <v>#N/A</v>
      </c>
      <c r="I21" s="915">
        <v>81</v>
      </c>
      <c r="J21" s="496">
        <v>11</v>
      </c>
      <c r="K21" s="743">
        <v>1</v>
      </c>
      <c r="L21" s="743">
        <v>6</v>
      </c>
      <c r="M21" s="485">
        <f>LOOKUP(K21,'2Ф КРУГ'!A:A,'2Ф КРУГ'!B:B)</f>
        <v>0</v>
      </c>
      <c r="N21" s="922" t="e">
        <f>IF(M21="","",VLOOKUP(M21,'Списки участников'!A:K,3,FALSE))</f>
        <v>#N/A</v>
      </c>
      <c r="O21" s="485">
        <f>LOOKUP(L21,'2Ф КРУГ'!A:A,'2Ф КРУГ'!B:B)</f>
        <v>0</v>
      </c>
      <c r="P21" s="922" t="e">
        <f>IF(O21="","",VLOOKUP(O21,'Списки участников'!A:K,3,FALSE))</f>
        <v>#N/A</v>
      </c>
    </row>
    <row r="22" spans="1:18" ht="17.25" x14ac:dyDescent="0.25">
      <c r="A22" s="486">
        <v>18</v>
      </c>
      <c r="B22" s="496">
        <v>3</v>
      </c>
      <c r="C22" s="738">
        <v>13</v>
      </c>
      <c r="D22" s="739">
        <v>15</v>
      </c>
      <c r="E22" s="484">
        <f>LOOKUP(C22,'2Ф КРУГ'!A:A,'2Ф КРУГ'!B:B)</f>
        <v>0</v>
      </c>
      <c r="F22" s="922" t="e">
        <f>IF(E22="","",VLOOKUP(E22,'Списки участников'!A:K,3,FALSE))</f>
        <v>#N/A</v>
      </c>
      <c r="G22" s="485">
        <f>LOOKUP(D22,'2Ф КРУГ'!A:A,'2Ф КРУГ'!B:B)</f>
        <v>0</v>
      </c>
      <c r="H22" s="922" t="e">
        <f>IF(G22="","",VLOOKUP(G22,'Списки участников'!A:K,3,FALSE))</f>
        <v>#N/A</v>
      </c>
      <c r="I22" s="486">
        <v>82</v>
      </c>
      <c r="J22" s="496">
        <v>11</v>
      </c>
      <c r="K22" s="739">
        <v>5</v>
      </c>
      <c r="L22" s="739">
        <v>7</v>
      </c>
      <c r="M22" s="485">
        <f>LOOKUP(K22,'2Ф КРУГ'!A:A,'2Ф КРУГ'!B:B)</f>
        <v>0</v>
      </c>
      <c r="N22" s="922" t="e">
        <f>IF(M22="","",VLOOKUP(M22,'Списки участников'!A:K,3,FALSE))</f>
        <v>#N/A</v>
      </c>
      <c r="O22" s="485">
        <f>LOOKUP(L22,'2Ф КРУГ'!A:A,'2Ф КРУГ'!B:B)</f>
        <v>0</v>
      </c>
      <c r="P22" s="922" t="e">
        <f>IF(O22="","",VLOOKUP(O22,'Списки участников'!A:K,3,FALSE))</f>
        <v>#N/A</v>
      </c>
    </row>
    <row r="23" spans="1:18" ht="17.25" x14ac:dyDescent="0.25">
      <c r="A23" s="486">
        <v>19</v>
      </c>
      <c r="B23" s="496">
        <v>3</v>
      </c>
      <c r="C23" s="738">
        <v>12</v>
      </c>
      <c r="D23" s="739">
        <v>16</v>
      </c>
      <c r="E23" s="484">
        <f>LOOKUP(C23,'2Ф КРУГ'!A:A,'2Ф КРУГ'!B:B)</f>
        <v>0</v>
      </c>
      <c r="F23" s="922" t="e">
        <f>IF(E23="","",VLOOKUP(E23,'Списки участников'!A:K,3,FALSE))</f>
        <v>#N/A</v>
      </c>
      <c r="G23" s="485">
        <f>LOOKUP(D23,'2Ф КРУГ'!A:A,'2Ф КРУГ'!B:B)</f>
        <v>0</v>
      </c>
      <c r="H23" s="922" t="e">
        <f>IF(G23="","",VLOOKUP(G23,'Списки участников'!A:K,3,FALSE))</f>
        <v>#N/A</v>
      </c>
      <c r="I23" s="486">
        <v>83</v>
      </c>
      <c r="J23" s="496">
        <v>11</v>
      </c>
      <c r="K23" s="739">
        <v>4</v>
      </c>
      <c r="L23" s="739">
        <v>8</v>
      </c>
      <c r="M23" s="485">
        <f>LOOKUP(K23,'2Ф КРУГ'!A:A,'2Ф КРУГ'!B:B)</f>
        <v>0</v>
      </c>
      <c r="N23" s="922" t="e">
        <f>IF(M23="","",VLOOKUP(M23,'Списки участников'!A:K,3,FALSE))</f>
        <v>#N/A</v>
      </c>
      <c r="O23" s="485">
        <f>LOOKUP(L23,'2Ф КРУГ'!A:A,'2Ф КРУГ'!B:B)</f>
        <v>0</v>
      </c>
      <c r="P23" s="922" t="e">
        <f>IF(O23="","",VLOOKUP(O23,'Списки участников'!A:K,3,FALSE))</f>
        <v>#N/A</v>
      </c>
    </row>
    <row r="24" spans="1:18" ht="17.25" x14ac:dyDescent="0.25">
      <c r="A24" s="486">
        <v>20</v>
      </c>
      <c r="B24" s="496">
        <v>3</v>
      </c>
      <c r="C24" s="738">
        <v>2</v>
      </c>
      <c r="D24" s="739">
        <v>11</v>
      </c>
      <c r="E24" s="484">
        <f>LOOKUP(C24,'2Ф КРУГ'!A:A,'2Ф КРУГ'!B:B)</f>
        <v>0</v>
      </c>
      <c r="F24" s="922" t="e">
        <f>IF(E24="","",VLOOKUP(E24,'Списки участников'!A:K,3,FALSE))</f>
        <v>#N/A</v>
      </c>
      <c r="G24" s="485">
        <f>LOOKUP(D24,'2Ф КРУГ'!A:A,'2Ф КРУГ'!B:B)</f>
        <v>0</v>
      </c>
      <c r="H24" s="922" t="e">
        <f>IF(G24="","",VLOOKUP(G24,'Списки участников'!A:K,3,FALSE))</f>
        <v>#N/A</v>
      </c>
      <c r="I24" s="486">
        <v>84</v>
      </c>
      <c r="J24" s="496">
        <v>11</v>
      </c>
      <c r="K24" s="739">
        <v>3</v>
      </c>
      <c r="L24" s="739">
        <v>9</v>
      </c>
      <c r="M24" s="485">
        <f>LOOKUP(K24,'2Ф КРУГ'!A:A,'2Ф КРУГ'!B:B)</f>
        <v>0</v>
      </c>
      <c r="N24" s="922" t="e">
        <f>IF(M24="","",VLOOKUP(M24,'Списки участников'!A:K,3,FALSE))</f>
        <v>#N/A</v>
      </c>
      <c r="O24" s="485">
        <f>LOOKUP(L24,'2Ф КРУГ'!A:A,'2Ф КРУГ'!B:B)</f>
        <v>0</v>
      </c>
      <c r="P24" s="922" t="e">
        <f>IF(O24="","",VLOOKUP(O24,'Списки участников'!A:K,3,FALSE))</f>
        <v>#N/A</v>
      </c>
    </row>
    <row r="25" spans="1:18" ht="17.25" x14ac:dyDescent="0.25">
      <c r="A25" s="486">
        <v>21</v>
      </c>
      <c r="B25" s="489">
        <v>3</v>
      </c>
      <c r="C25" s="738">
        <v>3</v>
      </c>
      <c r="D25" s="739">
        <v>10</v>
      </c>
      <c r="E25" s="484">
        <f>LOOKUP(C25,'2Ф КРУГ'!A:A,'2Ф КРУГ'!B:B)</f>
        <v>0</v>
      </c>
      <c r="F25" s="922" t="e">
        <f>IF(E25="","",VLOOKUP(E25,'Списки участников'!A:K,3,FALSE))</f>
        <v>#N/A</v>
      </c>
      <c r="G25" s="485">
        <f>LOOKUP(D25,'2Ф КРУГ'!A:A,'2Ф КРУГ'!B:B)</f>
        <v>0</v>
      </c>
      <c r="H25" s="922" t="e">
        <f>IF(G25="","",VLOOKUP(G25,'Списки участников'!A:K,3,FALSE))</f>
        <v>#N/A</v>
      </c>
      <c r="I25" s="486">
        <v>85</v>
      </c>
      <c r="J25" s="501">
        <v>11</v>
      </c>
      <c r="K25" s="739">
        <v>2</v>
      </c>
      <c r="L25" s="739">
        <v>10</v>
      </c>
      <c r="M25" s="485">
        <f>LOOKUP(K25,'2Ф КРУГ'!A:A,'2Ф КРУГ'!B:B)</f>
        <v>0</v>
      </c>
      <c r="N25" s="922" t="e">
        <f>IF(M25="","",VLOOKUP(M25,'Списки участников'!A:K,3,FALSE))</f>
        <v>#N/A</v>
      </c>
      <c r="O25" s="485">
        <f>LOOKUP(L25,'2Ф КРУГ'!A:A,'2Ф КРУГ'!B:B)</f>
        <v>0</v>
      </c>
      <c r="P25" s="922" t="e">
        <f>IF(O25="","",VLOOKUP(O25,'Списки участников'!A:K,3,FALSE))</f>
        <v>#N/A</v>
      </c>
    </row>
    <row r="26" spans="1:18" ht="17.25" x14ac:dyDescent="0.25">
      <c r="A26" s="486">
        <v>22</v>
      </c>
      <c r="B26" s="496">
        <v>3</v>
      </c>
      <c r="C26" s="738">
        <v>4</v>
      </c>
      <c r="D26" s="739">
        <v>9</v>
      </c>
      <c r="E26" s="484">
        <f>LOOKUP(C26,'2Ф КРУГ'!A:A,'2Ф КРУГ'!B:B)</f>
        <v>0</v>
      </c>
      <c r="F26" s="922" t="e">
        <f>IF(E26="","",VLOOKUP(E26,'Списки участников'!A:K,3,FALSE))</f>
        <v>#N/A</v>
      </c>
      <c r="G26" s="485">
        <f>LOOKUP(D26,'2Ф КРУГ'!A:A,'2Ф КРУГ'!B:B)</f>
        <v>0</v>
      </c>
      <c r="H26" s="922" t="e">
        <f>IF(G26="","",VLOOKUP(G26,'Списки участников'!A:K,3,FALSE))</f>
        <v>#N/A</v>
      </c>
      <c r="I26" s="486">
        <v>86</v>
      </c>
      <c r="J26" s="496">
        <v>11</v>
      </c>
      <c r="K26" s="745">
        <v>11</v>
      </c>
      <c r="L26" s="745">
        <v>16</v>
      </c>
      <c r="M26" s="485">
        <f>LOOKUP(K26,'2Ф КРУГ'!A:A,'2Ф КРУГ'!B:B)</f>
        <v>0</v>
      </c>
      <c r="N26" s="922" t="e">
        <f>IF(M26="","",VLOOKUP(M26,'Списки участников'!A:K,3,FALSE))</f>
        <v>#N/A</v>
      </c>
      <c r="O26" s="485">
        <f>LOOKUP(L26,'2Ф КРУГ'!A:A,'2Ф КРУГ'!B:B)</f>
        <v>0</v>
      </c>
      <c r="P26" s="922" t="e">
        <f>IF(O26="","",VLOOKUP(O26,'Списки участников'!A:K,3,FALSE))</f>
        <v>#N/A</v>
      </c>
    </row>
    <row r="27" spans="1:18" ht="17.25" x14ac:dyDescent="0.25">
      <c r="A27" s="486">
        <v>23</v>
      </c>
      <c r="B27" s="496">
        <v>3</v>
      </c>
      <c r="C27" s="738">
        <v>5</v>
      </c>
      <c r="D27" s="739">
        <v>8</v>
      </c>
      <c r="E27" s="484">
        <f>LOOKUP(C27,'2Ф КРУГ'!A:A,'2Ф КРУГ'!B:B)</f>
        <v>0</v>
      </c>
      <c r="F27" s="922" t="e">
        <f>IF(E27="","",VLOOKUP(E27,'Списки участников'!A:K,3,FALSE))</f>
        <v>#N/A</v>
      </c>
      <c r="G27" s="485">
        <f>LOOKUP(D27,'2Ф КРУГ'!A:A,'2Ф КРУГ'!B:B)</f>
        <v>0</v>
      </c>
      <c r="H27" s="922" t="e">
        <f>IF(G27="","",VLOOKUP(G27,'Списки участников'!A:K,3,FALSE))</f>
        <v>#N/A</v>
      </c>
      <c r="I27" s="486">
        <v>87</v>
      </c>
      <c r="J27" s="496">
        <v>11</v>
      </c>
      <c r="K27" s="745">
        <v>12</v>
      </c>
      <c r="L27" s="745">
        <v>15</v>
      </c>
      <c r="M27" s="485">
        <f>LOOKUP(K27,'2Ф КРУГ'!A:A,'2Ф КРУГ'!B:B)</f>
        <v>0</v>
      </c>
      <c r="N27" s="922" t="e">
        <f>IF(M27="","",VLOOKUP(M27,'Списки участников'!A:K,3,FALSE))</f>
        <v>#N/A</v>
      </c>
      <c r="O27" s="485">
        <f>LOOKUP(L27,'2Ф КРУГ'!A:A,'2Ф КРУГ'!B:B)</f>
        <v>0</v>
      </c>
      <c r="P27" s="922" t="e">
        <f>IF(O27="","",VLOOKUP(O27,'Списки участников'!A:K,3,FALSE))</f>
        <v>#N/A</v>
      </c>
    </row>
    <row r="28" spans="1:18" ht="18" thickBot="1" x14ac:dyDescent="0.3">
      <c r="A28" s="486">
        <v>24</v>
      </c>
      <c r="B28" s="500">
        <v>3</v>
      </c>
      <c r="C28" s="740">
        <v>6</v>
      </c>
      <c r="D28" s="741">
        <v>7</v>
      </c>
      <c r="E28" s="494">
        <f>LOOKUP(C28,'2Ф КРУГ'!A:A,'2Ф КРУГ'!B:B)</f>
        <v>0</v>
      </c>
      <c r="F28" s="730" t="e">
        <f>IF(E28="","",VLOOKUP(E28,'Списки участников'!A:K,3,FALSE))</f>
        <v>#N/A</v>
      </c>
      <c r="G28" s="731">
        <f>LOOKUP(D28,'2Ф КРУГ'!A:A,'2Ф КРУГ'!B:B)</f>
        <v>0</v>
      </c>
      <c r="H28" s="730" t="e">
        <f>IF(G28="","",VLOOKUP(G28,'Списки участников'!A:K,3,FALSE))</f>
        <v>#N/A</v>
      </c>
      <c r="I28" s="702">
        <v>88</v>
      </c>
      <c r="J28" s="500">
        <v>11</v>
      </c>
      <c r="K28" s="741">
        <v>13</v>
      </c>
      <c r="L28" s="741">
        <v>14</v>
      </c>
      <c r="M28" s="731">
        <f>LOOKUP(K28,'2Ф КРУГ'!A:A,'2Ф КРУГ'!B:B)</f>
        <v>0</v>
      </c>
      <c r="N28" s="730" t="e">
        <f>IF(M28="","",VLOOKUP(M28,'Списки участников'!A:K,3,FALSE))</f>
        <v>#N/A</v>
      </c>
      <c r="O28" s="731">
        <f>LOOKUP(L28,'2Ф КРУГ'!A:A,'2Ф КРУГ'!B:B)</f>
        <v>0</v>
      </c>
      <c r="P28" s="730" t="e">
        <f>IF(O28="","",VLOOKUP(O28,'Списки участников'!A:K,3,FALSE))</f>
        <v>#N/A</v>
      </c>
    </row>
    <row r="29" spans="1:18" ht="17.25" x14ac:dyDescent="0.25">
      <c r="A29" s="486">
        <v>25</v>
      </c>
      <c r="B29" s="733">
        <v>4</v>
      </c>
      <c r="C29" s="742">
        <v>1</v>
      </c>
      <c r="D29" s="743">
        <v>13</v>
      </c>
      <c r="E29" s="485">
        <f>LOOKUP(C29,'2Ф КРУГ'!A:A,'2Ф КРУГ'!B:B)</f>
        <v>0</v>
      </c>
      <c r="F29" s="922" t="e">
        <f>IF(E29="","",VLOOKUP(E29,'Списки участников'!A:K,3,FALSE))</f>
        <v>#N/A</v>
      </c>
      <c r="G29" s="485">
        <f>LOOKUP(D29,'2Ф КРУГ'!A:A,'2Ф КРУГ'!B:B)</f>
        <v>0</v>
      </c>
      <c r="H29" s="922" t="e">
        <f>IF(G29="","",VLOOKUP(G29,'Списки участников'!A:K,3,FALSE))</f>
        <v>#N/A</v>
      </c>
      <c r="I29" s="915">
        <v>89</v>
      </c>
      <c r="J29" s="496">
        <v>12</v>
      </c>
      <c r="K29" s="743">
        <v>1</v>
      </c>
      <c r="L29" s="743">
        <v>5</v>
      </c>
      <c r="M29" s="485">
        <f>LOOKUP(K29,'2Ф КРУГ'!A:A,'2Ф КРУГ'!B:B)</f>
        <v>0</v>
      </c>
      <c r="N29" s="922" t="e">
        <f>IF(M29="","",VLOOKUP(M29,'Списки участников'!A:K,3,FALSE))</f>
        <v>#N/A</v>
      </c>
      <c r="O29" s="485">
        <f>LOOKUP(L29,'2Ф КРУГ'!A:A,'2Ф КРУГ'!B:B)</f>
        <v>0</v>
      </c>
      <c r="P29" s="922" t="e">
        <f>IF(O29="","",VLOOKUP(O29,'Списки участников'!A:K,3,FALSE))</f>
        <v>#N/A</v>
      </c>
    </row>
    <row r="30" spans="1:18" ht="17.25" x14ac:dyDescent="0.25">
      <c r="A30" s="486">
        <v>26</v>
      </c>
      <c r="B30" s="733">
        <v>4</v>
      </c>
      <c r="C30" s="738">
        <v>12</v>
      </c>
      <c r="D30" s="739">
        <v>14</v>
      </c>
      <c r="E30" s="484">
        <f>LOOKUP(C30,'2Ф КРУГ'!A:A,'2Ф КРУГ'!B:B)</f>
        <v>0</v>
      </c>
      <c r="F30" s="922" t="e">
        <f>IF(E30="","",VLOOKUP(E30,'Списки участников'!A:K,3,FALSE))</f>
        <v>#N/A</v>
      </c>
      <c r="G30" s="485">
        <f>LOOKUP(D30,'2Ф КРУГ'!A:A,'2Ф КРУГ'!B:B)</f>
        <v>0</v>
      </c>
      <c r="H30" s="922" t="e">
        <f>IF(G30="","",VLOOKUP(G30,'Списки участников'!A:K,3,FALSE))</f>
        <v>#N/A</v>
      </c>
      <c r="I30" s="486">
        <v>90</v>
      </c>
      <c r="J30" s="496">
        <v>12</v>
      </c>
      <c r="K30" s="739">
        <v>4</v>
      </c>
      <c r="L30" s="743">
        <v>6</v>
      </c>
      <c r="M30" s="485">
        <f>LOOKUP(K30,'2Ф КРУГ'!A:A,'2Ф КРУГ'!B:B)</f>
        <v>0</v>
      </c>
      <c r="N30" s="922" t="e">
        <f>IF(M30="","",VLOOKUP(M30,'Списки участников'!A:K,3,FALSE))</f>
        <v>#N/A</v>
      </c>
      <c r="O30" s="485">
        <f>LOOKUP(L30,'2Ф КРУГ'!A:A,'2Ф КРУГ'!B:B)</f>
        <v>0</v>
      </c>
      <c r="P30" s="922" t="e">
        <f>IF(O30="","",VLOOKUP(O30,'Списки участников'!A:K,3,FALSE))</f>
        <v>#N/A</v>
      </c>
    </row>
    <row r="31" spans="1:18" ht="17.25" x14ac:dyDescent="0.25">
      <c r="A31" s="486">
        <v>27</v>
      </c>
      <c r="B31" s="733">
        <v>4</v>
      </c>
      <c r="C31" s="738">
        <v>11</v>
      </c>
      <c r="D31" s="739">
        <v>15</v>
      </c>
      <c r="E31" s="484">
        <f>LOOKUP(C31,'2Ф КРУГ'!A:A,'2Ф КРУГ'!B:B)</f>
        <v>0</v>
      </c>
      <c r="F31" s="922" t="e">
        <f>IF(E31="","",VLOOKUP(E31,'Списки участников'!A:K,3,FALSE))</f>
        <v>#N/A</v>
      </c>
      <c r="G31" s="485">
        <f>LOOKUP(D31,'2Ф КРУГ'!A:A,'2Ф КРУГ'!B:B)</f>
        <v>0</v>
      </c>
      <c r="H31" s="922" t="e">
        <f>IF(G31="","",VLOOKUP(G31,'Списки участников'!A:K,3,FALSE))</f>
        <v>#N/A</v>
      </c>
      <c r="I31" s="486">
        <v>91</v>
      </c>
      <c r="J31" s="496">
        <v>12</v>
      </c>
      <c r="K31" s="739">
        <v>3</v>
      </c>
      <c r="L31" s="743">
        <v>7</v>
      </c>
      <c r="M31" s="485">
        <f>LOOKUP(K31,'2Ф КРУГ'!A:A,'2Ф КРУГ'!B:B)</f>
        <v>0</v>
      </c>
      <c r="N31" s="922" t="e">
        <f>IF(M31="","",VLOOKUP(M31,'Списки участников'!A:K,3,FALSE))</f>
        <v>#N/A</v>
      </c>
      <c r="O31" s="485">
        <f>LOOKUP(L31,'2Ф КРУГ'!A:A,'2Ф КРУГ'!B:B)</f>
        <v>0</v>
      </c>
      <c r="P31" s="922" t="e">
        <f>IF(O31="","",VLOOKUP(O31,'Списки участников'!A:K,3,FALSE))</f>
        <v>#N/A</v>
      </c>
    </row>
    <row r="32" spans="1:18" ht="17.25" x14ac:dyDescent="0.25">
      <c r="A32" s="486">
        <v>28</v>
      </c>
      <c r="B32" s="733">
        <v>4</v>
      </c>
      <c r="C32" s="738">
        <v>10</v>
      </c>
      <c r="D32" s="739">
        <v>16</v>
      </c>
      <c r="E32" s="484">
        <f>LOOKUP(C32,'2Ф КРУГ'!A:A,'2Ф КРУГ'!B:B)</f>
        <v>0</v>
      </c>
      <c r="F32" s="922" t="e">
        <f>IF(E32="","",VLOOKUP(E32,'Списки участников'!A:K,3,FALSE))</f>
        <v>#N/A</v>
      </c>
      <c r="G32" s="485">
        <f>LOOKUP(D32,'2Ф КРУГ'!A:A,'2Ф КРУГ'!B:B)</f>
        <v>0</v>
      </c>
      <c r="H32" s="922" t="e">
        <f>IF(G32="","",VLOOKUP(G32,'Списки участников'!A:K,3,FALSE))</f>
        <v>#N/A</v>
      </c>
      <c r="I32" s="486">
        <v>92</v>
      </c>
      <c r="J32" s="496">
        <v>12</v>
      </c>
      <c r="K32" s="739">
        <v>2</v>
      </c>
      <c r="L32" s="743">
        <v>8</v>
      </c>
      <c r="M32" s="485">
        <f>LOOKUP(K32,'2Ф КРУГ'!A:A,'2Ф КРУГ'!B:B)</f>
        <v>0</v>
      </c>
      <c r="N32" s="922" t="e">
        <f>IF(M32="","",VLOOKUP(M32,'Списки участников'!A:K,3,FALSE))</f>
        <v>#N/A</v>
      </c>
      <c r="O32" s="485">
        <f>LOOKUP(L32,'2Ф КРУГ'!A:A,'2Ф КРУГ'!B:B)</f>
        <v>0</v>
      </c>
      <c r="P32" s="922" t="e">
        <f>IF(O32="","",VLOOKUP(O32,'Списки участников'!A:K,3,FALSE))</f>
        <v>#N/A</v>
      </c>
    </row>
    <row r="33" spans="1:16" ht="17.25" x14ac:dyDescent="0.25">
      <c r="A33" s="486">
        <v>29</v>
      </c>
      <c r="B33" s="734">
        <v>4</v>
      </c>
      <c r="C33" s="738">
        <v>2</v>
      </c>
      <c r="D33" s="739">
        <v>9</v>
      </c>
      <c r="E33" s="484">
        <f>LOOKUP(C33,'2Ф КРУГ'!A:A,'2Ф КРУГ'!B:B)</f>
        <v>0</v>
      </c>
      <c r="F33" s="922" t="e">
        <f>IF(E33="","",VLOOKUP(E33,'Списки участников'!A:K,3,FALSE))</f>
        <v>#N/A</v>
      </c>
      <c r="G33" s="485">
        <f>LOOKUP(D33,'2Ф КРУГ'!A:A,'2Ф КРУГ'!B:B)</f>
        <v>0</v>
      </c>
      <c r="H33" s="922" t="e">
        <f>IF(G33="","",VLOOKUP(G33,'Списки участников'!A:K,3,FALSE))</f>
        <v>#N/A</v>
      </c>
      <c r="I33" s="486">
        <v>93</v>
      </c>
      <c r="J33" s="501">
        <v>12</v>
      </c>
      <c r="K33" s="739">
        <v>9</v>
      </c>
      <c r="L33" s="743">
        <v>16</v>
      </c>
      <c r="M33" s="485">
        <f>LOOKUP(K33,'2Ф КРУГ'!A:A,'2Ф КРУГ'!B:B)</f>
        <v>0</v>
      </c>
      <c r="N33" s="922" t="e">
        <f>IF(M33="","",VLOOKUP(M33,'Списки участников'!A:K,3,FALSE))</f>
        <v>#N/A</v>
      </c>
      <c r="O33" s="485">
        <f>LOOKUP(L33,'2Ф КРУГ'!A:A,'2Ф КРУГ'!B:B)</f>
        <v>0</v>
      </c>
      <c r="P33" s="922" t="e">
        <f>IF(O33="","",VLOOKUP(O33,'Списки участников'!A:K,3,FALSE))</f>
        <v>#N/A</v>
      </c>
    </row>
    <row r="34" spans="1:16" ht="17.25" x14ac:dyDescent="0.25">
      <c r="A34" s="486">
        <v>30</v>
      </c>
      <c r="B34" s="733">
        <v>4</v>
      </c>
      <c r="C34" s="738">
        <v>3</v>
      </c>
      <c r="D34" s="739">
        <v>8</v>
      </c>
      <c r="E34" s="484">
        <f>LOOKUP(C34,'2Ф КРУГ'!A:A,'2Ф КРУГ'!B:B)</f>
        <v>0</v>
      </c>
      <c r="F34" s="922" t="e">
        <f>IF(E34="","",VLOOKUP(E34,'Списки участников'!A:K,3,FALSE))</f>
        <v>#N/A</v>
      </c>
      <c r="G34" s="485">
        <f>LOOKUP(D34,'2Ф КРУГ'!A:A,'2Ф КРУГ'!B:B)</f>
        <v>0</v>
      </c>
      <c r="H34" s="922" t="e">
        <f>IF(G34="","",VLOOKUP(G34,'Списки участников'!A:K,3,FALSE))</f>
        <v>#N/A</v>
      </c>
      <c r="I34" s="486">
        <v>94</v>
      </c>
      <c r="J34" s="496">
        <v>12</v>
      </c>
      <c r="K34" s="745">
        <v>10</v>
      </c>
      <c r="L34" s="739">
        <v>15</v>
      </c>
      <c r="M34" s="485">
        <f>LOOKUP(K34,'2Ф КРУГ'!A:A,'2Ф КРУГ'!B:B)</f>
        <v>0</v>
      </c>
      <c r="N34" s="922" t="e">
        <f>IF(M34="","",VLOOKUP(M34,'Списки участников'!A:K,3,FALSE))</f>
        <v>#N/A</v>
      </c>
      <c r="O34" s="485">
        <f>LOOKUP(L34,'2Ф КРУГ'!A:A,'2Ф КРУГ'!B:B)</f>
        <v>0</v>
      </c>
      <c r="P34" s="922" t="e">
        <f>IF(O34="","",VLOOKUP(O34,'Списки участников'!A:K,3,FALSE))</f>
        <v>#N/A</v>
      </c>
    </row>
    <row r="35" spans="1:16" ht="17.25" x14ac:dyDescent="0.25">
      <c r="A35" s="486">
        <v>31</v>
      </c>
      <c r="B35" s="733">
        <v>4</v>
      </c>
      <c r="C35" s="738">
        <v>4</v>
      </c>
      <c r="D35" s="739">
        <v>7</v>
      </c>
      <c r="E35" s="484">
        <f>LOOKUP(C35,'2Ф КРУГ'!A:A,'2Ф КРУГ'!B:B)</f>
        <v>0</v>
      </c>
      <c r="F35" s="922" t="e">
        <f>IF(E35="","",VLOOKUP(E35,'Списки участников'!A:K,3,FALSE))</f>
        <v>#N/A</v>
      </c>
      <c r="G35" s="485">
        <f>LOOKUP(D35,'2Ф КРУГ'!A:A,'2Ф КРУГ'!B:B)</f>
        <v>0</v>
      </c>
      <c r="H35" s="922" t="e">
        <f>IF(G35="","",VLOOKUP(G35,'Списки участников'!A:K,3,FALSE))</f>
        <v>#N/A</v>
      </c>
      <c r="I35" s="486">
        <v>95</v>
      </c>
      <c r="J35" s="496">
        <v>12</v>
      </c>
      <c r="K35" s="745">
        <v>11</v>
      </c>
      <c r="L35" s="739">
        <v>14</v>
      </c>
      <c r="M35" s="485">
        <f>LOOKUP(K35,'2Ф КРУГ'!A:A,'2Ф КРУГ'!B:B)</f>
        <v>0</v>
      </c>
      <c r="N35" s="922" t="e">
        <f>IF(M35="","",VLOOKUP(M35,'Списки участников'!A:K,3,FALSE))</f>
        <v>#N/A</v>
      </c>
      <c r="O35" s="485">
        <f>LOOKUP(L35,'2Ф КРУГ'!A:A,'2Ф КРУГ'!B:B)</f>
        <v>0</v>
      </c>
      <c r="P35" s="922" t="e">
        <f>IF(O35="","",VLOOKUP(O35,'Списки участников'!A:K,3,FALSE))</f>
        <v>#N/A</v>
      </c>
    </row>
    <row r="36" spans="1:16" ht="18" thickBot="1" x14ac:dyDescent="0.3">
      <c r="A36" s="486">
        <v>32</v>
      </c>
      <c r="B36" s="736">
        <v>4</v>
      </c>
      <c r="C36" s="740">
        <v>5</v>
      </c>
      <c r="D36" s="741">
        <v>6</v>
      </c>
      <c r="E36" s="494">
        <f>LOOKUP(C36,'2Ф КРУГ'!A:A,'2Ф КРУГ'!B:B)</f>
        <v>0</v>
      </c>
      <c r="F36" s="730" t="e">
        <f>IF(E36="","",VLOOKUP(E36,'Списки участников'!A:K,3,FALSE))</f>
        <v>#N/A</v>
      </c>
      <c r="G36" s="731">
        <f>LOOKUP(D36,'2Ф КРУГ'!A:A,'2Ф КРУГ'!B:B)</f>
        <v>0</v>
      </c>
      <c r="H36" s="730" t="e">
        <f>IF(G36="","",VLOOKUP(G36,'Списки участников'!A:K,3,FALSE))</f>
        <v>#N/A</v>
      </c>
      <c r="I36" s="702">
        <v>96</v>
      </c>
      <c r="J36" s="500">
        <v>12</v>
      </c>
      <c r="K36" s="741">
        <v>12</v>
      </c>
      <c r="L36" s="746">
        <v>13</v>
      </c>
      <c r="M36" s="731">
        <f>LOOKUP(K36,'2Ф КРУГ'!A:A,'2Ф КРУГ'!B:B)</f>
        <v>0</v>
      </c>
      <c r="N36" s="730" t="e">
        <f>IF(M36="","",VLOOKUP(M36,'Списки участников'!A:K,3,FALSE))</f>
        <v>#N/A</v>
      </c>
      <c r="O36" s="731">
        <f>LOOKUP(L36,'2Ф КРУГ'!A:A,'2Ф КРУГ'!B:B)</f>
        <v>0</v>
      </c>
      <c r="P36" s="730" t="e">
        <f>IF(O36="","",VLOOKUP(O36,'Списки участников'!A:K,3,FALSE))</f>
        <v>#N/A</v>
      </c>
    </row>
    <row r="37" spans="1:16" ht="17.25" x14ac:dyDescent="0.25">
      <c r="A37" s="486">
        <v>33</v>
      </c>
      <c r="B37" s="737">
        <v>5</v>
      </c>
      <c r="C37" s="742">
        <v>1</v>
      </c>
      <c r="D37" s="743">
        <v>12</v>
      </c>
      <c r="E37" s="485">
        <f>LOOKUP(C37,'2Ф КРУГ'!A:A,'2Ф КРУГ'!B:B)</f>
        <v>0</v>
      </c>
      <c r="F37" s="922" t="e">
        <f>IF(E37="","",VLOOKUP(E37,'Списки участников'!A:K,3,FALSE))</f>
        <v>#N/A</v>
      </c>
      <c r="G37" s="485">
        <f>LOOKUP(D37,'2Ф КРУГ'!A:A,'2Ф КРУГ'!B:B)</f>
        <v>0</v>
      </c>
      <c r="H37" s="922" t="e">
        <f>IF(G37="","",VLOOKUP(G37,'Списки участников'!A:K,3,FALSE))</f>
        <v>#N/A</v>
      </c>
      <c r="I37" s="915">
        <v>97</v>
      </c>
      <c r="J37" s="497">
        <v>13</v>
      </c>
      <c r="K37" s="743">
        <v>1</v>
      </c>
      <c r="L37" s="743">
        <v>4</v>
      </c>
      <c r="M37" s="485">
        <f>LOOKUP(K37,'2Ф КРУГ'!A:A,'2Ф КРУГ'!B:B)</f>
        <v>0</v>
      </c>
      <c r="N37" s="922" t="e">
        <f>IF(M37="","",VLOOKUP(M37,'Списки участников'!A:K,3,FALSE))</f>
        <v>#N/A</v>
      </c>
      <c r="O37" s="485">
        <f>LOOKUP(L37,'2Ф КРУГ'!A:A,'2Ф КРУГ'!B:B)</f>
        <v>0</v>
      </c>
      <c r="P37" s="922" t="e">
        <f>IF(O37="","",VLOOKUP(O37,'Списки участников'!A:K,3,FALSE))</f>
        <v>#N/A</v>
      </c>
    </row>
    <row r="38" spans="1:16" ht="17.25" x14ac:dyDescent="0.25">
      <c r="A38" s="486">
        <v>34</v>
      </c>
      <c r="B38" s="733">
        <v>5</v>
      </c>
      <c r="C38" s="738">
        <v>11</v>
      </c>
      <c r="D38" s="743">
        <v>13</v>
      </c>
      <c r="E38" s="484">
        <f>LOOKUP(C38,'2Ф КРУГ'!A:A,'2Ф КРУГ'!B:B)</f>
        <v>0</v>
      </c>
      <c r="F38" s="922" t="e">
        <f>IF(E38="","",VLOOKUP(E38,'Списки участников'!A:K,3,FALSE))</f>
        <v>#N/A</v>
      </c>
      <c r="G38" s="485">
        <f>LOOKUP(D38,'2Ф КРУГ'!A:A,'2Ф КРУГ'!B:B)</f>
        <v>0</v>
      </c>
      <c r="H38" s="922" t="e">
        <f>IF(G38="","",VLOOKUP(G38,'Списки участников'!A:K,3,FALSE))</f>
        <v>#N/A</v>
      </c>
      <c r="I38" s="915">
        <v>98</v>
      </c>
      <c r="J38" s="497">
        <v>13</v>
      </c>
      <c r="K38" s="743">
        <v>3</v>
      </c>
      <c r="L38" s="743">
        <v>5</v>
      </c>
      <c r="M38" s="485">
        <f>LOOKUP(K38,'2Ф КРУГ'!A:A,'2Ф КРУГ'!B:B)</f>
        <v>0</v>
      </c>
      <c r="N38" s="922" t="e">
        <f>IF(M38="","",VLOOKUP(M38,'Списки участников'!A:K,3,FALSE))</f>
        <v>#N/A</v>
      </c>
      <c r="O38" s="485">
        <f>LOOKUP(L38,'2Ф КРУГ'!A:A,'2Ф КРУГ'!B:B)</f>
        <v>0</v>
      </c>
      <c r="P38" s="922" t="e">
        <f>IF(O38="","",VLOOKUP(O38,'Списки участников'!A:K,3,FALSE))</f>
        <v>#N/A</v>
      </c>
    </row>
    <row r="39" spans="1:16" ht="17.25" x14ac:dyDescent="0.25">
      <c r="A39" s="486">
        <v>35</v>
      </c>
      <c r="B39" s="735">
        <v>5</v>
      </c>
      <c r="C39" s="742">
        <v>10</v>
      </c>
      <c r="D39" s="743">
        <v>14</v>
      </c>
      <c r="E39" s="484">
        <f>LOOKUP(C39,'2Ф КРУГ'!A:A,'2Ф КРУГ'!B:B)</f>
        <v>0</v>
      </c>
      <c r="F39" s="922" t="e">
        <f>IF(E39="","",VLOOKUP(E39,'Списки участников'!A:K,3,FALSE))</f>
        <v>#N/A</v>
      </c>
      <c r="G39" s="485">
        <f>LOOKUP(D39,'2Ф КРУГ'!A:A,'2Ф КРУГ'!B:B)</f>
        <v>0</v>
      </c>
      <c r="H39" s="922" t="e">
        <f>IF(G39="","",VLOOKUP(G39,'Списки участников'!A:K,3,FALSE))</f>
        <v>#N/A</v>
      </c>
      <c r="I39" s="915">
        <v>99</v>
      </c>
      <c r="J39" s="496">
        <v>13</v>
      </c>
      <c r="K39" s="743">
        <v>2</v>
      </c>
      <c r="L39" s="743">
        <v>6</v>
      </c>
      <c r="M39" s="485">
        <f>LOOKUP(K39,'2Ф КРУГ'!A:A,'2Ф КРУГ'!B:B)</f>
        <v>0</v>
      </c>
      <c r="N39" s="922" t="e">
        <f>IF(M39="","",VLOOKUP(M39,'Списки участников'!A:K,3,FALSE))</f>
        <v>#N/A</v>
      </c>
      <c r="O39" s="485">
        <f>LOOKUP(L39,'2Ф КРУГ'!A:A,'2Ф КРУГ'!B:B)</f>
        <v>0</v>
      </c>
      <c r="P39" s="922" t="e">
        <f>IF(O39="","",VLOOKUP(O39,'Списки участников'!A:K,3,FALSE))</f>
        <v>#N/A</v>
      </c>
    </row>
    <row r="40" spans="1:16" ht="17.25" x14ac:dyDescent="0.25">
      <c r="A40" s="486">
        <v>36</v>
      </c>
      <c r="B40" s="496">
        <v>5</v>
      </c>
      <c r="C40" s="738">
        <v>9</v>
      </c>
      <c r="D40" s="739">
        <v>15</v>
      </c>
      <c r="E40" s="484">
        <f>LOOKUP(C40,'2Ф КРУГ'!A:A,'2Ф КРУГ'!B:B)</f>
        <v>0</v>
      </c>
      <c r="F40" s="922" t="e">
        <f>IF(E40="","",VLOOKUP(E40,'Списки участников'!A:K,3,FALSE))</f>
        <v>#N/A</v>
      </c>
      <c r="G40" s="485">
        <f>LOOKUP(D40,'2Ф КРУГ'!A:A,'2Ф КРУГ'!B:B)</f>
        <v>0</v>
      </c>
      <c r="H40" s="922" t="e">
        <f>IF(G40="","",VLOOKUP(G40,'Списки участников'!A:K,3,FALSE))</f>
        <v>#N/A</v>
      </c>
      <c r="I40" s="486">
        <v>100</v>
      </c>
      <c r="J40" s="496">
        <v>13</v>
      </c>
      <c r="K40" s="739">
        <v>7</v>
      </c>
      <c r="L40" s="739">
        <v>16</v>
      </c>
      <c r="M40" s="485">
        <f>LOOKUP(K40,'2Ф КРУГ'!A:A,'2Ф КРУГ'!B:B)</f>
        <v>0</v>
      </c>
      <c r="N40" s="922" t="e">
        <f>IF(M40="","",VLOOKUP(M40,'Списки участников'!A:K,3,FALSE))</f>
        <v>#N/A</v>
      </c>
      <c r="O40" s="485">
        <f>LOOKUP(L40,'2Ф КРУГ'!A:A,'2Ф КРУГ'!B:B)</f>
        <v>0</v>
      </c>
      <c r="P40" s="922" t="e">
        <f>IF(O40="","",VLOOKUP(O40,'Списки участников'!A:K,3,FALSE))</f>
        <v>#N/A</v>
      </c>
    </row>
    <row r="41" spans="1:16" ht="17.25" x14ac:dyDescent="0.25">
      <c r="A41" s="486">
        <v>37</v>
      </c>
      <c r="B41" s="489">
        <v>5</v>
      </c>
      <c r="C41" s="738">
        <v>8</v>
      </c>
      <c r="D41" s="739">
        <v>16</v>
      </c>
      <c r="E41" s="484">
        <f>LOOKUP(C41,'2Ф КРУГ'!A:A,'2Ф КРУГ'!B:B)</f>
        <v>0</v>
      </c>
      <c r="F41" s="922" t="e">
        <f>IF(E41="","",VLOOKUP(E41,'Списки участников'!A:K,3,FALSE))</f>
        <v>#N/A</v>
      </c>
      <c r="G41" s="485">
        <f>LOOKUP(D41,'2Ф КРУГ'!A:A,'2Ф КРУГ'!B:B)</f>
        <v>0</v>
      </c>
      <c r="H41" s="922" t="e">
        <f>IF(G41="","",VLOOKUP(G41,'Списки участников'!A:K,3,FALSE))</f>
        <v>#N/A</v>
      </c>
      <c r="I41" s="486">
        <v>101</v>
      </c>
      <c r="J41" s="501">
        <v>13</v>
      </c>
      <c r="K41" s="739">
        <v>8</v>
      </c>
      <c r="L41" s="739">
        <v>15</v>
      </c>
      <c r="M41" s="485">
        <f>LOOKUP(K41,'2Ф КРУГ'!A:A,'2Ф КРУГ'!B:B)</f>
        <v>0</v>
      </c>
      <c r="N41" s="922" t="e">
        <f>IF(M41="","",VLOOKUP(M41,'Списки участников'!A:K,3,FALSE))</f>
        <v>#N/A</v>
      </c>
      <c r="O41" s="485">
        <f>LOOKUP(L41,'2Ф КРУГ'!A:A,'2Ф КРУГ'!B:B)</f>
        <v>0</v>
      </c>
      <c r="P41" s="922" t="e">
        <f>IF(O41="","",VLOOKUP(O41,'Списки участников'!A:K,3,FALSE))</f>
        <v>#N/A</v>
      </c>
    </row>
    <row r="42" spans="1:16" ht="17.25" x14ac:dyDescent="0.25">
      <c r="A42" s="486">
        <v>38</v>
      </c>
      <c r="B42" s="496">
        <v>5</v>
      </c>
      <c r="C42" s="738">
        <v>2</v>
      </c>
      <c r="D42" s="739">
        <v>7</v>
      </c>
      <c r="E42" s="484">
        <f>LOOKUP(C42,'2Ф КРУГ'!A:A,'2Ф КРУГ'!B:B)</f>
        <v>0</v>
      </c>
      <c r="F42" s="922" t="e">
        <f>IF(E42="","",VLOOKUP(E42,'Списки участников'!A:K,3,FALSE))</f>
        <v>#N/A</v>
      </c>
      <c r="G42" s="485">
        <f>LOOKUP(D42,'2Ф КРУГ'!A:A,'2Ф КРУГ'!B:B)</f>
        <v>0</v>
      </c>
      <c r="H42" s="922" t="e">
        <f>IF(G42="","",VLOOKUP(G42,'Списки участников'!A:K,3,FALSE))</f>
        <v>#N/A</v>
      </c>
      <c r="I42" s="486">
        <v>102</v>
      </c>
      <c r="J42" s="496">
        <v>13</v>
      </c>
      <c r="K42" s="745">
        <v>9</v>
      </c>
      <c r="L42" s="745">
        <v>14</v>
      </c>
      <c r="M42" s="485">
        <f>LOOKUP(K42,'2Ф КРУГ'!A:A,'2Ф КРУГ'!B:B)</f>
        <v>0</v>
      </c>
      <c r="N42" s="922" t="e">
        <f>IF(M42="","",VLOOKUP(M42,'Списки участников'!A:K,3,FALSE))</f>
        <v>#N/A</v>
      </c>
      <c r="O42" s="485">
        <f>LOOKUP(L42,'2Ф КРУГ'!A:A,'2Ф КРУГ'!B:B)</f>
        <v>0</v>
      </c>
      <c r="P42" s="922" t="e">
        <f>IF(O42="","",VLOOKUP(O42,'Списки участников'!A:K,3,FALSE))</f>
        <v>#N/A</v>
      </c>
    </row>
    <row r="43" spans="1:16" ht="17.25" x14ac:dyDescent="0.25">
      <c r="A43" s="486">
        <v>39</v>
      </c>
      <c r="B43" s="496">
        <v>5</v>
      </c>
      <c r="C43" s="738">
        <v>3</v>
      </c>
      <c r="D43" s="739">
        <v>6</v>
      </c>
      <c r="E43" s="484">
        <f>LOOKUP(C43,'2Ф КРУГ'!A:A,'2Ф КРУГ'!B:B)</f>
        <v>0</v>
      </c>
      <c r="F43" s="922" t="e">
        <f>IF(E43="","",VLOOKUP(E43,'Списки участников'!A:K,3,FALSE))</f>
        <v>#N/A</v>
      </c>
      <c r="G43" s="485">
        <f>LOOKUP(D43,'2Ф КРУГ'!A:A,'2Ф КРУГ'!B:B)</f>
        <v>0</v>
      </c>
      <c r="H43" s="922" t="e">
        <f>IF(G43="","",VLOOKUP(G43,'Списки участников'!A:K,3,FALSE))</f>
        <v>#N/A</v>
      </c>
      <c r="I43" s="486">
        <v>103</v>
      </c>
      <c r="J43" s="496">
        <v>13</v>
      </c>
      <c r="K43" s="745">
        <v>10</v>
      </c>
      <c r="L43" s="745">
        <v>13</v>
      </c>
      <c r="M43" s="485">
        <f>LOOKUP(K43,'2Ф КРУГ'!A:A,'2Ф КРУГ'!B:B)</f>
        <v>0</v>
      </c>
      <c r="N43" s="922" t="e">
        <f>IF(M43="","",VLOOKUP(M43,'Списки участников'!A:K,3,FALSE))</f>
        <v>#N/A</v>
      </c>
      <c r="O43" s="485">
        <f>LOOKUP(L43,'2Ф КРУГ'!A:A,'2Ф КРУГ'!B:B)</f>
        <v>0</v>
      </c>
      <c r="P43" s="922" t="e">
        <f>IF(O43="","",VLOOKUP(O43,'Списки участников'!A:K,3,FALSE))</f>
        <v>#N/A</v>
      </c>
    </row>
    <row r="44" spans="1:16" ht="18" thickBot="1" x14ac:dyDescent="0.3">
      <c r="A44" s="486">
        <v>40</v>
      </c>
      <c r="B44" s="500">
        <v>5</v>
      </c>
      <c r="C44" s="740">
        <v>4</v>
      </c>
      <c r="D44" s="741">
        <v>5</v>
      </c>
      <c r="E44" s="494">
        <f>LOOKUP(C44,'2Ф КРУГ'!A:A,'2Ф КРУГ'!B:B)</f>
        <v>0</v>
      </c>
      <c r="F44" s="730" t="e">
        <f>IF(E44="","",VLOOKUP(E44,'Списки участников'!A:K,3,FALSE))</f>
        <v>#N/A</v>
      </c>
      <c r="G44" s="731">
        <f>LOOKUP(D44,'2Ф КРУГ'!A:A,'2Ф КРУГ'!B:B)</f>
        <v>0</v>
      </c>
      <c r="H44" s="730" t="e">
        <f>IF(G44="","",VLOOKUP(G44,'Списки участников'!A:K,3,FALSE))</f>
        <v>#N/A</v>
      </c>
      <c r="I44" s="702">
        <v>104</v>
      </c>
      <c r="J44" s="500">
        <v>13</v>
      </c>
      <c r="K44" s="741">
        <v>11</v>
      </c>
      <c r="L44" s="741">
        <v>12</v>
      </c>
      <c r="M44" s="731">
        <f>LOOKUP(K44,'2Ф КРУГ'!A:A,'2Ф КРУГ'!B:B)</f>
        <v>0</v>
      </c>
      <c r="N44" s="730" t="e">
        <f>IF(M44="","",VLOOKUP(M44,'Списки участников'!A:K,3,FALSE))</f>
        <v>#N/A</v>
      </c>
      <c r="O44" s="731">
        <f>LOOKUP(L44,'2Ф КРУГ'!A:A,'2Ф КРУГ'!B:B)</f>
        <v>0</v>
      </c>
      <c r="P44" s="730" t="e">
        <f>IF(O44="","",VLOOKUP(O44,'Списки участников'!A:K,3,FALSE))</f>
        <v>#N/A</v>
      </c>
    </row>
    <row r="45" spans="1:16" ht="17.25" x14ac:dyDescent="0.25">
      <c r="A45" s="486">
        <v>41</v>
      </c>
      <c r="B45" s="496">
        <v>6</v>
      </c>
      <c r="C45" s="742">
        <v>1</v>
      </c>
      <c r="D45" s="743">
        <v>11</v>
      </c>
      <c r="E45" s="485">
        <f>LOOKUP(C45,'2Ф КРУГ'!A:A,'2Ф КРУГ'!B:B)</f>
        <v>0</v>
      </c>
      <c r="F45" s="922" t="e">
        <f>IF(E45="","",VLOOKUP(E45,'Списки участников'!A:K,3,FALSE))</f>
        <v>#N/A</v>
      </c>
      <c r="G45" s="485">
        <f>LOOKUP(D45,'2Ф КРУГ'!A:A,'2Ф КРУГ'!B:B)</f>
        <v>0</v>
      </c>
      <c r="H45" s="922" t="e">
        <f>IF(G45="","",VLOOKUP(G45,'Списки участников'!A:K,3,FALSE))</f>
        <v>#N/A</v>
      </c>
      <c r="I45" s="915">
        <v>105</v>
      </c>
      <c r="J45" s="496">
        <v>14</v>
      </c>
      <c r="K45" s="743">
        <v>1</v>
      </c>
      <c r="L45" s="743">
        <v>3</v>
      </c>
      <c r="M45" s="485">
        <f>LOOKUP(K45,'2Ф КРУГ'!A:A,'2Ф КРУГ'!B:B)</f>
        <v>0</v>
      </c>
      <c r="N45" s="922" t="e">
        <f>IF(M45="","",VLOOKUP(M45,'Списки участников'!A:K,3,FALSE))</f>
        <v>#N/A</v>
      </c>
      <c r="O45" s="485">
        <f>LOOKUP(L45,'2Ф КРУГ'!A:A,'2Ф КРУГ'!B:B)</f>
        <v>0</v>
      </c>
      <c r="P45" s="922" t="e">
        <f>IF(O45="","",VLOOKUP(O45,'Списки участников'!A:K,3,FALSE))</f>
        <v>#N/A</v>
      </c>
    </row>
    <row r="46" spans="1:16" ht="17.25" x14ac:dyDescent="0.25">
      <c r="A46" s="486">
        <v>42</v>
      </c>
      <c r="B46" s="496">
        <v>6</v>
      </c>
      <c r="C46" s="738">
        <v>10</v>
      </c>
      <c r="D46" s="739">
        <v>12</v>
      </c>
      <c r="E46" s="484">
        <f>LOOKUP(C46,'2Ф КРУГ'!A:A,'2Ф КРУГ'!B:B)</f>
        <v>0</v>
      </c>
      <c r="F46" s="922" t="e">
        <f>IF(E46="","",VLOOKUP(E46,'Списки участников'!A:K,3,FALSE))</f>
        <v>#N/A</v>
      </c>
      <c r="G46" s="485">
        <f>LOOKUP(D46,'2Ф КРУГ'!A:A,'2Ф КРУГ'!B:B)</f>
        <v>0</v>
      </c>
      <c r="H46" s="922" t="e">
        <f>IF(G46="","",VLOOKUP(G46,'Списки участников'!A:K,3,FALSE))</f>
        <v>#N/A</v>
      </c>
      <c r="I46" s="486">
        <v>106</v>
      </c>
      <c r="J46" s="496">
        <v>14</v>
      </c>
      <c r="K46" s="739">
        <v>2</v>
      </c>
      <c r="L46" s="743">
        <v>4</v>
      </c>
      <c r="M46" s="485">
        <f>LOOKUP(K46,'2Ф КРУГ'!A:A,'2Ф КРУГ'!B:B)</f>
        <v>0</v>
      </c>
      <c r="N46" s="922" t="e">
        <f>IF(M46="","",VLOOKUP(M46,'Списки участников'!A:K,3,FALSE))</f>
        <v>#N/A</v>
      </c>
      <c r="O46" s="485">
        <f>LOOKUP(L46,'2Ф КРУГ'!A:A,'2Ф КРУГ'!B:B)</f>
        <v>0</v>
      </c>
      <c r="P46" s="922" t="e">
        <f>IF(O46="","",VLOOKUP(O46,'Списки участников'!A:K,3,FALSE))</f>
        <v>#N/A</v>
      </c>
    </row>
    <row r="47" spans="1:16" ht="17.25" x14ac:dyDescent="0.25">
      <c r="A47" s="486">
        <v>43</v>
      </c>
      <c r="B47" s="496">
        <v>6</v>
      </c>
      <c r="C47" s="738">
        <v>9</v>
      </c>
      <c r="D47" s="739">
        <v>13</v>
      </c>
      <c r="E47" s="484">
        <f>LOOKUP(C47,'2Ф КРУГ'!A:A,'2Ф КРУГ'!B:B)</f>
        <v>0</v>
      </c>
      <c r="F47" s="922" t="e">
        <f>IF(E47="","",VLOOKUP(E47,'Списки участников'!A:K,3,FALSE))</f>
        <v>#N/A</v>
      </c>
      <c r="G47" s="485">
        <f>LOOKUP(D47,'2Ф КРУГ'!A:A,'2Ф КРУГ'!B:B)</f>
        <v>0</v>
      </c>
      <c r="H47" s="922" t="e">
        <f>IF(G47="","",VLOOKUP(G47,'Списки участников'!A:K,3,FALSE))</f>
        <v>#N/A</v>
      </c>
      <c r="I47" s="486">
        <v>107</v>
      </c>
      <c r="J47" s="496">
        <v>14</v>
      </c>
      <c r="K47" s="739">
        <v>5</v>
      </c>
      <c r="L47" s="743">
        <v>16</v>
      </c>
      <c r="M47" s="485">
        <f>LOOKUP(K47,'2Ф КРУГ'!A:A,'2Ф КРУГ'!B:B)</f>
        <v>0</v>
      </c>
      <c r="N47" s="922" t="e">
        <f>IF(M47="","",VLOOKUP(M47,'Списки участников'!A:K,3,FALSE))</f>
        <v>#N/A</v>
      </c>
      <c r="O47" s="485">
        <f>LOOKUP(L47,'2Ф КРУГ'!A:A,'2Ф КРУГ'!B:B)</f>
        <v>0</v>
      </c>
      <c r="P47" s="922" t="e">
        <f>IF(O47="","",VLOOKUP(O47,'Списки участников'!A:K,3,FALSE))</f>
        <v>#N/A</v>
      </c>
    </row>
    <row r="48" spans="1:16" ht="17.25" x14ac:dyDescent="0.25">
      <c r="A48" s="486">
        <v>44</v>
      </c>
      <c r="B48" s="496">
        <v>6</v>
      </c>
      <c r="C48" s="738">
        <v>8</v>
      </c>
      <c r="D48" s="739">
        <v>14</v>
      </c>
      <c r="E48" s="484">
        <f>LOOKUP(C48,'2Ф КРУГ'!A:A,'2Ф КРУГ'!B:B)</f>
        <v>0</v>
      </c>
      <c r="F48" s="922" t="e">
        <f>IF(E48="","",VLOOKUP(E48,'Списки участников'!A:K,3,FALSE))</f>
        <v>#N/A</v>
      </c>
      <c r="G48" s="485">
        <f>LOOKUP(D48,'2Ф КРУГ'!A:A,'2Ф КРУГ'!B:B)</f>
        <v>0</v>
      </c>
      <c r="H48" s="922" t="e">
        <f>IF(G48="","",VLOOKUP(G48,'Списки участников'!A:K,3,FALSE))</f>
        <v>#N/A</v>
      </c>
      <c r="I48" s="486">
        <v>108</v>
      </c>
      <c r="J48" s="496">
        <v>14</v>
      </c>
      <c r="K48" s="739">
        <v>6</v>
      </c>
      <c r="L48" s="743">
        <v>15</v>
      </c>
      <c r="M48" s="485">
        <f>LOOKUP(K48,'2Ф КРУГ'!A:A,'2Ф КРУГ'!B:B)</f>
        <v>0</v>
      </c>
      <c r="N48" s="922" t="e">
        <f>IF(M48="","",VLOOKUP(M48,'Списки участников'!A:K,3,FALSE))</f>
        <v>#N/A</v>
      </c>
      <c r="O48" s="485">
        <f>LOOKUP(L48,'2Ф КРУГ'!A:A,'2Ф КРУГ'!B:B)</f>
        <v>0</v>
      </c>
      <c r="P48" s="922" t="e">
        <f>IF(O48="","",VLOOKUP(O48,'Списки участников'!A:K,3,FALSE))</f>
        <v>#N/A</v>
      </c>
    </row>
    <row r="49" spans="1:16" ht="17.25" x14ac:dyDescent="0.25">
      <c r="A49" s="486">
        <v>45</v>
      </c>
      <c r="B49" s="501">
        <v>6</v>
      </c>
      <c r="C49" s="738">
        <v>7</v>
      </c>
      <c r="D49" s="739">
        <v>15</v>
      </c>
      <c r="E49" s="484">
        <f>LOOKUP(C49,'2Ф КРУГ'!A:A,'2Ф КРУГ'!B:B)</f>
        <v>0</v>
      </c>
      <c r="F49" s="922" t="e">
        <f>IF(E49="","",VLOOKUP(E49,'Списки участников'!A:K,3,FALSE))</f>
        <v>#N/A</v>
      </c>
      <c r="G49" s="485">
        <f>LOOKUP(D49,'2Ф КРУГ'!A:A,'2Ф КРУГ'!B:B)</f>
        <v>0</v>
      </c>
      <c r="H49" s="922" t="e">
        <f>IF(G49="","",VLOOKUP(G49,'Списки участников'!A:K,3,FALSE))</f>
        <v>#N/A</v>
      </c>
      <c r="I49" s="486">
        <v>109</v>
      </c>
      <c r="J49" s="501">
        <v>14</v>
      </c>
      <c r="K49" s="739">
        <v>7</v>
      </c>
      <c r="L49" s="743">
        <v>14</v>
      </c>
      <c r="M49" s="485">
        <f>LOOKUP(K49,'2Ф КРУГ'!A:A,'2Ф КРУГ'!B:B)</f>
        <v>0</v>
      </c>
      <c r="N49" s="922" t="e">
        <f>IF(M49="","",VLOOKUP(M49,'Списки участников'!A:K,3,FALSE))</f>
        <v>#N/A</v>
      </c>
      <c r="O49" s="485">
        <f>LOOKUP(L49,'2Ф КРУГ'!A:A,'2Ф КРУГ'!B:B)</f>
        <v>0</v>
      </c>
      <c r="P49" s="922" t="e">
        <f>IF(O49="","",VLOOKUP(O49,'Списки участников'!A:K,3,FALSE))</f>
        <v>#N/A</v>
      </c>
    </row>
    <row r="50" spans="1:16" ht="17.25" x14ac:dyDescent="0.25">
      <c r="A50" s="486">
        <v>46</v>
      </c>
      <c r="B50" s="496">
        <v>6</v>
      </c>
      <c r="C50" s="738">
        <v>6</v>
      </c>
      <c r="D50" s="739">
        <v>16</v>
      </c>
      <c r="E50" s="484">
        <f>LOOKUP(C50,'2Ф КРУГ'!A:A,'2Ф КРУГ'!B:B)</f>
        <v>0</v>
      </c>
      <c r="F50" s="922" t="e">
        <f>IF(E50="","",VLOOKUP(E50,'Списки участников'!A:K,3,FALSE))</f>
        <v>#N/A</v>
      </c>
      <c r="G50" s="485">
        <f>LOOKUP(D50,'2Ф КРУГ'!A:A,'2Ф КРУГ'!B:B)</f>
        <v>0</v>
      </c>
      <c r="H50" s="922" t="e">
        <f>IF(G50="","",VLOOKUP(G50,'Списки участников'!A:K,3,FALSE))</f>
        <v>#N/A</v>
      </c>
      <c r="I50" s="486">
        <v>110</v>
      </c>
      <c r="J50" s="496">
        <v>14</v>
      </c>
      <c r="K50" s="745">
        <v>8</v>
      </c>
      <c r="L50" s="739">
        <v>13</v>
      </c>
      <c r="M50" s="485">
        <f>LOOKUP(K50,'2Ф КРУГ'!A:A,'2Ф КРУГ'!B:B)</f>
        <v>0</v>
      </c>
      <c r="N50" s="922" t="e">
        <f>IF(M50="","",VLOOKUP(M50,'Списки участников'!A:K,3,FALSE))</f>
        <v>#N/A</v>
      </c>
      <c r="O50" s="485">
        <f>LOOKUP(L50,'2Ф КРУГ'!A:A,'2Ф КРУГ'!B:B)</f>
        <v>0</v>
      </c>
      <c r="P50" s="922" t="e">
        <f>IF(O50="","",VLOOKUP(O50,'Списки участников'!A:K,3,FALSE))</f>
        <v>#N/A</v>
      </c>
    </row>
    <row r="51" spans="1:16" ht="17.25" x14ac:dyDescent="0.25">
      <c r="A51" s="486">
        <v>47</v>
      </c>
      <c r="B51" s="496">
        <v>6</v>
      </c>
      <c r="C51" s="738">
        <v>2</v>
      </c>
      <c r="D51" s="739">
        <v>5</v>
      </c>
      <c r="E51" s="484">
        <f>LOOKUP(C51,'2Ф КРУГ'!A:A,'2Ф КРУГ'!B:B)</f>
        <v>0</v>
      </c>
      <c r="F51" s="922" t="e">
        <f>IF(E51="","",VLOOKUP(E51,'Списки участников'!A:K,3,FALSE))</f>
        <v>#N/A</v>
      </c>
      <c r="G51" s="485">
        <f>LOOKUP(D51,'2Ф КРУГ'!A:A,'2Ф КРУГ'!B:B)</f>
        <v>0</v>
      </c>
      <c r="H51" s="922" t="e">
        <f>IF(G51="","",VLOOKUP(G51,'Списки участников'!A:K,3,FALSE))</f>
        <v>#N/A</v>
      </c>
      <c r="I51" s="486">
        <v>111</v>
      </c>
      <c r="J51" s="496">
        <v>14</v>
      </c>
      <c r="K51" s="745">
        <v>9</v>
      </c>
      <c r="L51" s="739">
        <v>12</v>
      </c>
      <c r="M51" s="485">
        <f>LOOKUP(K51,'2Ф КРУГ'!A:A,'2Ф КРУГ'!B:B)</f>
        <v>0</v>
      </c>
      <c r="N51" s="922" t="e">
        <f>IF(M51="","",VLOOKUP(M51,'Списки участников'!A:K,3,FALSE))</f>
        <v>#N/A</v>
      </c>
      <c r="O51" s="485">
        <f>LOOKUP(L51,'2Ф КРУГ'!A:A,'2Ф КРУГ'!B:B)</f>
        <v>0</v>
      </c>
      <c r="P51" s="922" t="e">
        <f>IF(O51="","",VLOOKUP(O51,'Списки участников'!A:K,3,FALSE))</f>
        <v>#N/A</v>
      </c>
    </row>
    <row r="52" spans="1:16" ht="18" thickBot="1" x14ac:dyDescent="0.3">
      <c r="A52" s="486">
        <v>48</v>
      </c>
      <c r="B52" s="500">
        <v>6</v>
      </c>
      <c r="C52" s="740">
        <v>3</v>
      </c>
      <c r="D52" s="741">
        <v>4</v>
      </c>
      <c r="E52" s="494">
        <f>LOOKUP(C52,'2Ф КРУГ'!A:A,'2Ф КРУГ'!B:B)</f>
        <v>0</v>
      </c>
      <c r="F52" s="730" t="e">
        <f>IF(E52="","",VLOOKUP(E52,'Списки участников'!A:K,3,FALSE))</f>
        <v>#N/A</v>
      </c>
      <c r="G52" s="731">
        <f>LOOKUP(D52,'2Ф КРУГ'!A:A,'2Ф КРУГ'!B:B)</f>
        <v>0</v>
      </c>
      <c r="H52" s="730" t="e">
        <f>IF(G52="","",VLOOKUP(G52,'Списки участников'!A:K,3,FALSE))</f>
        <v>#N/A</v>
      </c>
      <c r="I52" s="702">
        <v>112</v>
      </c>
      <c r="J52" s="500">
        <v>14</v>
      </c>
      <c r="K52" s="741">
        <v>10</v>
      </c>
      <c r="L52" s="746">
        <v>11</v>
      </c>
      <c r="M52" s="731">
        <f>LOOKUP(K52,'2Ф КРУГ'!A:A,'2Ф КРУГ'!B:B)</f>
        <v>0</v>
      </c>
      <c r="N52" s="730" t="e">
        <f>IF(M52="","",VLOOKUP(M52,'Списки участников'!A:K,3,FALSE))</f>
        <v>#N/A</v>
      </c>
      <c r="O52" s="731">
        <f>LOOKUP(L52,'2Ф КРУГ'!A:A,'2Ф КРУГ'!B:B)</f>
        <v>0</v>
      </c>
      <c r="P52" s="730" t="e">
        <f>IF(O52="","",VLOOKUP(O52,'Списки участников'!A:K,3,FALSE))</f>
        <v>#N/A</v>
      </c>
    </row>
    <row r="53" spans="1:16" ht="17.25" x14ac:dyDescent="0.25">
      <c r="A53" s="486">
        <v>49</v>
      </c>
      <c r="B53" s="496">
        <v>7</v>
      </c>
      <c r="C53" s="742">
        <v>1</v>
      </c>
      <c r="D53" s="743">
        <v>10</v>
      </c>
      <c r="E53" s="485">
        <f>LOOKUP(C53,'2Ф КРУГ'!A:A,'2Ф КРУГ'!B:B)</f>
        <v>0</v>
      </c>
      <c r="F53" s="922" t="e">
        <f>IF(E53="","",VLOOKUP(E53,'Списки участников'!A:K,3,FALSE))</f>
        <v>#N/A</v>
      </c>
      <c r="G53" s="485">
        <f>LOOKUP(D53,'2Ф КРУГ'!A:A,'2Ф КРУГ'!B:B)</f>
        <v>0</v>
      </c>
      <c r="H53" s="922" t="e">
        <f>IF(G53="","",VLOOKUP(G53,'Списки участников'!A:K,3,FALSE))</f>
        <v>#N/A</v>
      </c>
      <c r="I53" s="915">
        <v>113</v>
      </c>
      <c r="J53" s="496">
        <v>15</v>
      </c>
      <c r="K53" s="743">
        <v>1</v>
      </c>
      <c r="L53" s="743">
        <v>2</v>
      </c>
      <c r="M53" s="485">
        <f>LOOKUP(K53,'2Ф КРУГ'!A:A,'2Ф КРУГ'!B:B)</f>
        <v>0</v>
      </c>
      <c r="N53" s="922" t="e">
        <f>IF(M53="","",VLOOKUP(M53,'Списки участников'!A:K,3,FALSE))</f>
        <v>#N/A</v>
      </c>
      <c r="O53" s="485">
        <f>LOOKUP(L53,'2Ф КРУГ'!A:A,'2Ф КРУГ'!B:B)</f>
        <v>0</v>
      </c>
      <c r="P53" s="922" t="e">
        <f>IF(O53="","",VLOOKUP(O53,'Списки участников'!A:K,3,FALSE))</f>
        <v>#N/A</v>
      </c>
    </row>
    <row r="54" spans="1:16" ht="17.25" x14ac:dyDescent="0.25">
      <c r="A54" s="486">
        <v>50</v>
      </c>
      <c r="B54" s="496">
        <v>7</v>
      </c>
      <c r="C54" s="738">
        <v>9</v>
      </c>
      <c r="D54" s="739">
        <v>11</v>
      </c>
      <c r="E54" s="484">
        <f>LOOKUP(C54,'2Ф КРУГ'!A:A,'2Ф КРУГ'!B:B)</f>
        <v>0</v>
      </c>
      <c r="F54" s="922" t="e">
        <f>IF(E54="","",VLOOKUP(E54,'Списки участников'!A:K,3,FALSE))</f>
        <v>#N/A</v>
      </c>
      <c r="G54" s="485">
        <f>LOOKUP(D54,'2Ф КРУГ'!A:A,'2Ф КРУГ'!B:B)</f>
        <v>0</v>
      </c>
      <c r="H54" s="922" t="e">
        <f>IF(G54="","",VLOOKUP(G54,'Списки участников'!A:K,3,FALSE))</f>
        <v>#N/A</v>
      </c>
      <c r="I54" s="486">
        <v>114</v>
      </c>
      <c r="J54" s="496">
        <v>15</v>
      </c>
      <c r="K54" s="739">
        <v>3</v>
      </c>
      <c r="L54" s="739">
        <v>16</v>
      </c>
      <c r="M54" s="485">
        <f>LOOKUP(K54,'2Ф КРУГ'!A:A,'2Ф КРУГ'!B:B)</f>
        <v>0</v>
      </c>
      <c r="N54" s="922" t="e">
        <f>IF(M54="","",VLOOKUP(M54,'Списки участников'!A:K,3,FALSE))</f>
        <v>#N/A</v>
      </c>
      <c r="O54" s="485">
        <f>LOOKUP(L54,'2Ф КРУГ'!A:A,'2Ф КРУГ'!B:B)</f>
        <v>0</v>
      </c>
      <c r="P54" s="922" t="e">
        <f>IF(O54="","",VLOOKUP(O54,'Списки участников'!A:K,3,FALSE))</f>
        <v>#N/A</v>
      </c>
    </row>
    <row r="55" spans="1:16" ht="17.25" x14ac:dyDescent="0.25">
      <c r="A55" s="486">
        <v>51</v>
      </c>
      <c r="B55" s="496">
        <v>7</v>
      </c>
      <c r="C55" s="738">
        <v>8</v>
      </c>
      <c r="D55" s="739">
        <v>12</v>
      </c>
      <c r="E55" s="484">
        <f>LOOKUP(C55,'2Ф КРУГ'!A:A,'2Ф КРУГ'!B:B)</f>
        <v>0</v>
      </c>
      <c r="F55" s="922" t="e">
        <f>IF(E55="","",VLOOKUP(E55,'Списки участников'!A:K,3,FALSE))</f>
        <v>#N/A</v>
      </c>
      <c r="G55" s="485">
        <f>LOOKUP(D55,'2Ф КРУГ'!A:A,'2Ф КРУГ'!B:B)</f>
        <v>0</v>
      </c>
      <c r="H55" s="922" t="e">
        <f>IF(G55="","",VLOOKUP(G55,'Списки участников'!A:K,3,FALSE))</f>
        <v>#N/A</v>
      </c>
      <c r="I55" s="486">
        <v>115</v>
      </c>
      <c r="J55" s="496">
        <v>15</v>
      </c>
      <c r="K55" s="739">
        <v>4</v>
      </c>
      <c r="L55" s="739">
        <v>15</v>
      </c>
      <c r="M55" s="485">
        <f>LOOKUP(K55,'2Ф КРУГ'!A:A,'2Ф КРУГ'!B:B)</f>
        <v>0</v>
      </c>
      <c r="N55" s="922" t="e">
        <f>IF(M55="","",VLOOKUP(M55,'Списки участников'!A:K,3,FALSE))</f>
        <v>#N/A</v>
      </c>
      <c r="O55" s="485">
        <f>LOOKUP(L55,'2Ф КРУГ'!A:A,'2Ф КРУГ'!B:B)</f>
        <v>0</v>
      </c>
      <c r="P55" s="922" t="e">
        <f>IF(O55="","",VLOOKUP(O55,'Списки участников'!A:K,3,FALSE))</f>
        <v>#N/A</v>
      </c>
    </row>
    <row r="56" spans="1:16" ht="17.25" x14ac:dyDescent="0.25">
      <c r="A56" s="486">
        <v>52</v>
      </c>
      <c r="B56" s="496">
        <v>7</v>
      </c>
      <c r="C56" s="738">
        <v>7</v>
      </c>
      <c r="D56" s="739">
        <v>13</v>
      </c>
      <c r="E56" s="484">
        <f>LOOKUP(C56,'2Ф КРУГ'!A:A,'2Ф КРУГ'!B:B)</f>
        <v>0</v>
      </c>
      <c r="F56" s="922" t="e">
        <f>IF(E56="","",VLOOKUP(E56,'Списки участников'!A:K,3,FALSE))</f>
        <v>#N/A</v>
      </c>
      <c r="G56" s="485">
        <f>LOOKUP(D56,'2Ф КРУГ'!A:A,'2Ф КРУГ'!B:B)</f>
        <v>0</v>
      </c>
      <c r="H56" s="922" t="e">
        <f>IF(G56="","",VLOOKUP(G56,'Списки участников'!A:K,3,FALSE))</f>
        <v>#N/A</v>
      </c>
      <c r="I56" s="486">
        <v>116</v>
      </c>
      <c r="J56" s="496">
        <v>15</v>
      </c>
      <c r="K56" s="739">
        <v>5</v>
      </c>
      <c r="L56" s="739">
        <v>14</v>
      </c>
      <c r="M56" s="485">
        <f>LOOKUP(K56,'2Ф КРУГ'!A:A,'2Ф КРУГ'!B:B)</f>
        <v>0</v>
      </c>
      <c r="N56" s="922" t="e">
        <f>IF(M56="","",VLOOKUP(M56,'Списки участников'!A:K,3,FALSE))</f>
        <v>#N/A</v>
      </c>
      <c r="O56" s="485">
        <f>LOOKUP(L56,'2Ф КРУГ'!A:A,'2Ф КРУГ'!B:B)</f>
        <v>0</v>
      </c>
      <c r="P56" s="922" t="e">
        <f>IF(O56="","",VLOOKUP(O56,'Списки участников'!A:K,3,FALSE))</f>
        <v>#N/A</v>
      </c>
    </row>
    <row r="57" spans="1:16" ht="17.25" x14ac:dyDescent="0.25">
      <c r="A57" s="486">
        <v>53</v>
      </c>
      <c r="B57" s="501">
        <v>7</v>
      </c>
      <c r="C57" s="738">
        <v>6</v>
      </c>
      <c r="D57" s="739">
        <v>14</v>
      </c>
      <c r="E57" s="484">
        <f>LOOKUP(C57,'2Ф КРУГ'!A:A,'2Ф КРУГ'!B:B)</f>
        <v>0</v>
      </c>
      <c r="F57" s="922" t="e">
        <f>IF(E57="","",VLOOKUP(E57,'Списки участников'!A:K,3,FALSE))</f>
        <v>#N/A</v>
      </c>
      <c r="G57" s="485">
        <f>LOOKUP(D57,'2Ф КРУГ'!A:A,'2Ф КРУГ'!B:B)</f>
        <v>0</v>
      </c>
      <c r="H57" s="922" t="e">
        <f>IF(G57="","",VLOOKUP(G57,'Списки участников'!A:K,3,FALSE))</f>
        <v>#N/A</v>
      </c>
      <c r="I57" s="486">
        <v>117</v>
      </c>
      <c r="J57" s="501">
        <v>15</v>
      </c>
      <c r="K57" s="739">
        <v>6</v>
      </c>
      <c r="L57" s="739">
        <v>13</v>
      </c>
      <c r="M57" s="485">
        <f>LOOKUP(K57,'2Ф КРУГ'!A:A,'2Ф КРУГ'!B:B)</f>
        <v>0</v>
      </c>
      <c r="N57" s="922" t="e">
        <f>IF(M57="","",VLOOKUP(M57,'Списки участников'!A:K,3,FALSE))</f>
        <v>#N/A</v>
      </c>
      <c r="O57" s="485">
        <f>LOOKUP(L57,'2Ф КРУГ'!A:A,'2Ф КРУГ'!B:B)</f>
        <v>0</v>
      </c>
      <c r="P57" s="922" t="e">
        <f>IF(O57="","",VLOOKUP(O57,'Списки участников'!A:K,3,FALSE))</f>
        <v>#N/A</v>
      </c>
    </row>
    <row r="58" spans="1:16" ht="17.25" x14ac:dyDescent="0.25">
      <c r="A58" s="486">
        <v>54</v>
      </c>
      <c r="B58" s="496">
        <v>7</v>
      </c>
      <c r="C58" s="738">
        <v>5</v>
      </c>
      <c r="D58" s="739">
        <v>15</v>
      </c>
      <c r="E58" s="484">
        <f>LOOKUP(C58,'2Ф КРУГ'!A:A,'2Ф КРУГ'!B:B)</f>
        <v>0</v>
      </c>
      <c r="F58" s="922" t="e">
        <f>IF(E58="","",VLOOKUP(E58,'Списки участников'!A:K,3,FALSE))</f>
        <v>#N/A</v>
      </c>
      <c r="G58" s="485">
        <f>LOOKUP(D58,'2Ф КРУГ'!A:A,'2Ф КРУГ'!B:B)</f>
        <v>0</v>
      </c>
      <c r="H58" s="922" t="e">
        <f>IF(G58="","",VLOOKUP(G58,'Списки участников'!A:K,3,FALSE))</f>
        <v>#N/A</v>
      </c>
      <c r="I58" s="486">
        <v>118</v>
      </c>
      <c r="J58" s="496">
        <v>15</v>
      </c>
      <c r="K58" s="745">
        <v>7</v>
      </c>
      <c r="L58" s="745">
        <v>12</v>
      </c>
      <c r="M58" s="485">
        <f>LOOKUP(K58,'2Ф КРУГ'!A:A,'2Ф КРУГ'!B:B)</f>
        <v>0</v>
      </c>
      <c r="N58" s="922" t="e">
        <f>IF(M58="","",VLOOKUP(M58,'Списки участников'!A:K,3,FALSE))</f>
        <v>#N/A</v>
      </c>
      <c r="O58" s="485">
        <f>LOOKUP(L58,'2Ф КРУГ'!A:A,'2Ф КРУГ'!B:B)</f>
        <v>0</v>
      </c>
      <c r="P58" s="922" t="e">
        <f>IF(O58="","",VLOOKUP(O58,'Списки участников'!A:K,3,FALSE))</f>
        <v>#N/A</v>
      </c>
    </row>
    <row r="59" spans="1:16" ht="17.25" x14ac:dyDescent="0.25">
      <c r="A59" s="486">
        <v>55</v>
      </c>
      <c r="B59" s="496">
        <v>7</v>
      </c>
      <c r="C59" s="738">
        <v>4</v>
      </c>
      <c r="D59" s="739">
        <v>16</v>
      </c>
      <c r="E59" s="484">
        <f>LOOKUP(C59,'2Ф КРУГ'!A:A,'2Ф КРУГ'!B:B)</f>
        <v>0</v>
      </c>
      <c r="F59" s="922" t="e">
        <f>IF(E59="","",VLOOKUP(E59,'Списки участников'!A:K,3,FALSE))</f>
        <v>#N/A</v>
      </c>
      <c r="G59" s="485">
        <f>LOOKUP(D59,'2Ф КРУГ'!A:A,'2Ф КРУГ'!B:B)</f>
        <v>0</v>
      </c>
      <c r="H59" s="922" t="e">
        <f>IF(G59="","",VLOOKUP(G59,'Списки участников'!A:K,3,FALSE))</f>
        <v>#N/A</v>
      </c>
      <c r="I59" s="486">
        <v>119</v>
      </c>
      <c r="J59" s="496">
        <v>15</v>
      </c>
      <c r="K59" s="745">
        <v>8</v>
      </c>
      <c r="L59" s="745">
        <v>11</v>
      </c>
      <c r="M59" s="485">
        <f>LOOKUP(K59,'2Ф КРУГ'!A:A,'2Ф КРУГ'!B:B)</f>
        <v>0</v>
      </c>
      <c r="N59" s="922" t="e">
        <f>IF(M59="","",VLOOKUP(M59,'Списки участников'!A:K,3,FALSE))</f>
        <v>#N/A</v>
      </c>
      <c r="O59" s="485">
        <f>LOOKUP(L59,'2Ф КРУГ'!A:A,'2Ф КРУГ'!B:B)</f>
        <v>0</v>
      </c>
      <c r="P59" s="922" t="e">
        <f>IF(O59="","",VLOOKUP(O59,'Списки участников'!A:K,3,FALSE))</f>
        <v>#N/A</v>
      </c>
    </row>
    <row r="60" spans="1:16" ht="18" thickBot="1" x14ac:dyDescent="0.3">
      <c r="A60" s="486">
        <v>56</v>
      </c>
      <c r="B60" s="500">
        <v>7</v>
      </c>
      <c r="C60" s="740">
        <v>2</v>
      </c>
      <c r="D60" s="744">
        <v>3</v>
      </c>
      <c r="E60" s="494">
        <f>LOOKUP(C60,'2Ф КРУГ'!A:A,'2Ф КРУГ'!B:B)</f>
        <v>0</v>
      </c>
      <c r="F60" s="730" t="e">
        <f>IF(E60="","",VLOOKUP(E60,'Списки участников'!A:K,3,FALSE))</f>
        <v>#N/A</v>
      </c>
      <c r="G60" s="731">
        <f>LOOKUP(D60,'2Ф КРУГ'!A:A,'2Ф КРУГ'!B:B)</f>
        <v>0</v>
      </c>
      <c r="H60" s="730" t="e">
        <f>IF(G60="","",VLOOKUP(G60,'Списки участников'!A:K,3,FALSE))</f>
        <v>#N/A</v>
      </c>
      <c r="I60" s="732">
        <v>120</v>
      </c>
      <c r="J60" s="500">
        <v>15</v>
      </c>
      <c r="K60" s="744">
        <v>9</v>
      </c>
      <c r="L60" s="744">
        <v>10</v>
      </c>
      <c r="M60" s="731">
        <f>LOOKUP(K60,'2Ф КРУГ'!A:A,'2Ф КРУГ'!B:B)</f>
        <v>0</v>
      </c>
      <c r="N60" s="730" t="e">
        <f>IF(M60="","",VLOOKUP(M60,'Списки участников'!A:K,3,FALSE))</f>
        <v>#N/A</v>
      </c>
      <c r="O60" s="731">
        <f>LOOKUP(L60,'2Ф КРУГ'!A:A,'2Ф КРУГ'!B:B)</f>
        <v>0</v>
      </c>
      <c r="P60" s="730" t="e">
        <f>IF(O60="","",VLOOKUP(O60,'Списки участников'!A:K,3,FALSE))</f>
        <v>#N/A</v>
      </c>
    </row>
    <row r="61" spans="1:16" ht="15.75" x14ac:dyDescent="0.25">
      <c r="A61" s="486">
        <v>57</v>
      </c>
      <c r="B61" s="496">
        <v>8</v>
      </c>
      <c r="C61" s="742">
        <v>1</v>
      </c>
      <c r="D61" s="743">
        <v>9</v>
      </c>
      <c r="E61" s="485">
        <f>LOOKUP(C61,'2Ф КРУГ'!A:A,'2Ф КРУГ'!B:B)</f>
        <v>0</v>
      </c>
      <c r="F61" s="922" t="e">
        <f>IF(E61="","",VLOOKUP(E61,'Списки участников'!A:K,3,FALSE))</f>
        <v>#N/A</v>
      </c>
      <c r="G61" s="485">
        <f>LOOKUP(D61,'2Ф КРУГ'!A:A,'2Ф КРУГ'!B:B)</f>
        <v>0</v>
      </c>
      <c r="H61" s="922" t="e">
        <f>IF(G61="","",VLOOKUP(G61,'Списки участников'!A:K,3,FALSE))</f>
        <v>#N/A</v>
      </c>
    </row>
    <row r="62" spans="1:16" ht="15.75" x14ac:dyDescent="0.25">
      <c r="A62" s="486">
        <v>58</v>
      </c>
      <c r="B62" s="496">
        <v>8</v>
      </c>
      <c r="C62" s="738">
        <v>8</v>
      </c>
      <c r="D62" s="739">
        <v>10</v>
      </c>
      <c r="E62" s="484">
        <f>LOOKUP(C62,'2Ф КРУГ'!A:A,'2Ф КРУГ'!B:B)</f>
        <v>0</v>
      </c>
      <c r="F62" s="922" t="e">
        <f>IF(E62="","",VLOOKUP(E62,'Списки участников'!A:K,3,FALSE))</f>
        <v>#N/A</v>
      </c>
      <c r="G62" s="485">
        <f>LOOKUP(D62,'2Ф КРУГ'!A:A,'2Ф КРУГ'!B:B)</f>
        <v>0</v>
      </c>
      <c r="H62" s="922" t="e">
        <f>IF(G62="","",VLOOKUP(G62,'Списки участников'!A:K,3,FALSE))</f>
        <v>#N/A</v>
      </c>
    </row>
    <row r="63" spans="1:16" ht="15.75" x14ac:dyDescent="0.25">
      <c r="A63" s="486">
        <v>59</v>
      </c>
      <c r="B63" s="496">
        <v>8</v>
      </c>
      <c r="C63" s="738">
        <v>7</v>
      </c>
      <c r="D63" s="739">
        <v>11</v>
      </c>
      <c r="E63" s="484">
        <f>LOOKUP(C63,'2Ф КРУГ'!A:A,'2Ф КРУГ'!B:B)</f>
        <v>0</v>
      </c>
      <c r="F63" s="922" t="e">
        <f>IF(E63="","",VLOOKUP(E63,'Списки участников'!A:K,3,FALSE))</f>
        <v>#N/A</v>
      </c>
      <c r="G63" s="485">
        <f>LOOKUP(D63,'2Ф КРУГ'!A:A,'2Ф КРУГ'!B:B)</f>
        <v>0</v>
      </c>
      <c r="H63" s="922" t="e">
        <f>IF(G63="","",VLOOKUP(G63,'Списки участников'!A:K,3,FALSE))</f>
        <v>#N/A</v>
      </c>
    </row>
    <row r="64" spans="1:16" ht="15.75" x14ac:dyDescent="0.25">
      <c r="A64" s="486">
        <v>60</v>
      </c>
      <c r="B64" s="496">
        <v>8</v>
      </c>
      <c r="C64" s="738">
        <v>6</v>
      </c>
      <c r="D64" s="739">
        <v>12</v>
      </c>
      <c r="E64" s="484">
        <f>LOOKUP(C64,'2Ф КРУГ'!A:A,'2Ф КРУГ'!B:B)</f>
        <v>0</v>
      </c>
      <c r="F64" s="922" t="e">
        <f>IF(E64="","",VLOOKUP(E64,'Списки участников'!A:K,3,FALSE))</f>
        <v>#N/A</v>
      </c>
      <c r="G64" s="485">
        <f>LOOKUP(D64,'2Ф КРУГ'!A:A,'2Ф КРУГ'!B:B)</f>
        <v>0</v>
      </c>
      <c r="H64" s="922" t="e">
        <f>IF(G64="","",VLOOKUP(G64,'Списки участников'!A:K,3,FALSE))</f>
        <v>#N/A</v>
      </c>
    </row>
    <row r="65" spans="1:8" ht="15.75" x14ac:dyDescent="0.25">
      <c r="A65" s="486">
        <v>61</v>
      </c>
      <c r="B65" s="501">
        <v>8</v>
      </c>
      <c r="C65" s="738">
        <v>5</v>
      </c>
      <c r="D65" s="739">
        <v>13</v>
      </c>
      <c r="E65" s="484">
        <f>LOOKUP(C65,'2Ф КРУГ'!A:A,'2Ф КРУГ'!B:B)</f>
        <v>0</v>
      </c>
      <c r="F65" s="922" t="e">
        <f>IF(E65="","",VLOOKUP(E65,'Списки участников'!A:K,3,FALSE))</f>
        <v>#N/A</v>
      </c>
      <c r="G65" s="485">
        <f>LOOKUP(D65,'2Ф КРУГ'!A:A,'2Ф КРУГ'!B:B)</f>
        <v>0</v>
      </c>
      <c r="H65" s="922" t="e">
        <f>IF(G65="","",VLOOKUP(G65,'Списки участников'!A:K,3,FALSE))</f>
        <v>#N/A</v>
      </c>
    </row>
    <row r="66" spans="1:8" ht="15.75" x14ac:dyDescent="0.25">
      <c r="A66" s="486">
        <v>62</v>
      </c>
      <c r="B66" s="496">
        <v>8</v>
      </c>
      <c r="C66" s="738">
        <v>4</v>
      </c>
      <c r="D66" s="739">
        <v>14</v>
      </c>
      <c r="E66" s="484">
        <f>LOOKUP(C66,'2Ф КРУГ'!A:A,'2Ф КРУГ'!B:B)</f>
        <v>0</v>
      </c>
      <c r="F66" s="922" t="e">
        <f>IF(E66="","",VLOOKUP(E66,'Списки участников'!A:K,3,FALSE))</f>
        <v>#N/A</v>
      </c>
      <c r="G66" s="485">
        <f>LOOKUP(D66,'2Ф КРУГ'!A:A,'2Ф КРУГ'!B:B)</f>
        <v>0</v>
      </c>
      <c r="H66" s="922" t="e">
        <f>IF(G66="","",VLOOKUP(G66,'Списки участников'!A:K,3,FALSE))</f>
        <v>#N/A</v>
      </c>
    </row>
    <row r="67" spans="1:8" ht="15.75" x14ac:dyDescent="0.25">
      <c r="A67" s="486">
        <v>63</v>
      </c>
      <c r="B67" s="496">
        <v>8</v>
      </c>
      <c r="C67" s="738">
        <v>3</v>
      </c>
      <c r="D67" s="739">
        <v>15</v>
      </c>
      <c r="E67" s="484">
        <f>LOOKUP(C67,'2Ф КРУГ'!A:A,'2Ф КРУГ'!B:B)</f>
        <v>0</v>
      </c>
      <c r="F67" s="922" t="e">
        <f>IF(E67="","",VLOOKUP(E67,'Списки участников'!A:K,3,FALSE))</f>
        <v>#N/A</v>
      </c>
      <c r="G67" s="485">
        <f>LOOKUP(D67,'2Ф КРУГ'!A:A,'2Ф КРУГ'!B:B)</f>
        <v>0</v>
      </c>
      <c r="H67" s="922" t="e">
        <f>IF(G67="","",VLOOKUP(G67,'Списки участников'!A:K,3,FALSE))</f>
        <v>#N/A</v>
      </c>
    </row>
    <row r="68" spans="1:8" ht="16.5" thickBot="1" x14ac:dyDescent="0.3">
      <c r="A68" s="486">
        <v>64</v>
      </c>
      <c r="B68" s="500">
        <v>8</v>
      </c>
      <c r="C68" s="740">
        <v>2</v>
      </c>
      <c r="D68" s="741">
        <v>16</v>
      </c>
      <c r="E68" s="484">
        <f>LOOKUP(C68,'2Ф КРУГ'!A:A,'2Ф КРУГ'!B:B)</f>
        <v>0</v>
      </c>
      <c r="F68" s="701" t="e">
        <f>IF(E68="","",VLOOKUP(E68,'Списки участников'!A:K,3,FALSE))</f>
        <v>#N/A</v>
      </c>
      <c r="G68" s="494">
        <f>LOOKUP(D68,'2Ф КРУГ'!A:A,'2Ф КРУГ'!B:B)</f>
        <v>0</v>
      </c>
      <c r="H68" s="701" t="e">
        <f>IF(G68="","",VLOOKUP(G68,'Списки участников'!A:K,3,FALSE))</f>
        <v>#N/A</v>
      </c>
    </row>
  </sheetData>
  <mergeCells count="13">
    <mergeCell ref="K3:L4"/>
    <mergeCell ref="N3:N4"/>
    <mergeCell ref="P3:P4"/>
    <mergeCell ref="A1:P1"/>
    <mergeCell ref="I2:L2"/>
    <mergeCell ref="A3:A4"/>
    <mergeCell ref="B3:B4"/>
    <mergeCell ref="C3:D4"/>
    <mergeCell ref="E3:E4"/>
    <mergeCell ref="F3:F4"/>
    <mergeCell ref="H3:H4"/>
    <mergeCell ref="I3:I4"/>
    <mergeCell ref="J3:J4"/>
  </mergeCells>
  <pageMargins left="0.31496062992125984" right="0.31496062992125984" top="0.35433070866141736" bottom="0.35433070866141736" header="0.31496062992125984" footer="0.31496062992125984"/>
  <pageSetup paperSize="9" scale="68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68"/>
  <sheetViews>
    <sheetView view="pageBreakPreview" zoomScale="90" zoomScaleNormal="100" zoomScaleSheetLayoutView="90" workbookViewId="0">
      <selection activeCell="E3" sqref="E3:E4"/>
    </sheetView>
  </sheetViews>
  <sheetFormatPr defaultRowHeight="12.75" outlineLevelCol="1" x14ac:dyDescent="0.2"/>
  <cols>
    <col min="1" max="1" width="6.6640625" customWidth="1"/>
    <col min="2" max="2" width="4.5" customWidth="1"/>
    <col min="3" max="4" width="5" customWidth="1"/>
    <col min="5" max="5" width="8" customWidth="1" outlineLevel="1"/>
    <col min="6" max="6" width="29.1640625" customWidth="1"/>
    <col min="7" max="7" width="9.33203125" customWidth="1" outlineLevel="1"/>
    <col min="8" max="8" width="29.1640625" customWidth="1"/>
    <col min="9" max="9" width="6.6640625" customWidth="1"/>
    <col min="10" max="10" width="4.83203125" customWidth="1"/>
    <col min="11" max="12" width="5" customWidth="1"/>
    <col min="13" max="13" width="9.33203125" customWidth="1" outlineLevel="1"/>
    <col min="14" max="14" width="29.1640625" customWidth="1"/>
    <col min="15" max="15" width="9.33203125" customWidth="1" outlineLevel="1"/>
    <col min="16" max="16" width="29.1640625" customWidth="1"/>
  </cols>
  <sheetData>
    <row r="1" spans="1:20" ht="21.75" customHeight="1" x14ac:dyDescent="0.3">
      <c r="A1" s="1310" t="str">
        <f>'Списки участников'!A1</f>
        <v xml:space="preserve">X Спартакиада
среди предприятий Нижегородской области ФСК "Профсоюзов",
под девизом "Будь спортивным - будь успешным!"
</v>
      </c>
      <c r="B1" s="1310"/>
      <c r="C1" s="1310"/>
      <c r="D1" s="1310"/>
      <c r="E1" s="1310"/>
      <c r="F1" s="1310"/>
      <c r="G1" s="1310"/>
      <c r="H1" s="1310"/>
      <c r="I1" s="1310"/>
      <c r="J1" s="1310"/>
      <c r="K1" s="1310"/>
      <c r="L1" s="1310"/>
      <c r="M1" s="1310"/>
      <c r="N1" s="1310"/>
      <c r="O1" s="1310"/>
      <c r="P1" s="1310"/>
    </row>
    <row r="2" spans="1:20" ht="16.5" thickBot="1" x14ac:dyDescent="0.3">
      <c r="A2" s="686" t="str">
        <f>'Списки участников'!C3</f>
        <v>22 октября 2016 г.</v>
      </c>
      <c r="B2" s="686"/>
      <c r="C2" s="686"/>
      <c r="D2" s="686"/>
      <c r="E2" s="685" t="s">
        <v>2686</v>
      </c>
      <c r="F2" s="685"/>
      <c r="G2" s="685"/>
      <c r="H2" s="794" t="s">
        <v>1055</v>
      </c>
      <c r="I2" s="1331">
        <f>'Списки участников'!D6</f>
        <v>0</v>
      </c>
      <c r="J2" s="1332"/>
      <c r="K2" s="1332"/>
      <c r="L2" s="1332"/>
      <c r="M2" s="685"/>
      <c r="N2" s="685"/>
      <c r="P2" s="684">
        <f>'Списки участников'!H3</f>
        <v>0</v>
      </c>
    </row>
    <row r="3" spans="1:20" ht="16.5" customHeight="1" x14ac:dyDescent="0.25">
      <c r="A3" s="1311" t="s">
        <v>1040</v>
      </c>
      <c r="B3" s="1313" t="s">
        <v>964</v>
      </c>
      <c r="C3" s="1327" t="s">
        <v>3</v>
      </c>
      <c r="D3" s="1328"/>
      <c r="E3" s="1315"/>
      <c r="F3" s="1317" t="s">
        <v>4</v>
      </c>
      <c r="G3" s="680"/>
      <c r="H3" s="1319" t="s">
        <v>4</v>
      </c>
      <c r="I3" s="1321" t="s">
        <v>1040</v>
      </c>
      <c r="J3" s="1323" t="s">
        <v>964</v>
      </c>
      <c r="K3" s="1333" t="s">
        <v>3</v>
      </c>
      <c r="L3" s="1334"/>
      <c r="M3" s="728"/>
      <c r="N3" s="1325" t="s">
        <v>4</v>
      </c>
      <c r="O3" s="681"/>
      <c r="P3" s="1308" t="s">
        <v>4</v>
      </c>
      <c r="R3" s="109"/>
      <c r="S3" s="109"/>
      <c r="T3" s="109"/>
    </row>
    <row r="4" spans="1:20" ht="16.5" thickBot="1" x14ac:dyDescent="0.3">
      <c r="A4" s="1312"/>
      <c r="B4" s="1314"/>
      <c r="C4" s="1329"/>
      <c r="D4" s="1330"/>
      <c r="E4" s="1316"/>
      <c r="F4" s="1318"/>
      <c r="G4" s="682"/>
      <c r="H4" s="1320"/>
      <c r="I4" s="1322"/>
      <c r="J4" s="1324"/>
      <c r="K4" s="1335"/>
      <c r="L4" s="1336"/>
      <c r="M4" s="729"/>
      <c r="N4" s="1326"/>
      <c r="O4" s="683"/>
      <c r="P4" s="1309"/>
      <c r="R4" s="109"/>
      <c r="S4" s="109"/>
      <c r="T4" s="109"/>
    </row>
    <row r="5" spans="1:20" ht="15.75" x14ac:dyDescent="0.25">
      <c r="A5" s="915">
        <v>1</v>
      </c>
      <c r="B5" s="482">
        <v>1</v>
      </c>
      <c r="C5" s="738">
        <v>1</v>
      </c>
      <c r="D5" s="739">
        <v>16</v>
      </c>
      <c r="E5" s="484">
        <f>LOOKUP(C5,'3Ф КРУГ'!A:A,'3Ф КРУГ'!B:B)</f>
        <v>0</v>
      </c>
      <c r="F5" s="922" t="e">
        <f>IF(E5="","",VLOOKUP(E5,'Списки участников'!A:K,3,FALSE))</f>
        <v>#N/A</v>
      </c>
      <c r="G5" s="485">
        <f>LOOKUP(D5,'3Ф КРУГ'!A:A,'3Ф КРУГ'!B:B)</f>
        <v>0</v>
      </c>
      <c r="H5" s="922" t="e">
        <f>IF(G5="","",VLOOKUP(G5,'Списки участников'!A:K,3,FALSE))</f>
        <v>#N/A</v>
      </c>
      <c r="I5" s="915">
        <v>65</v>
      </c>
      <c r="J5" s="496">
        <v>9</v>
      </c>
      <c r="K5" s="743">
        <v>1</v>
      </c>
      <c r="L5" s="743">
        <v>8</v>
      </c>
      <c r="M5" s="485">
        <f>LOOKUP(K5,'3Ф КРУГ'!A:A,'3Ф КРУГ'!B:B)</f>
        <v>0</v>
      </c>
      <c r="N5" s="922" t="e">
        <f>IF(M5="","",VLOOKUP(M5,'Списки участников'!A:K,3,FALSE))</f>
        <v>#N/A</v>
      </c>
      <c r="O5" s="485">
        <f>LOOKUP(L5,'3Ф КРУГ'!A:A,'3Ф КРУГ'!B:B)</f>
        <v>0</v>
      </c>
      <c r="P5" s="922" t="e">
        <f>IF(O5="","",VLOOKUP(O5,'Списки участников'!A:K,3,FALSE))</f>
        <v>#N/A</v>
      </c>
      <c r="Q5" s="749">
        <v>1</v>
      </c>
      <c r="R5" s="749">
        <v>1</v>
      </c>
      <c r="S5" s="109"/>
      <c r="T5" s="109"/>
    </row>
    <row r="6" spans="1:20" ht="15.75" x14ac:dyDescent="0.25">
      <c r="A6" s="486">
        <v>2</v>
      </c>
      <c r="B6" s="487">
        <v>1</v>
      </c>
      <c r="C6" s="738">
        <v>2</v>
      </c>
      <c r="D6" s="739">
        <v>15</v>
      </c>
      <c r="E6" s="484">
        <f>LOOKUP(C6,'3Ф КРУГ'!A:A,'3Ф КРУГ'!B:B)</f>
        <v>0</v>
      </c>
      <c r="F6" s="922" t="e">
        <f>IF(E6="","",VLOOKUP(E6,'Списки участников'!A:K,3,FALSE))</f>
        <v>#N/A</v>
      </c>
      <c r="G6" s="485">
        <f>LOOKUP(D6,'3Ф КРУГ'!A:A,'3Ф КРУГ'!B:B)</f>
        <v>0</v>
      </c>
      <c r="H6" s="922" t="e">
        <f>IF(G6="","",VLOOKUP(G6,'Списки участников'!A:K,3,FALSE))</f>
        <v>#N/A</v>
      </c>
      <c r="I6" s="486">
        <v>66</v>
      </c>
      <c r="J6" s="496">
        <v>9</v>
      </c>
      <c r="K6" s="739">
        <v>7</v>
      </c>
      <c r="L6" s="739">
        <v>9</v>
      </c>
      <c r="M6" s="485">
        <f>LOOKUP(K6,'3Ф КРУГ'!A:A,'3Ф КРУГ'!B:B)</f>
        <v>0</v>
      </c>
      <c r="N6" s="922" t="e">
        <f>IF(M6="","",VLOOKUP(M6,'Списки участников'!A:K,3,FALSE))</f>
        <v>#N/A</v>
      </c>
      <c r="O6" s="485">
        <f>LOOKUP(L6,'3Ф КРУГ'!A:A,'3Ф КРУГ'!B:B)</f>
        <v>0</v>
      </c>
      <c r="P6" s="922" t="e">
        <f>IF(O6="","",VLOOKUP(O6,'Списки участников'!A:K,3,FALSE))</f>
        <v>#N/A</v>
      </c>
      <c r="Q6" s="749">
        <v>2</v>
      </c>
      <c r="R6" s="749">
        <v>9</v>
      </c>
      <c r="S6" s="109"/>
      <c r="T6" s="109"/>
    </row>
    <row r="7" spans="1:20" ht="15.75" x14ac:dyDescent="0.25">
      <c r="A7" s="486">
        <v>3</v>
      </c>
      <c r="B7" s="487">
        <v>1</v>
      </c>
      <c r="C7" s="738">
        <v>3</v>
      </c>
      <c r="D7" s="739">
        <v>14</v>
      </c>
      <c r="E7" s="484">
        <f>LOOKUP(C7,'3Ф КРУГ'!A:A,'3Ф КРУГ'!B:B)</f>
        <v>0</v>
      </c>
      <c r="F7" s="922" t="e">
        <f>IF(E7="","",VLOOKUP(E7,'Списки участников'!A:K,3,FALSE))</f>
        <v>#N/A</v>
      </c>
      <c r="G7" s="485">
        <f>LOOKUP(D7,'3Ф КРУГ'!A:A,'3Ф КРУГ'!B:B)</f>
        <v>0</v>
      </c>
      <c r="H7" s="922" t="e">
        <f>IF(G7="","",VLOOKUP(G7,'Списки участников'!A:K,3,FALSE))</f>
        <v>#N/A</v>
      </c>
      <c r="I7" s="486">
        <v>67</v>
      </c>
      <c r="J7" s="496">
        <v>9</v>
      </c>
      <c r="K7" s="739">
        <v>6</v>
      </c>
      <c r="L7" s="739">
        <v>10</v>
      </c>
      <c r="M7" s="485">
        <f>LOOKUP(K7,'3Ф КРУГ'!A:A,'3Ф КРУГ'!B:B)</f>
        <v>0</v>
      </c>
      <c r="N7" s="922" t="e">
        <f>IF(M7="","",VLOOKUP(M7,'Списки участников'!A:K,3,FALSE))</f>
        <v>#N/A</v>
      </c>
      <c r="O7" s="485">
        <f>LOOKUP(L7,'3Ф КРУГ'!A:A,'3Ф КРУГ'!B:B)</f>
        <v>0</v>
      </c>
      <c r="P7" s="922" t="e">
        <f>IF(O7="","",VLOOKUP(O7,'Списки участников'!A:K,3,FALSE))</f>
        <v>#N/A</v>
      </c>
      <c r="Q7" s="749">
        <v>3</v>
      </c>
      <c r="R7" s="749">
        <v>17</v>
      </c>
      <c r="S7" s="109"/>
      <c r="T7" s="109"/>
    </row>
    <row r="8" spans="1:20" ht="15.75" x14ac:dyDescent="0.25">
      <c r="A8" s="486">
        <v>4</v>
      </c>
      <c r="B8" s="487">
        <v>1</v>
      </c>
      <c r="C8" s="738">
        <v>4</v>
      </c>
      <c r="D8" s="739">
        <v>13</v>
      </c>
      <c r="E8" s="484">
        <f>LOOKUP(C8,'3Ф КРУГ'!A:A,'3Ф КРУГ'!B:B)</f>
        <v>0</v>
      </c>
      <c r="F8" s="922" t="e">
        <f>IF(E8="","",VLOOKUP(E8,'Списки участников'!A:K,3,FALSE))</f>
        <v>#N/A</v>
      </c>
      <c r="G8" s="485">
        <f>LOOKUP(D8,'3Ф КРУГ'!A:A,'3Ф КРУГ'!B:B)</f>
        <v>0</v>
      </c>
      <c r="H8" s="922" t="e">
        <f>IF(G8="","",VLOOKUP(G8,'Списки участников'!A:K,3,FALSE))</f>
        <v>#N/A</v>
      </c>
      <c r="I8" s="486">
        <v>68</v>
      </c>
      <c r="J8" s="496">
        <v>9</v>
      </c>
      <c r="K8" s="739">
        <v>5</v>
      </c>
      <c r="L8" s="739">
        <v>11</v>
      </c>
      <c r="M8" s="485">
        <f>LOOKUP(K8,'3Ф КРУГ'!A:A,'3Ф КРУГ'!B:B)</f>
        <v>0</v>
      </c>
      <c r="N8" s="922" t="e">
        <f>IF(M8="","",VLOOKUP(M8,'Списки участников'!A:K,3,FALSE))</f>
        <v>#N/A</v>
      </c>
      <c r="O8" s="485">
        <f>LOOKUP(L8,'3Ф КРУГ'!A:A,'3Ф КРУГ'!B:B)</f>
        <v>0</v>
      </c>
      <c r="P8" s="922" t="e">
        <f>IF(O8="","",VLOOKUP(O8,'Списки участников'!A:K,3,FALSE))</f>
        <v>#N/A</v>
      </c>
      <c r="Q8" s="749">
        <v>4</v>
      </c>
      <c r="R8" s="749">
        <v>25</v>
      </c>
      <c r="S8" s="109"/>
      <c r="T8" s="109"/>
    </row>
    <row r="9" spans="1:20" ht="15.75" x14ac:dyDescent="0.25">
      <c r="A9" s="486">
        <v>5</v>
      </c>
      <c r="B9" s="489">
        <v>1</v>
      </c>
      <c r="C9" s="738">
        <v>5</v>
      </c>
      <c r="D9" s="739">
        <v>12</v>
      </c>
      <c r="E9" s="484">
        <f>LOOKUP(C9,'3Ф КРУГ'!A:A,'3Ф КРУГ'!B:B)</f>
        <v>0</v>
      </c>
      <c r="F9" s="922" t="e">
        <f>IF(E9="","",VLOOKUP(E9,'Списки участников'!A:K,3,FALSE))</f>
        <v>#N/A</v>
      </c>
      <c r="G9" s="485">
        <f>LOOKUP(D9,'3Ф КРУГ'!A:A,'3Ф КРУГ'!B:B)</f>
        <v>0</v>
      </c>
      <c r="H9" s="922" t="e">
        <f>IF(G9="","",VLOOKUP(G9,'Списки участников'!A:K,3,FALSE))</f>
        <v>#N/A</v>
      </c>
      <c r="I9" s="486">
        <v>69</v>
      </c>
      <c r="J9" s="501">
        <v>9</v>
      </c>
      <c r="K9" s="739">
        <v>4</v>
      </c>
      <c r="L9" s="739">
        <v>12</v>
      </c>
      <c r="M9" s="485">
        <f>LOOKUP(K9,'3Ф КРУГ'!A:A,'3Ф КРУГ'!B:B)</f>
        <v>0</v>
      </c>
      <c r="N9" s="922" t="e">
        <f>IF(M9="","",VLOOKUP(M9,'Списки участников'!A:K,3,FALSE))</f>
        <v>#N/A</v>
      </c>
      <c r="O9" s="485">
        <f>LOOKUP(L9,'3Ф КРУГ'!A:A,'3Ф КРУГ'!B:B)</f>
        <v>0</v>
      </c>
      <c r="P9" s="922" t="e">
        <f>IF(O9="","",VLOOKUP(O9,'Списки участников'!A:K,3,FALSE))</f>
        <v>#N/A</v>
      </c>
      <c r="Q9" s="749">
        <v>5</v>
      </c>
      <c r="R9" s="749">
        <v>33</v>
      </c>
      <c r="S9" s="109"/>
      <c r="T9" s="109"/>
    </row>
    <row r="10" spans="1:20" ht="15.75" x14ac:dyDescent="0.25">
      <c r="A10" s="486">
        <v>6</v>
      </c>
      <c r="B10" s="487">
        <v>1</v>
      </c>
      <c r="C10" s="738">
        <v>6</v>
      </c>
      <c r="D10" s="739">
        <v>11</v>
      </c>
      <c r="E10" s="484">
        <f>LOOKUP(C10,'3Ф КРУГ'!A:A,'3Ф КРУГ'!B:B)</f>
        <v>0</v>
      </c>
      <c r="F10" s="922" t="e">
        <f>IF(E10="","",VLOOKUP(E10,'Списки участников'!A:K,3,FALSE))</f>
        <v>#N/A</v>
      </c>
      <c r="G10" s="485">
        <f>LOOKUP(D10,'3Ф КРУГ'!A:A,'3Ф КРУГ'!B:B)</f>
        <v>0</v>
      </c>
      <c r="H10" s="922" t="e">
        <f>IF(G10="","",VLOOKUP(G10,'Списки участников'!A:K,3,FALSE))</f>
        <v>#N/A</v>
      </c>
      <c r="I10" s="486">
        <v>70</v>
      </c>
      <c r="J10" s="496">
        <v>9</v>
      </c>
      <c r="K10" s="739">
        <v>3</v>
      </c>
      <c r="L10" s="739">
        <v>13</v>
      </c>
      <c r="M10" s="485">
        <f>LOOKUP(K10,'3Ф КРУГ'!A:A,'3Ф КРУГ'!B:B)</f>
        <v>0</v>
      </c>
      <c r="N10" s="922" t="e">
        <f>IF(M10="","",VLOOKUP(M10,'Списки участников'!A:K,3,FALSE))</f>
        <v>#N/A</v>
      </c>
      <c r="O10" s="485">
        <f>LOOKUP(L10,'3Ф КРУГ'!A:A,'3Ф КРУГ'!B:B)</f>
        <v>0</v>
      </c>
      <c r="P10" s="922" t="e">
        <f>IF(O10="","",VLOOKUP(O10,'Списки участников'!A:K,3,FALSE))</f>
        <v>#N/A</v>
      </c>
      <c r="Q10" s="749">
        <v>6</v>
      </c>
      <c r="R10" s="749">
        <v>41</v>
      </c>
      <c r="S10" s="109"/>
      <c r="T10" s="109"/>
    </row>
    <row r="11" spans="1:20" ht="15.75" x14ac:dyDescent="0.25">
      <c r="A11" s="486">
        <v>7</v>
      </c>
      <c r="B11" s="487">
        <v>1</v>
      </c>
      <c r="C11" s="738">
        <v>7</v>
      </c>
      <c r="D11" s="739">
        <v>10</v>
      </c>
      <c r="E11" s="484">
        <f>LOOKUP(C11,'3Ф КРУГ'!A:A,'3Ф КРУГ'!B:B)</f>
        <v>0</v>
      </c>
      <c r="F11" s="922" t="e">
        <f>IF(E11="","",VLOOKUP(E11,'Списки участников'!A:K,3,FALSE))</f>
        <v>#N/A</v>
      </c>
      <c r="G11" s="485">
        <f>LOOKUP(D11,'3Ф КРУГ'!A:A,'3Ф КРУГ'!B:B)</f>
        <v>0</v>
      </c>
      <c r="H11" s="922" t="e">
        <f>IF(G11="","",VLOOKUP(G11,'Списки участников'!A:K,3,FALSE))</f>
        <v>#N/A</v>
      </c>
      <c r="I11" s="486">
        <v>71</v>
      </c>
      <c r="J11" s="496">
        <v>9</v>
      </c>
      <c r="K11" s="739">
        <v>2</v>
      </c>
      <c r="L11" s="739">
        <v>14</v>
      </c>
      <c r="M11" s="485">
        <f>LOOKUP(K11,'3Ф КРУГ'!A:A,'3Ф КРУГ'!B:B)</f>
        <v>0</v>
      </c>
      <c r="N11" s="922" t="e">
        <f>IF(M11="","",VLOOKUP(M11,'Списки участников'!A:K,3,FALSE))</f>
        <v>#N/A</v>
      </c>
      <c r="O11" s="485">
        <f>LOOKUP(L11,'3Ф КРУГ'!A:A,'3Ф КРУГ'!B:B)</f>
        <v>0</v>
      </c>
      <c r="P11" s="922" t="e">
        <f>IF(O11="","",VLOOKUP(O11,'Списки участников'!A:K,3,FALSE))</f>
        <v>#N/A</v>
      </c>
      <c r="Q11" s="749">
        <v>7</v>
      </c>
      <c r="R11" s="749">
        <v>49</v>
      </c>
      <c r="S11" s="109"/>
      <c r="T11" s="109"/>
    </row>
    <row r="12" spans="1:20" ht="16.5" thickBot="1" x14ac:dyDescent="0.3">
      <c r="A12" s="486">
        <v>8</v>
      </c>
      <c r="B12" s="492">
        <v>1</v>
      </c>
      <c r="C12" s="740">
        <v>8</v>
      </c>
      <c r="D12" s="741">
        <v>9</v>
      </c>
      <c r="E12" s="484">
        <f>LOOKUP(C12,'3Ф КРУГ'!A:A,'3Ф КРУГ'!B:B)</f>
        <v>0</v>
      </c>
      <c r="F12" s="730" t="e">
        <f>IF(E12="","",VLOOKUP(E12,'Списки участников'!A:K,3,FALSE))</f>
        <v>#N/A</v>
      </c>
      <c r="G12" s="731">
        <f>LOOKUP(D12,'3Ф КРУГ'!A:A,'3Ф КРУГ'!B:B)</f>
        <v>0</v>
      </c>
      <c r="H12" s="730" t="e">
        <f>IF(G12="","",VLOOKUP(G12,'Списки участников'!A:K,3,FALSE))</f>
        <v>#N/A</v>
      </c>
      <c r="I12" s="702">
        <v>72</v>
      </c>
      <c r="J12" s="500">
        <v>9</v>
      </c>
      <c r="K12" s="741">
        <v>15</v>
      </c>
      <c r="L12" s="741">
        <v>16</v>
      </c>
      <c r="M12" s="731">
        <f>LOOKUP(K12,'3Ф КРУГ'!A:A,'3Ф КРУГ'!B:B)</f>
        <v>0</v>
      </c>
      <c r="N12" s="730" t="e">
        <f>IF(M12="","",VLOOKUP(M12,'Списки участников'!A:K,3,FALSE))</f>
        <v>#N/A</v>
      </c>
      <c r="O12" s="731">
        <f>LOOKUP(L12,'3Ф КРУГ'!A:A,'3Ф КРУГ'!B:B)</f>
        <v>0</v>
      </c>
      <c r="P12" s="730" t="e">
        <f>IF(O12="","",VLOOKUP(O12,'Списки участников'!A:K,3,FALSE))</f>
        <v>#N/A</v>
      </c>
      <c r="Q12" s="749">
        <v>8</v>
      </c>
      <c r="R12" s="749">
        <v>57</v>
      </c>
    </row>
    <row r="13" spans="1:20" ht="17.25" x14ac:dyDescent="0.25">
      <c r="A13" s="486">
        <v>9</v>
      </c>
      <c r="B13" s="487">
        <v>2</v>
      </c>
      <c r="C13" s="742">
        <v>1</v>
      </c>
      <c r="D13" s="743">
        <v>15</v>
      </c>
      <c r="E13" s="484">
        <f>LOOKUP(C13,'3Ф КРУГ'!A:A,'3Ф КРУГ'!B:B)</f>
        <v>0</v>
      </c>
      <c r="F13" s="922" t="e">
        <f>IF(E13="","",VLOOKUP(E13,'Списки участников'!A:K,3,FALSE))</f>
        <v>#N/A</v>
      </c>
      <c r="G13" s="485">
        <f>LOOKUP(D13,'3Ф КРУГ'!A:A,'3Ф КРУГ'!B:B)</f>
        <v>0</v>
      </c>
      <c r="H13" s="922" t="e">
        <f>IF(G13="","",VLOOKUP(G13,'Списки участников'!A:K,3,FALSE))</f>
        <v>#N/A</v>
      </c>
      <c r="I13" s="915">
        <v>73</v>
      </c>
      <c r="J13" s="496">
        <v>10</v>
      </c>
      <c r="K13" s="743">
        <v>1</v>
      </c>
      <c r="L13" s="743">
        <v>7</v>
      </c>
      <c r="M13" s="485">
        <f>LOOKUP(K13,'3Ф КРУГ'!A:A,'3Ф КРУГ'!B:B)</f>
        <v>0</v>
      </c>
      <c r="N13" s="922" t="e">
        <f>IF(M13="","",VLOOKUP(M13,'Списки участников'!A:K,3,FALSE))</f>
        <v>#N/A</v>
      </c>
      <c r="O13" s="485">
        <f>LOOKUP(L13,'3Ф КРУГ'!A:A,'3Ф КРУГ'!B:B)</f>
        <v>0</v>
      </c>
      <c r="P13" s="922" t="e">
        <f>IF(O13="","",VLOOKUP(O13,'Списки участников'!A:K,3,FALSE))</f>
        <v>#N/A</v>
      </c>
      <c r="Q13" s="749">
        <v>9</v>
      </c>
      <c r="R13" s="749">
        <v>65</v>
      </c>
    </row>
    <row r="14" spans="1:20" ht="17.25" x14ac:dyDescent="0.25">
      <c r="A14" s="486">
        <v>10</v>
      </c>
      <c r="B14" s="487">
        <v>2</v>
      </c>
      <c r="C14" s="738">
        <v>14</v>
      </c>
      <c r="D14" s="739">
        <v>16</v>
      </c>
      <c r="E14" s="484">
        <f>LOOKUP(C14,'3Ф КРУГ'!A:A,'3Ф КРУГ'!B:B)</f>
        <v>0</v>
      </c>
      <c r="F14" s="922" t="e">
        <f>IF(E14="","",VLOOKUP(E14,'Списки участников'!A:K,3,FALSE))</f>
        <v>#N/A</v>
      </c>
      <c r="G14" s="485">
        <f>LOOKUP(D14,'3Ф КРУГ'!A:A,'3Ф КРУГ'!B:B)</f>
        <v>0</v>
      </c>
      <c r="H14" s="922" t="e">
        <f>IF(G14="","",VLOOKUP(G14,'Списки участников'!A:K,3,FALSE))</f>
        <v>#N/A</v>
      </c>
      <c r="I14" s="486">
        <v>74</v>
      </c>
      <c r="J14" s="496">
        <v>10</v>
      </c>
      <c r="K14" s="739">
        <v>6</v>
      </c>
      <c r="L14" s="743">
        <v>8</v>
      </c>
      <c r="M14" s="485">
        <f>LOOKUP(K14,'3Ф КРУГ'!A:A,'3Ф КРУГ'!B:B)</f>
        <v>0</v>
      </c>
      <c r="N14" s="922" t="e">
        <f>IF(M14="","",VLOOKUP(M14,'Списки участников'!A:K,3,FALSE))</f>
        <v>#N/A</v>
      </c>
      <c r="O14" s="485">
        <f>LOOKUP(L14,'3Ф КРУГ'!A:A,'3Ф КРУГ'!B:B)</f>
        <v>0</v>
      </c>
      <c r="P14" s="922" t="e">
        <f>IF(O14="","",VLOOKUP(O14,'Списки участников'!A:K,3,FALSE))</f>
        <v>#N/A</v>
      </c>
      <c r="Q14" s="749">
        <v>10</v>
      </c>
      <c r="R14" s="749">
        <v>73</v>
      </c>
    </row>
    <row r="15" spans="1:20" ht="17.25" x14ac:dyDescent="0.25">
      <c r="A15" s="486">
        <v>11</v>
      </c>
      <c r="B15" s="487">
        <v>2</v>
      </c>
      <c r="C15" s="738">
        <v>2</v>
      </c>
      <c r="D15" s="739">
        <v>13</v>
      </c>
      <c r="E15" s="484">
        <f>LOOKUP(C15,'3Ф КРУГ'!A:A,'3Ф КРУГ'!B:B)</f>
        <v>0</v>
      </c>
      <c r="F15" s="922" t="e">
        <f>IF(E15="","",VLOOKUP(E15,'Списки участников'!A:K,3,FALSE))</f>
        <v>#N/A</v>
      </c>
      <c r="G15" s="485">
        <f>LOOKUP(D15,'3Ф КРУГ'!A:A,'3Ф КРУГ'!B:B)</f>
        <v>0</v>
      </c>
      <c r="H15" s="922" t="e">
        <f>IF(G15="","",VLOOKUP(G15,'Списки участников'!A:K,3,FALSE))</f>
        <v>#N/A</v>
      </c>
      <c r="I15" s="486">
        <v>75</v>
      </c>
      <c r="J15" s="496">
        <v>10</v>
      </c>
      <c r="K15" s="739">
        <v>5</v>
      </c>
      <c r="L15" s="743">
        <v>9</v>
      </c>
      <c r="M15" s="485">
        <f>LOOKUP(K15,'3Ф КРУГ'!A:A,'3Ф КРУГ'!B:B)</f>
        <v>0</v>
      </c>
      <c r="N15" s="922" t="e">
        <f>IF(M15="","",VLOOKUP(M15,'Списки участников'!A:K,3,FALSE))</f>
        <v>#N/A</v>
      </c>
      <c r="O15" s="485">
        <f>LOOKUP(L15,'3Ф КРУГ'!A:A,'3Ф КРУГ'!B:B)</f>
        <v>0</v>
      </c>
      <c r="P15" s="922" t="e">
        <f>IF(O15="","",VLOOKUP(O15,'Списки участников'!A:K,3,FALSE))</f>
        <v>#N/A</v>
      </c>
      <c r="Q15" s="749">
        <v>11</v>
      </c>
      <c r="R15" s="749">
        <v>81</v>
      </c>
    </row>
    <row r="16" spans="1:20" ht="17.25" x14ac:dyDescent="0.25">
      <c r="A16" s="486">
        <v>12</v>
      </c>
      <c r="B16" s="487">
        <v>2</v>
      </c>
      <c r="C16" s="738">
        <v>3</v>
      </c>
      <c r="D16" s="739">
        <v>12</v>
      </c>
      <c r="E16" s="484">
        <f>LOOKUP(C16,'3Ф КРУГ'!A:A,'3Ф КРУГ'!B:B)</f>
        <v>0</v>
      </c>
      <c r="F16" s="922" t="e">
        <f>IF(E16="","",VLOOKUP(E16,'Списки участников'!A:K,3,FALSE))</f>
        <v>#N/A</v>
      </c>
      <c r="G16" s="485">
        <f>LOOKUP(D16,'3Ф КРУГ'!A:A,'3Ф КРУГ'!B:B)</f>
        <v>0</v>
      </c>
      <c r="H16" s="922" t="e">
        <f>IF(G16="","",VLOOKUP(G16,'Списки участников'!A:K,3,FALSE))</f>
        <v>#N/A</v>
      </c>
      <c r="I16" s="486">
        <v>76</v>
      </c>
      <c r="J16" s="496">
        <v>10</v>
      </c>
      <c r="K16" s="739">
        <v>4</v>
      </c>
      <c r="L16" s="743">
        <v>10</v>
      </c>
      <c r="M16" s="485">
        <f>LOOKUP(K16,'3Ф КРУГ'!A:A,'3Ф КРУГ'!B:B)</f>
        <v>0</v>
      </c>
      <c r="N16" s="922" t="e">
        <f>IF(M16="","",VLOOKUP(M16,'Списки участников'!A:K,3,FALSE))</f>
        <v>#N/A</v>
      </c>
      <c r="O16" s="485">
        <f>LOOKUP(L16,'3Ф КРУГ'!A:A,'3Ф КРУГ'!B:B)</f>
        <v>0</v>
      </c>
      <c r="P16" s="922" t="e">
        <f>IF(O16="","",VLOOKUP(O16,'Списки участников'!A:K,3,FALSE))</f>
        <v>#N/A</v>
      </c>
      <c r="Q16" s="749">
        <v>12</v>
      </c>
      <c r="R16" s="749">
        <v>89</v>
      </c>
    </row>
    <row r="17" spans="1:18" ht="17.25" x14ac:dyDescent="0.25">
      <c r="A17" s="486">
        <v>13</v>
      </c>
      <c r="B17" s="489">
        <v>2</v>
      </c>
      <c r="C17" s="738">
        <v>4</v>
      </c>
      <c r="D17" s="739">
        <v>11</v>
      </c>
      <c r="E17" s="484">
        <f>LOOKUP(C17,'3Ф КРУГ'!A:A,'3Ф КРУГ'!B:B)</f>
        <v>0</v>
      </c>
      <c r="F17" s="922" t="e">
        <f>IF(E17="","",VLOOKUP(E17,'Списки участников'!A:K,3,FALSE))</f>
        <v>#N/A</v>
      </c>
      <c r="G17" s="485">
        <f>LOOKUP(D17,'3Ф КРУГ'!A:A,'3Ф КРУГ'!B:B)</f>
        <v>0</v>
      </c>
      <c r="H17" s="922" t="e">
        <f>IF(G17="","",VLOOKUP(G17,'Списки участников'!A:K,3,FALSE))</f>
        <v>#N/A</v>
      </c>
      <c r="I17" s="486">
        <v>77</v>
      </c>
      <c r="J17" s="501">
        <v>10</v>
      </c>
      <c r="K17" s="739">
        <v>3</v>
      </c>
      <c r="L17" s="743">
        <v>11</v>
      </c>
      <c r="M17" s="485">
        <f>LOOKUP(K17,'3Ф КРУГ'!A:A,'3Ф КРУГ'!B:B)</f>
        <v>0</v>
      </c>
      <c r="N17" s="922" t="e">
        <f>IF(M17="","",VLOOKUP(M17,'Списки участников'!A:K,3,FALSE))</f>
        <v>#N/A</v>
      </c>
      <c r="O17" s="485">
        <f>LOOKUP(L17,'3Ф КРУГ'!A:A,'3Ф КРУГ'!B:B)</f>
        <v>0</v>
      </c>
      <c r="P17" s="922" t="e">
        <f>IF(O17="","",VLOOKUP(O17,'Списки участников'!A:K,3,FALSE))</f>
        <v>#N/A</v>
      </c>
      <c r="Q17" s="749">
        <v>13</v>
      </c>
      <c r="R17" s="749">
        <v>97</v>
      </c>
    </row>
    <row r="18" spans="1:18" ht="17.25" x14ac:dyDescent="0.25">
      <c r="A18" s="486">
        <v>14</v>
      </c>
      <c r="B18" s="487">
        <v>2</v>
      </c>
      <c r="C18" s="738">
        <v>5</v>
      </c>
      <c r="D18" s="739">
        <v>10</v>
      </c>
      <c r="E18" s="484">
        <f>LOOKUP(C18,'3Ф КРУГ'!A:A,'3Ф КРУГ'!B:B)</f>
        <v>0</v>
      </c>
      <c r="F18" s="922" t="e">
        <f>IF(E18="","",VLOOKUP(E18,'Списки участников'!A:K,3,FALSE))</f>
        <v>#N/A</v>
      </c>
      <c r="G18" s="485">
        <f>LOOKUP(D18,'3Ф КРУГ'!A:A,'3Ф КРУГ'!B:B)</f>
        <v>0</v>
      </c>
      <c r="H18" s="922" t="e">
        <f>IF(G18="","",VLOOKUP(G18,'Списки участников'!A:K,3,FALSE))</f>
        <v>#N/A</v>
      </c>
      <c r="I18" s="486">
        <v>78</v>
      </c>
      <c r="J18" s="496">
        <v>10</v>
      </c>
      <c r="K18" s="745">
        <v>2</v>
      </c>
      <c r="L18" s="743">
        <v>12</v>
      </c>
      <c r="M18" s="485">
        <f>LOOKUP(K18,'3Ф КРУГ'!A:A,'3Ф КРУГ'!B:B)</f>
        <v>0</v>
      </c>
      <c r="N18" s="922" t="e">
        <f>IF(M18="","",VLOOKUP(M18,'Списки участников'!A:K,3,FALSE))</f>
        <v>#N/A</v>
      </c>
      <c r="O18" s="485">
        <f>LOOKUP(L18,'3Ф КРУГ'!A:A,'3Ф КРУГ'!B:B)</f>
        <v>0</v>
      </c>
      <c r="P18" s="922" t="e">
        <f>IF(O18="","",VLOOKUP(O18,'Списки участников'!A:K,3,FALSE))</f>
        <v>#N/A</v>
      </c>
      <c r="Q18" s="749">
        <v>14</v>
      </c>
      <c r="R18" s="749">
        <v>105</v>
      </c>
    </row>
    <row r="19" spans="1:18" ht="17.25" x14ac:dyDescent="0.25">
      <c r="A19" s="486">
        <v>15</v>
      </c>
      <c r="B19" s="487">
        <v>2</v>
      </c>
      <c r="C19" s="738">
        <v>6</v>
      </c>
      <c r="D19" s="739">
        <v>9</v>
      </c>
      <c r="E19" s="484">
        <f>LOOKUP(C19,'3Ф КРУГ'!A:A,'3Ф КРУГ'!B:B)</f>
        <v>0</v>
      </c>
      <c r="F19" s="922" t="e">
        <f>IF(E19="","",VLOOKUP(E19,'Списки участников'!A:K,3,FALSE))</f>
        <v>#N/A</v>
      </c>
      <c r="G19" s="485">
        <f>LOOKUP(D19,'3Ф КРУГ'!A:A,'3Ф КРУГ'!B:B)</f>
        <v>0</v>
      </c>
      <c r="H19" s="922" t="e">
        <f>IF(G19="","",VLOOKUP(G19,'Списки участников'!A:K,3,FALSE))</f>
        <v>#N/A</v>
      </c>
      <c r="I19" s="486">
        <v>79</v>
      </c>
      <c r="J19" s="496">
        <v>10</v>
      </c>
      <c r="K19" s="745">
        <v>13</v>
      </c>
      <c r="L19" s="739">
        <v>16</v>
      </c>
      <c r="M19" s="485">
        <f>LOOKUP(K19,'3Ф КРУГ'!A:A,'3Ф КРУГ'!B:B)</f>
        <v>0</v>
      </c>
      <c r="N19" s="922" t="e">
        <f>IF(M19="","",VLOOKUP(M19,'Списки участников'!A:K,3,FALSE))</f>
        <v>#N/A</v>
      </c>
      <c r="O19" s="485">
        <f>LOOKUP(L19,'3Ф КРУГ'!A:A,'3Ф КРУГ'!B:B)</f>
        <v>0</v>
      </c>
      <c r="P19" s="922" t="e">
        <f>IF(O19="","",VLOOKUP(O19,'Списки участников'!A:K,3,FALSE))</f>
        <v>#N/A</v>
      </c>
      <c r="Q19" s="749">
        <v>15</v>
      </c>
      <c r="R19" s="749">
        <v>113</v>
      </c>
    </row>
    <row r="20" spans="1:18" ht="18" thickBot="1" x14ac:dyDescent="0.3">
      <c r="A20" s="486">
        <v>16</v>
      </c>
      <c r="B20" s="492">
        <v>2</v>
      </c>
      <c r="C20" s="740">
        <v>7</v>
      </c>
      <c r="D20" s="741">
        <v>8</v>
      </c>
      <c r="E20" s="494">
        <f>LOOKUP(C20,'3Ф КРУГ'!A:A,'3Ф КРУГ'!B:B)</f>
        <v>0</v>
      </c>
      <c r="F20" s="730" t="e">
        <f>IF(E20="","",VLOOKUP(E20,'Списки участников'!A:K,3,FALSE))</f>
        <v>#N/A</v>
      </c>
      <c r="G20" s="731">
        <f>LOOKUP(D20,'3Ф КРУГ'!A:A,'3Ф КРУГ'!B:B)</f>
        <v>0</v>
      </c>
      <c r="H20" s="730" t="e">
        <f>IF(G20="","",VLOOKUP(G20,'Списки участников'!A:K,3,FALSE))</f>
        <v>#N/A</v>
      </c>
      <c r="I20" s="702">
        <v>80</v>
      </c>
      <c r="J20" s="500">
        <v>10</v>
      </c>
      <c r="K20" s="741">
        <v>14</v>
      </c>
      <c r="L20" s="746">
        <v>15</v>
      </c>
      <c r="M20" s="731">
        <f>LOOKUP(K20,'3Ф КРУГ'!A:A,'3Ф КРУГ'!B:B)</f>
        <v>0</v>
      </c>
      <c r="N20" s="730" t="e">
        <f>IF(M20="","",VLOOKUP(M20,'Списки участников'!A:K,3,FALSE))</f>
        <v>#N/A</v>
      </c>
      <c r="O20" s="731">
        <f>LOOKUP(L20,'3Ф КРУГ'!A:A,'3Ф КРУГ'!B:B)</f>
        <v>0</v>
      </c>
      <c r="P20" s="730" t="e">
        <f>IF(O20="","",VLOOKUP(O20,'Списки участников'!A:K,3,FALSE))</f>
        <v>#N/A</v>
      </c>
      <c r="Q20" s="749"/>
      <c r="R20" s="749"/>
    </row>
    <row r="21" spans="1:18" ht="17.25" x14ac:dyDescent="0.25">
      <c r="A21" s="486">
        <v>17</v>
      </c>
      <c r="B21" s="496">
        <v>3</v>
      </c>
      <c r="C21" s="742">
        <v>1</v>
      </c>
      <c r="D21" s="743">
        <v>14</v>
      </c>
      <c r="E21" s="485">
        <f>LOOKUP(C21,'3Ф КРУГ'!A:A,'3Ф КРУГ'!B:B)</f>
        <v>0</v>
      </c>
      <c r="F21" s="922" t="e">
        <f>IF(E21="","",VLOOKUP(E21,'Списки участников'!A:K,3,FALSE))</f>
        <v>#N/A</v>
      </c>
      <c r="G21" s="485">
        <f>LOOKUP(D21,'3Ф КРУГ'!A:A,'3Ф КРУГ'!B:B)</f>
        <v>0</v>
      </c>
      <c r="H21" s="922" t="e">
        <f>IF(G21="","",VLOOKUP(G21,'Списки участников'!A:K,3,FALSE))</f>
        <v>#N/A</v>
      </c>
      <c r="I21" s="915">
        <v>81</v>
      </c>
      <c r="J21" s="496">
        <v>11</v>
      </c>
      <c r="K21" s="743">
        <v>1</v>
      </c>
      <c r="L21" s="743">
        <v>6</v>
      </c>
      <c r="M21" s="485">
        <f>LOOKUP(K21,'3Ф КРУГ'!A:A,'3Ф КРУГ'!B:B)</f>
        <v>0</v>
      </c>
      <c r="N21" s="922" t="e">
        <f>IF(M21="","",VLOOKUP(M21,'Списки участников'!A:K,3,FALSE))</f>
        <v>#N/A</v>
      </c>
      <c r="O21" s="485">
        <f>LOOKUP(L21,'3Ф КРУГ'!A:A,'3Ф КРУГ'!B:B)</f>
        <v>0</v>
      </c>
      <c r="P21" s="922" t="e">
        <f>IF(O21="","",VLOOKUP(O21,'Списки участников'!A:K,3,FALSE))</f>
        <v>#N/A</v>
      </c>
    </row>
    <row r="22" spans="1:18" ht="17.25" x14ac:dyDescent="0.25">
      <c r="A22" s="486">
        <v>18</v>
      </c>
      <c r="B22" s="496">
        <v>3</v>
      </c>
      <c r="C22" s="738">
        <v>13</v>
      </c>
      <c r="D22" s="739">
        <v>15</v>
      </c>
      <c r="E22" s="484">
        <f>LOOKUP(C22,'3Ф КРУГ'!A:A,'3Ф КРУГ'!B:B)</f>
        <v>0</v>
      </c>
      <c r="F22" s="922" t="e">
        <f>IF(E22="","",VLOOKUP(E22,'Списки участников'!A:K,3,FALSE))</f>
        <v>#N/A</v>
      </c>
      <c r="G22" s="485">
        <f>LOOKUP(D22,'3Ф КРУГ'!A:A,'3Ф КРУГ'!B:B)</f>
        <v>0</v>
      </c>
      <c r="H22" s="922" t="e">
        <f>IF(G22="","",VLOOKUP(G22,'Списки участников'!A:K,3,FALSE))</f>
        <v>#N/A</v>
      </c>
      <c r="I22" s="486">
        <v>82</v>
      </c>
      <c r="J22" s="496">
        <v>11</v>
      </c>
      <c r="K22" s="739">
        <v>5</v>
      </c>
      <c r="L22" s="739">
        <v>7</v>
      </c>
      <c r="M22" s="485">
        <f>LOOKUP(K22,'3Ф КРУГ'!A:A,'3Ф КРУГ'!B:B)</f>
        <v>0</v>
      </c>
      <c r="N22" s="922" t="e">
        <f>IF(M22="","",VLOOKUP(M22,'Списки участников'!A:K,3,FALSE))</f>
        <v>#N/A</v>
      </c>
      <c r="O22" s="485">
        <f>LOOKUP(L22,'3Ф КРУГ'!A:A,'3Ф КРУГ'!B:B)</f>
        <v>0</v>
      </c>
      <c r="P22" s="922" t="e">
        <f>IF(O22="","",VLOOKUP(O22,'Списки участников'!A:K,3,FALSE))</f>
        <v>#N/A</v>
      </c>
    </row>
    <row r="23" spans="1:18" ht="17.25" x14ac:dyDescent="0.25">
      <c r="A23" s="486">
        <v>19</v>
      </c>
      <c r="B23" s="496">
        <v>3</v>
      </c>
      <c r="C23" s="738">
        <v>12</v>
      </c>
      <c r="D23" s="739">
        <v>16</v>
      </c>
      <c r="E23" s="484">
        <f>LOOKUP(C23,'3Ф КРУГ'!A:A,'3Ф КРУГ'!B:B)</f>
        <v>0</v>
      </c>
      <c r="F23" s="922" t="e">
        <f>IF(E23="","",VLOOKUP(E23,'Списки участников'!A:K,3,FALSE))</f>
        <v>#N/A</v>
      </c>
      <c r="G23" s="485">
        <f>LOOKUP(D23,'3Ф КРУГ'!A:A,'3Ф КРУГ'!B:B)</f>
        <v>0</v>
      </c>
      <c r="H23" s="922" t="e">
        <f>IF(G23="","",VLOOKUP(G23,'Списки участников'!A:K,3,FALSE))</f>
        <v>#N/A</v>
      </c>
      <c r="I23" s="486">
        <v>83</v>
      </c>
      <c r="J23" s="496">
        <v>11</v>
      </c>
      <c r="K23" s="739">
        <v>4</v>
      </c>
      <c r="L23" s="739">
        <v>8</v>
      </c>
      <c r="M23" s="485">
        <f>LOOKUP(K23,'3Ф КРУГ'!A:A,'3Ф КРУГ'!B:B)</f>
        <v>0</v>
      </c>
      <c r="N23" s="922" t="e">
        <f>IF(M23="","",VLOOKUP(M23,'Списки участников'!A:K,3,FALSE))</f>
        <v>#N/A</v>
      </c>
      <c r="O23" s="485">
        <f>LOOKUP(L23,'3Ф КРУГ'!A:A,'3Ф КРУГ'!B:B)</f>
        <v>0</v>
      </c>
      <c r="P23" s="922" t="e">
        <f>IF(O23="","",VLOOKUP(O23,'Списки участников'!A:K,3,FALSE))</f>
        <v>#N/A</v>
      </c>
    </row>
    <row r="24" spans="1:18" ht="17.25" x14ac:dyDescent="0.25">
      <c r="A24" s="486">
        <v>20</v>
      </c>
      <c r="B24" s="496">
        <v>3</v>
      </c>
      <c r="C24" s="738">
        <v>2</v>
      </c>
      <c r="D24" s="739">
        <v>11</v>
      </c>
      <c r="E24" s="484">
        <f>LOOKUP(C24,'3Ф КРУГ'!A:A,'3Ф КРУГ'!B:B)</f>
        <v>0</v>
      </c>
      <c r="F24" s="922" t="e">
        <f>IF(E24="","",VLOOKUP(E24,'Списки участников'!A:K,3,FALSE))</f>
        <v>#N/A</v>
      </c>
      <c r="G24" s="485">
        <f>LOOKUP(D24,'3Ф КРУГ'!A:A,'3Ф КРУГ'!B:B)</f>
        <v>0</v>
      </c>
      <c r="H24" s="922" t="e">
        <f>IF(G24="","",VLOOKUP(G24,'Списки участников'!A:K,3,FALSE))</f>
        <v>#N/A</v>
      </c>
      <c r="I24" s="486">
        <v>84</v>
      </c>
      <c r="J24" s="496">
        <v>11</v>
      </c>
      <c r="K24" s="739">
        <v>3</v>
      </c>
      <c r="L24" s="739">
        <v>9</v>
      </c>
      <c r="M24" s="485">
        <f>LOOKUP(K24,'3Ф КРУГ'!A:A,'3Ф КРУГ'!B:B)</f>
        <v>0</v>
      </c>
      <c r="N24" s="922" t="e">
        <f>IF(M24="","",VLOOKUP(M24,'Списки участников'!A:K,3,FALSE))</f>
        <v>#N/A</v>
      </c>
      <c r="O24" s="485">
        <f>LOOKUP(L24,'3Ф КРУГ'!A:A,'3Ф КРУГ'!B:B)</f>
        <v>0</v>
      </c>
      <c r="P24" s="922" t="e">
        <f>IF(O24="","",VLOOKUP(O24,'Списки участников'!A:K,3,FALSE))</f>
        <v>#N/A</v>
      </c>
    </row>
    <row r="25" spans="1:18" ht="17.25" x14ac:dyDescent="0.25">
      <c r="A25" s="486">
        <v>21</v>
      </c>
      <c r="B25" s="489">
        <v>3</v>
      </c>
      <c r="C25" s="738">
        <v>3</v>
      </c>
      <c r="D25" s="739">
        <v>10</v>
      </c>
      <c r="E25" s="484">
        <f>LOOKUP(C25,'3Ф КРУГ'!A:A,'3Ф КРУГ'!B:B)</f>
        <v>0</v>
      </c>
      <c r="F25" s="922" t="e">
        <f>IF(E25="","",VLOOKUP(E25,'Списки участников'!A:K,3,FALSE))</f>
        <v>#N/A</v>
      </c>
      <c r="G25" s="485">
        <f>LOOKUP(D25,'3Ф КРУГ'!A:A,'3Ф КРУГ'!B:B)</f>
        <v>0</v>
      </c>
      <c r="H25" s="922" t="e">
        <f>IF(G25="","",VLOOKUP(G25,'Списки участников'!A:K,3,FALSE))</f>
        <v>#N/A</v>
      </c>
      <c r="I25" s="486">
        <v>85</v>
      </c>
      <c r="J25" s="501">
        <v>11</v>
      </c>
      <c r="K25" s="739">
        <v>2</v>
      </c>
      <c r="L25" s="739">
        <v>10</v>
      </c>
      <c r="M25" s="485">
        <f>LOOKUP(K25,'3Ф КРУГ'!A:A,'3Ф КРУГ'!B:B)</f>
        <v>0</v>
      </c>
      <c r="N25" s="922" t="e">
        <f>IF(M25="","",VLOOKUP(M25,'Списки участников'!A:K,3,FALSE))</f>
        <v>#N/A</v>
      </c>
      <c r="O25" s="485">
        <f>LOOKUP(L25,'3Ф КРУГ'!A:A,'3Ф КРУГ'!B:B)</f>
        <v>0</v>
      </c>
      <c r="P25" s="922" t="e">
        <f>IF(O25="","",VLOOKUP(O25,'Списки участников'!A:K,3,FALSE))</f>
        <v>#N/A</v>
      </c>
    </row>
    <row r="26" spans="1:18" ht="17.25" x14ac:dyDescent="0.25">
      <c r="A26" s="486">
        <v>22</v>
      </c>
      <c r="B26" s="496">
        <v>3</v>
      </c>
      <c r="C26" s="738">
        <v>4</v>
      </c>
      <c r="D26" s="739">
        <v>9</v>
      </c>
      <c r="E26" s="484">
        <f>LOOKUP(C26,'3Ф КРУГ'!A:A,'3Ф КРУГ'!B:B)</f>
        <v>0</v>
      </c>
      <c r="F26" s="922" t="e">
        <f>IF(E26="","",VLOOKUP(E26,'Списки участников'!A:K,3,FALSE))</f>
        <v>#N/A</v>
      </c>
      <c r="G26" s="485">
        <f>LOOKUP(D26,'3Ф КРУГ'!A:A,'3Ф КРУГ'!B:B)</f>
        <v>0</v>
      </c>
      <c r="H26" s="922" t="e">
        <f>IF(G26="","",VLOOKUP(G26,'Списки участников'!A:K,3,FALSE))</f>
        <v>#N/A</v>
      </c>
      <c r="I26" s="486">
        <v>86</v>
      </c>
      <c r="J26" s="496">
        <v>11</v>
      </c>
      <c r="K26" s="745">
        <v>11</v>
      </c>
      <c r="L26" s="745">
        <v>16</v>
      </c>
      <c r="M26" s="485">
        <f>LOOKUP(K26,'3Ф КРУГ'!A:A,'3Ф КРУГ'!B:B)</f>
        <v>0</v>
      </c>
      <c r="N26" s="922" t="e">
        <f>IF(M26="","",VLOOKUP(M26,'Списки участников'!A:K,3,FALSE))</f>
        <v>#N/A</v>
      </c>
      <c r="O26" s="485">
        <f>LOOKUP(L26,'3Ф КРУГ'!A:A,'3Ф КРУГ'!B:B)</f>
        <v>0</v>
      </c>
      <c r="P26" s="922" t="e">
        <f>IF(O26="","",VLOOKUP(O26,'Списки участников'!A:K,3,FALSE))</f>
        <v>#N/A</v>
      </c>
    </row>
    <row r="27" spans="1:18" ht="17.25" x14ac:dyDescent="0.25">
      <c r="A27" s="486">
        <v>23</v>
      </c>
      <c r="B27" s="496">
        <v>3</v>
      </c>
      <c r="C27" s="738">
        <v>5</v>
      </c>
      <c r="D27" s="739">
        <v>8</v>
      </c>
      <c r="E27" s="484">
        <f>LOOKUP(C27,'3Ф КРУГ'!A:A,'3Ф КРУГ'!B:B)</f>
        <v>0</v>
      </c>
      <c r="F27" s="922" t="e">
        <f>IF(E27="","",VLOOKUP(E27,'Списки участников'!A:K,3,FALSE))</f>
        <v>#N/A</v>
      </c>
      <c r="G27" s="485">
        <f>LOOKUP(D27,'3Ф КРУГ'!A:A,'3Ф КРУГ'!B:B)</f>
        <v>0</v>
      </c>
      <c r="H27" s="922" t="e">
        <f>IF(G27="","",VLOOKUP(G27,'Списки участников'!A:K,3,FALSE))</f>
        <v>#N/A</v>
      </c>
      <c r="I27" s="486">
        <v>87</v>
      </c>
      <c r="J27" s="496">
        <v>11</v>
      </c>
      <c r="K27" s="745">
        <v>12</v>
      </c>
      <c r="L27" s="745">
        <v>15</v>
      </c>
      <c r="M27" s="485">
        <f>LOOKUP(K27,'3Ф КРУГ'!A:A,'3Ф КРУГ'!B:B)</f>
        <v>0</v>
      </c>
      <c r="N27" s="922" t="e">
        <f>IF(M27="","",VLOOKUP(M27,'Списки участников'!A:K,3,FALSE))</f>
        <v>#N/A</v>
      </c>
      <c r="O27" s="485">
        <f>LOOKUP(L27,'3Ф КРУГ'!A:A,'3Ф КРУГ'!B:B)</f>
        <v>0</v>
      </c>
      <c r="P27" s="922" t="e">
        <f>IF(O27="","",VLOOKUP(O27,'Списки участников'!A:K,3,FALSE))</f>
        <v>#N/A</v>
      </c>
    </row>
    <row r="28" spans="1:18" ht="18" thickBot="1" x14ac:dyDescent="0.3">
      <c r="A28" s="486">
        <v>24</v>
      </c>
      <c r="B28" s="500">
        <v>3</v>
      </c>
      <c r="C28" s="740">
        <v>6</v>
      </c>
      <c r="D28" s="741">
        <v>7</v>
      </c>
      <c r="E28" s="494">
        <f>LOOKUP(C28,'3Ф КРУГ'!A:A,'3Ф КРУГ'!B:B)</f>
        <v>0</v>
      </c>
      <c r="F28" s="730" t="e">
        <f>IF(E28="","",VLOOKUP(E28,'Списки участников'!A:K,3,FALSE))</f>
        <v>#N/A</v>
      </c>
      <c r="G28" s="731">
        <f>LOOKUP(D28,'3Ф КРУГ'!A:A,'3Ф КРУГ'!B:B)</f>
        <v>0</v>
      </c>
      <c r="H28" s="730" t="e">
        <f>IF(G28="","",VLOOKUP(G28,'Списки участников'!A:K,3,FALSE))</f>
        <v>#N/A</v>
      </c>
      <c r="I28" s="702">
        <v>88</v>
      </c>
      <c r="J28" s="500">
        <v>11</v>
      </c>
      <c r="K28" s="741">
        <v>13</v>
      </c>
      <c r="L28" s="741">
        <v>14</v>
      </c>
      <c r="M28" s="731">
        <f>LOOKUP(K28,'3Ф КРУГ'!A:A,'3Ф КРУГ'!B:B)</f>
        <v>0</v>
      </c>
      <c r="N28" s="730" t="e">
        <f>IF(M28="","",VLOOKUP(M28,'Списки участников'!A:K,3,FALSE))</f>
        <v>#N/A</v>
      </c>
      <c r="O28" s="731">
        <f>LOOKUP(L28,'3Ф КРУГ'!A:A,'3Ф КРУГ'!B:B)</f>
        <v>0</v>
      </c>
      <c r="P28" s="730" t="e">
        <f>IF(O28="","",VLOOKUP(O28,'Списки участников'!A:K,3,FALSE))</f>
        <v>#N/A</v>
      </c>
    </row>
    <row r="29" spans="1:18" ht="17.25" x14ac:dyDescent="0.25">
      <c r="A29" s="486">
        <v>25</v>
      </c>
      <c r="B29" s="733">
        <v>4</v>
      </c>
      <c r="C29" s="742">
        <v>1</v>
      </c>
      <c r="D29" s="743">
        <v>13</v>
      </c>
      <c r="E29" s="485">
        <f>LOOKUP(C29,'3Ф КРУГ'!A:A,'3Ф КРУГ'!B:B)</f>
        <v>0</v>
      </c>
      <c r="F29" s="922" t="e">
        <f>IF(E29="","",VLOOKUP(E29,'Списки участников'!A:K,3,FALSE))</f>
        <v>#N/A</v>
      </c>
      <c r="G29" s="485">
        <f>LOOKUP(D29,'3Ф КРУГ'!A:A,'3Ф КРУГ'!B:B)</f>
        <v>0</v>
      </c>
      <c r="H29" s="922" t="e">
        <f>IF(G29="","",VLOOKUP(G29,'Списки участников'!A:K,3,FALSE))</f>
        <v>#N/A</v>
      </c>
      <c r="I29" s="915">
        <v>89</v>
      </c>
      <c r="J29" s="496">
        <v>12</v>
      </c>
      <c r="K29" s="743">
        <v>1</v>
      </c>
      <c r="L29" s="743">
        <v>5</v>
      </c>
      <c r="M29" s="485">
        <f>LOOKUP(K29,'3Ф КРУГ'!A:A,'3Ф КРУГ'!B:B)</f>
        <v>0</v>
      </c>
      <c r="N29" s="922" t="e">
        <f>IF(M29="","",VLOOKUP(M29,'Списки участников'!A:K,3,FALSE))</f>
        <v>#N/A</v>
      </c>
      <c r="O29" s="485">
        <f>LOOKUP(L29,'3Ф КРУГ'!A:A,'3Ф КРУГ'!B:B)</f>
        <v>0</v>
      </c>
      <c r="P29" s="922" t="e">
        <f>IF(O29="","",VLOOKUP(O29,'Списки участников'!A:K,3,FALSE))</f>
        <v>#N/A</v>
      </c>
    </row>
    <row r="30" spans="1:18" ht="17.25" x14ac:dyDescent="0.25">
      <c r="A30" s="486">
        <v>26</v>
      </c>
      <c r="B30" s="733">
        <v>4</v>
      </c>
      <c r="C30" s="738">
        <v>12</v>
      </c>
      <c r="D30" s="739">
        <v>14</v>
      </c>
      <c r="E30" s="484">
        <f>LOOKUP(C30,'3Ф КРУГ'!A:A,'3Ф КРУГ'!B:B)</f>
        <v>0</v>
      </c>
      <c r="F30" s="922" t="e">
        <f>IF(E30="","",VLOOKUP(E30,'Списки участников'!A:K,3,FALSE))</f>
        <v>#N/A</v>
      </c>
      <c r="G30" s="485">
        <f>LOOKUP(D30,'3Ф КРУГ'!A:A,'3Ф КРУГ'!B:B)</f>
        <v>0</v>
      </c>
      <c r="H30" s="922" t="e">
        <f>IF(G30="","",VLOOKUP(G30,'Списки участников'!A:K,3,FALSE))</f>
        <v>#N/A</v>
      </c>
      <c r="I30" s="486">
        <v>90</v>
      </c>
      <c r="J30" s="496">
        <v>12</v>
      </c>
      <c r="K30" s="739">
        <v>4</v>
      </c>
      <c r="L30" s="743">
        <v>6</v>
      </c>
      <c r="M30" s="485">
        <f>LOOKUP(K30,'3Ф КРУГ'!A:A,'3Ф КРУГ'!B:B)</f>
        <v>0</v>
      </c>
      <c r="N30" s="922" t="e">
        <f>IF(M30="","",VLOOKUP(M30,'Списки участников'!A:K,3,FALSE))</f>
        <v>#N/A</v>
      </c>
      <c r="O30" s="485">
        <f>LOOKUP(L30,'3Ф КРУГ'!A:A,'3Ф КРУГ'!B:B)</f>
        <v>0</v>
      </c>
      <c r="P30" s="922" t="e">
        <f>IF(O30="","",VLOOKUP(O30,'Списки участников'!A:K,3,FALSE))</f>
        <v>#N/A</v>
      </c>
    </row>
    <row r="31" spans="1:18" ht="17.25" x14ac:dyDescent="0.25">
      <c r="A31" s="486">
        <v>27</v>
      </c>
      <c r="B31" s="733">
        <v>4</v>
      </c>
      <c r="C31" s="738">
        <v>11</v>
      </c>
      <c r="D31" s="739">
        <v>15</v>
      </c>
      <c r="E31" s="484">
        <f>LOOKUP(C31,'3Ф КРУГ'!A:A,'3Ф КРУГ'!B:B)</f>
        <v>0</v>
      </c>
      <c r="F31" s="922" t="e">
        <f>IF(E31="","",VLOOKUP(E31,'Списки участников'!A:K,3,FALSE))</f>
        <v>#N/A</v>
      </c>
      <c r="G31" s="485">
        <f>LOOKUP(D31,'3Ф КРУГ'!A:A,'3Ф КРУГ'!B:B)</f>
        <v>0</v>
      </c>
      <c r="H31" s="922" t="e">
        <f>IF(G31="","",VLOOKUP(G31,'Списки участников'!A:K,3,FALSE))</f>
        <v>#N/A</v>
      </c>
      <c r="I31" s="486">
        <v>91</v>
      </c>
      <c r="J31" s="496">
        <v>12</v>
      </c>
      <c r="K31" s="739">
        <v>3</v>
      </c>
      <c r="L31" s="743">
        <v>7</v>
      </c>
      <c r="M31" s="485">
        <f>LOOKUP(K31,'3Ф КРУГ'!A:A,'3Ф КРУГ'!B:B)</f>
        <v>0</v>
      </c>
      <c r="N31" s="922" t="e">
        <f>IF(M31="","",VLOOKUP(M31,'Списки участников'!A:K,3,FALSE))</f>
        <v>#N/A</v>
      </c>
      <c r="O31" s="485">
        <f>LOOKUP(L31,'3Ф КРУГ'!A:A,'3Ф КРУГ'!B:B)</f>
        <v>0</v>
      </c>
      <c r="P31" s="922" t="e">
        <f>IF(O31="","",VLOOKUP(O31,'Списки участников'!A:K,3,FALSE))</f>
        <v>#N/A</v>
      </c>
    </row>
    <row r="32" spans="1:18" ht="17.25" x14ac:dyDescent="0.25">
      <c r="A32" s="486">
        <v>28</v>
      </c>
      <c r="B32" s="733">
        <v>4</v>
      </c>
      <c r="C32" s="738">
        <v>10</v>
      </c>
      <c r="D32" s="739">
        <v>16</v>
      </c>
      <c r="E32" s="484">
        <f>LOOKUP(C32,'3Ф КРУГ'!A:A,'3Ф КРУГ'!B:B)</f>
        <v>0</v>
      </c>
      <c r="F32" s="922" t="e">
        <f>IF(E32="","",VLOOKUP(E32,'Списки участников'!A:K,3,FALSE))</f>
        <v>#N/A</v>
      </c>
      <c r="G32" s="485">
        <f>LOOKUP(D32,'3Ф КРУГ'!A:A,'3Ф КРУГ'!B:B)</f>
        <v>0</v>
      </c>
      <c r="H32" s="922" t="e">
        <f>IF(G32="","",VLOOKUP(G32,'Списки участников'!A:K,3,FALSE))</f>
        <v>#N/A</v>
      </c>
      <c r="I32" s="486">
        <v>92</v>
      </c>
      <c r="J32" s="496">
        <v>12</v>
      </c>
      <c r="K32" s="739">
        <v>2</v>
      </c>
      <c r="L32" s="743">
        <v>8</v>
      </c>
      <c r="M32" s="485">
        <f>LOOKUP(K32,'3Ф КРУГ'!A:A,'3Ф КРУГ'!B:B)</f>
        <v>0</v>
      </c>
      <c r="N32" s="922" t="e">
        <f>IF(M32="","",VLOOKUP(M32,'Списки участников'!A:K,3,FALSE))</f>
        <v>#N/A</v>
      </c>
      <c r="O32" s="485">
        <f>LOOKUP(L32,'3Ф КРУГ'!A:A,'3Ф КРУГ'!B:B)</f>
        <v>0</v>
      </c>
      <c r="P32" s="922" t="e">
        <f>IF(O32="","",VLOOKUP(O32,'Списки участников'!A:K,3,FALSE))</f>
        <v>#N/A</v>
      </c>
    </row>
    <row r="33" spans="1:16" ht="17.25" x14ac:dyDescent="0.25">
      <c r="A33" s="486">
        <v>29</v>
      </c>
      <c r="B33" s="734">
        <v>4</v>
      </c>
      <c r="C33" s="738">
        <v>2</v>
      </c>
      <c r="D33" s="739">
        <v>9</v>
      </c>
      <c r="E33" s="484">
        <f>LOOKUP(C33,'3Ф КРУГ'!A:A,'3Ф КРУГ'!B:B)</f>
        <v>0</v>
      </c>
      <c r="F33" s="922" t="e">
        <f>IF(E33="","",VLOOKUP(E33,'Списки участников'!A:K,3,FALSE))</f>
        <v>#N/A</v>
      </c>
      <c r="G33" s="485">
        <f>LOOKUP(D33,'3Ф КРУГ'!A:A,'3Ф КРУГ'!B:B)</f>
        <v>0</v>
      </c>
      <c r="H33" s="922" t="e">
        <f>IF(G33="","",VLOOKUP(G33,'Списки участников'!A:K,3,FALSE))</f>
        <v>#N/A</v>
      </c>
      <c r="I33" s="486">
        <v>93</v>
      </c>
      <c r="J33" s="501">
        <v>12</v>
      </c>
      <c r="K33" s="739">
        <v>9</v>
      </c>
      <c r="L33" s="743">
        <v>16</v>
      </c>
      <c r="M33" s="485">
        <f>LOOKUP(K33,'3Ф КРУГ'!A:A,'3Ф КРУГ'!B:B)</f>
        <v>0</v>
      </c>
      <c r="N33" s="922" t="e">
        <f>IF(M33="","",VLOOKUP(M33,'Списки участников'!A:K,3,FALSE))</f>
        <v>#N/A</v>
      </c>
      <c r="O33" s="485">
        <f>LOOKUP(L33,'3Ф КРУГ'!A:A,'3Ф КРУГ'!B:B)</f>
        <v>0</v>
      </c>
      <c r="P33" s="922" t="e">
        <f>IF(O33="","",VLOOKUP(O33,'Списки участников'!A:K,3,FALSE))</f>
        <v>#N/A</v>
      </c>
    </row>
    <row r="34" spans="1:16" ht="17.25" x14ac:dyDescent="0.25">
      <c r="A34" s="486">
        <v>30</v>
      </c>
      <c r="B34" s="733">
        <v>4</v>
      </c>
      <c r="C34" s="738">
        <v>3</v>
      </c>
      <c r="D34" s="739">
        <v>8</v>
      </c>
      <c r="E34" s="484">
        <f>LOOKUP(C34,'3Ф КРУГ'!A:A,'3Ф КРУГ'!B:B)</f>
        <v>0</v>
      </c>
      <c r="F34" s="922" t="e">
        <f>IF(E34="","",VLOOKUP(E34,'Списки участников'!A:K,3,FALSE))</f>
        <v>#N/A</v>
      </c>
      <c r="G34" s="485">
        <f>LOOKUP(D34,'3Ф КРУГ'!A:A,'3Ф КРУГ'!B:B)</f>
        <v>0</v>
      </c>
      <c r="H34" s="922" t="e">
        <f>IF(G34="","",VLOOKUP(G34,'Списки участников'!A:K,3,FALSE))</f>
        <v>#N/A</v>
      </c>
      <c r="I34" s="486">
        <v>94</v>
      </c>
      <c r="J34" s="496">
        <v>12</v>
      </c>
      <c r="K34" s="745">
        <v>10</v>
      </c>
      <c r="L34" s="739">
        <v>15</v>
      </c>
      <c r="M34" s="485">
        <f>LOOKUP(K34,'3Ф КРУГ'!A:A,'3Ф КРУГ'!B:B)</f>
        <v>0</v>
      </c>
      <c r="N34" s="922" t="e">
        <f>IF(M34="","",VLOOKUP(M34,'Списки участников'!A:K,3,FALSE))</f>
        <v>#N/A</v>
      </c>
      <c r="O34" s="485">
        <f>LOOKUP(L34,'3Ф КРУГ'!A:A,'3Ф КРУГ'!B:B)</f>
        <v>0</v>
      </c>
      <c r="P34" s="922" t="e">
        <f>IF(O34="","",VLOOKUP(O34,'Списки участников'!A:K,3,FALSE))</f>
        <v>#N/A</v>
      </c>
    </row>
    <row r="35" spans="1:16" ht="17.25" x14ac:dyDescent="0.25">
      <c r="A35" s="486">
        <v>31</v>
      </c>
      <c r="B35" s="733">
        <v>4</v>
      </c>
      <c r="C35" s="738">
        <v>4</v>
      </c>
      <c r="D35" s="739">
        <v>7</v>
      </c>
      <c r="E35" s="484">
        <f>LOOKUP(C35,'3Ф КРУГ'!A:A,'3Ф КРУГ'!B:B)</f>
        <v>0</v>
      </c>
      <c r="F35" s="922" t="e">
        <f>IF(E35="","",VLOOKUP(E35,'Списки участников'!A:K,3,FALSE))</f>
        <v>#N/A</v>
      </c>
      <c r="G35" s="485">
        <f>LOOKUP(D35,'3Ф КРУГ'!A:A,'3Ф КРУГ'!B:B)</f>
        <v>0</v>
      </c>
      <c r="H35" s="922" t="e">
        <f>IF(G35="","",VLOOKUP(G35,'Списки участников'!A:K,3,FALSE))</f>
        <v>#N/A</v>
      </c>
      <c r="I35" s="486">
        <v>95</v>
      </c>
      <c r="J35" s="496">
        <v>12</v>
      </c>
      <c r="K35" s="745">
        <v>11</v>
      </c>
      <c r="L35" s="739">
        <v>14</v>
      </c>
      <c r="M35" s="485">
        <f>LOOKUP(K35,'3Ф КРУГ'!A:A,'3Ф КРУГ'!B:B)</f>
        <v>0</v>
      </c>
      <c r="N35" s="922" t="e">
        <f>IF(M35="","",VLOOKUP(M35,'Списки участников'!A:K,3,FALSE))</f>
        <v>#N/A</v>
      </c>
      <c r="O35" s="485">
        <f>LOOKUP(L35,'3Ф КРУГ'!A:A,'3Ф КРУГ'!B:B)</f>
        <v>0</v>
      </c>
      <c r="P35" s="922" t="e">
        <f>IF(O35="","",VLOOKUP(O35,'Списки участников'!A:K,3,FALSE))</f>
        <v>#N/A</v>
      </c>
    </row>
    <row r="36" spans="1:16" ht="18" thickBot="1" x14ac:dyDescent="0.3">
      <c r="A36" s="486">
        <v>32</v>
      </c>
      <c r="B36" s="736">
        <v>4</v>
      </c>
      <c r="C36" s="740">
        <v>5</v>
      </c>
      <c r="D36" s="741">
        <v>6</v>
      </c>
      <c r="E36" s="494">
        <f>LOOKUP(C36,'3Ф КРУГ'!A:A,'3Ф КРУГ'!B:B)</f>
        <v>0</v>
      </c>
      <c r="F36" s="730" t="e">
        <f>IF(E36="","",VLOOKUP(E36,'Списки участников'!A:K,3,FALSE))</f>
        <v>#N/A</v>
      </c>
      <c r="G36" s="731">
        <f>LOOKUP(D36,'3Ф КРУГ'!A:A,'3Ф КРУГ'!B:B)</f>
        <v>0</v>
      </c>
      <c r="H36" s="730" t="e">
        <f>IF(G36="","",VLOOKUP(G36,'Списки участников'!A:K,3,FALSE))</f>
        <v>#N/A</v>
      </c>
      <c r="I36" s="702">
        <v>96</v>
      </c>
      <c r="J36" s="500">
        <v>12</v>
      </c>
      <c r="K36" s="741">
        <v>12</v>
      </c>
      <c r="L36" s="746">
        <v>13</v>
      </c>
      <c r="M36" s="731">
        <f>LOOKUP(K36,'3Ф КРУГ'!A:A,'3Ф КРУГ'!B:B)</f>
        <v>0</v>
      </c>
      <c r="N36" s="730" t="e">
        <f>IF(M36="","",VLOOKUP(M36,'Списки участников'!A:K,3,FALSE))</f>
        <v>#N/A</v>
      </c>
      <c r="O36" s="731">
        <f>LOOKUP(L36,'3Ф КРУГ'!A:A,'3Ф КРУГ'!B:B)</f>
        <v>0</v>
      </c>
      <c r="P36" s="730" t="e">
        <f>IF(O36="","",VLOOKUP(O36,'Списки участников'!A:K,3,FALSE))</f>
        <v>#N/A</v>
      </c>
    </row>
    <row r="37" spans="1:16" ht="17.25" x14ac:dyDescent="0.25">
      <c r="A37" s="486">
        <v>33</v>
      </c>
      <c r="B37" s="737">
        <v>5</v>
      </c>
      <c r="C37" s="742">
        <v>1</v>
      </c>
      <c r="D37" s="743">
        <v>12</v>
      </c>
      <c r="E37" s="485">
        <f>LOOKUP(C37,'3Ф КРУГ'!A:A,'3Ф КРУГ'!B:B)</f>
        <v>0</v>
      </c>
      <c r="F37" s="922" t="e">
        <f>IF(E37="","",VLOOKUP(E37,'Списки участников'!A:K,3,FALSE))</f>
        <v>#N/A</v>
      </c>
      <c r="G37" s="485">
        <f>LOOKUP(D37,'3Ф КРУГ'!A:A,'3Ф КРУГ'!B:B)</f>
        <v>0</v>
      </c>
      <c r="H37" s="922" t="e">
        <f>IF(G37="","",VLOOKUP(G37,'Списки участников'!A:K,3,FALSE))</f>
        <v>#N/A</v>
      </c>
      <c r="I37" s="915">
        <v>97</v>
      </c>
      <c r="J37" s="497">
        <v>13</v>
      </c>
      <c r="K37" s="743">
        <v>1</v>
      </c>
      <c r="L37" s="743">
        <v>4</v>
      </c>
      <c r="M37" s="485">
        <f>LOOKUP(K37,'3Ф КРУГ'!A:A,'3Ф КРУГ'!B:B)</f>
        <v>0</v>
      </c>
      <c r="N37" s="922" t="e">
        <f>IF(M37="","",VLOOKUP(M37,'Списки участников'!A:K,3,FALSE))</f>
        <v>#N/A</v>
      </c>
      <c r="O37" s="485">
        <f>LOOKUP(L37,'3Ф КРУГ'!A:A,'3Ф КРУГ'!B:B)</f>
        <v>0</v>
      </c>
      <c r="P37" s="922" t="e">
        <f>IF(O37="","",VLOOKUP(O37,'Списки участников'!A:K,3,FALSE))</f>
        <v>#N/A</v>
      </c>
    </row>
    <row r="38" spans="1:16" ht="17.25" x14ac:dyDescent="0.25">
      <c r="A38" s="486">
        <v>34</v>
      </c>
      <c r="B38" s="733">
        <v>5</v>
      </c>
      <c r="C38" s="738">
        <v>11</v>
      </c>
      <c r="D38" s="743">
        <v>13</v>
      </c>
      <c r="E38" s="484">
        <f>LOOKUP(C38,'3Ф КРУГ'!A:A,'3Ф КРУГ'!B:B)</f>
        <v>0</v>
      </c>
      <c r="F38" s="922" t="e">
        <f>IF(E38="","",VLOOKUP(E38,'Списки участников'!A:K,3,FALSE))</f>
        <v>#N/A</v>
      </c>
      <c r="G38" s="485">
        <f>LOOKUP(D38,'3Ф КРУГ'!A:A,'3Ф КРУГ'!B:B)</f>
        <v>0</v>
      </c>
      <c r="H38" s="922" t="e">
        <f>IF(G38="","",VLOOKUP(G38,'Списки участников'!A:K,3,FALSE))</f>
        <v>#N/A</v>
      </c>
      <c r="I38" s="915">
        <v>98</v>
      </c>
      <c r="J38" s="497">
        <v>13</v>
      </c>
      <c r="K38" s="743">
        <v>3</v>
      </c>
      <c r="L38" s="743">
        <v>5</v>
      </c>
      <c r="M38" s="485">
        <f>LOOKUP(K38,'3Ф КРУГ'!A:A,'3Ф КРУГ'!B:B)</f>
        <v>0</v>
      </c>
      <c r="N38" s="922" t="e">
        <f>IF(M38="","",VLOOKUP(M38,'Списки участников'!A:K,3,FALSE))</f>
        <v>#N/A</v>
      </c>
      <c r="O38" s="485">
        <f>LOOKUP(L38,'3Ф КРУГ'!A:A,'3Ф КРУГ'!B:B)</f>
        <v>0</v>
      </c>
      <c r="P38" s="922" t="e">
        <f>IF(O38="","",VLOOKUP(O38,'Списки участников'!A:K,3,FALSE))</f>
        <v>#N/A</v>
      </c>
    </row>
    <row r="39" spans="1:16" ht="17.25" x14ac:dyDescent="0.25">
      <c r="A39" s="486">
        <v>35</v>
      </c>
      <c r="B39" s="735">
        <v>5</v>
      </c>
      <c r="C39" s="742">
        <v>10</v>
      </c>
      <c r="D39" s="743">
        <v>14</v>
      </c>
      <c r="E39" s="484">
        <f>LOOKUP(C39,'3Ф КРУГ'!A:A,'3Ф КРУГ'!B:B)</f>
        <v>0</v>
      </c>
      <c r="F39" s="922" t="e">
        <f>IF(E39="","",VLOOKUP(E39,'Списки участников'!A:K,3,FALSE))</f>
        <v>#N/A</v>
      </c>
      <c r="G39" s="485">
        <f>LOOKUP(D39,'3Ф КРУГ'!A:A,'3Ф КРУГ'!B:B)</f>
        <v>0</v>
      </c>
      <c r="H39" s="922" t="e">
        <f>IF(G39="","",VLOOKUP(G39,'Списки участников'!A:K,3,FALSE))</f>
        <v>#N/A</v>
      </c>
      <c r="I39" s="915">
        <v>99</v>
      </c>
      <c r="J39" s="496">
        <v>13</v>
      </c>
      <c r="K39" s="743">
        <v>2</v>
      </c>
      <c r="L39" s="743">
        <v>6</v>
      </c>
      <c r="M39" s="485">
        <f>LOOKUP(K39,'3Ф КРУГ'!A:A,'3Ф КРУГ'!B:B)</f>
        <v>0</v>
      </c>
      <c r="N39" s="922" t="e">
        <f>IF(M39="","",VLOOKUP(M39,'Списки участников'!A:K,3,FALSE))</f>
        <v>#N/A</v>
      </c>
      <c r="O39" s="485">
        <f>LOOKUP(L39,'3Ф КРУГ'!A:A,'3Ф КРУГ'!B:B)</f>
        <v>0</v>
      </c>
      <c r="P39" s="922" t="e">
        <f>IF(O39="","",VLOOKUP(O39,'Списки участников'!A:K,3,FALSE))</f>
        <v>#N/A</v>
      </c>
    </row>
    <row r="40" spans="1:16" ht="17.25" x14ac:dyDescent="0.25">
      <c r="A40" s="486">
        <v>36</v>
      </c>
      <c r="B40" s="496">
        <v>5</v>
      </c>
      <c r="C40" s="738">
        <v>9</v>
      </c>
      <c r="D40" s="739">
        <v>15</v>
      </c>
      <c r="E40" s="484">
        <f>LOOKUP(C40,'3Ф КРУГ'!A:A,'3Ф КРУГ'!B:B)</f>
        <v>0</v>
      </c>
      <c r="F40" s="922" t="e">
        <f>IF(E40="","",VLOOKUP(E40,'Списки участников'!A:K,3,FALSE))</f>
        <v>#N/A</v>
      </c>
      <c r="G40" s="485">
        <f>LOOKUP(D40,'3Ф КРУГ'!A:A,'3Ф КРУГ'!B:B)</f>
        <v>0</v>
      </c>
      <c r="H40" s="922" t="e">
        <f>IF(G40="","",VLOOKUP(G40,'Списки участников'!A:K,3,FALSE))</f>
        <v>#N/A</v>
      </c>
      <c r="I40" s="486">
        <v>100</v>
      </c>
      <c r="J40" s="496">
        <v>13</v>
      </c>
      <c r="K40" s="739">
        <v>7</v>
      </c>
      <c r="L40" s="739">
        <v>16</v>
      </c>
      <c r="M40" s="485">
        <f>LOOKUP(K40,'3Ф КРУГ'!A:A,'3Ф КРУГ'!B:B)</f>
        <v>0</v>
      </c>
      <c r="N40" s="922" t="e">
        <f>IF(M40="","",VLOOKUP(M40,'Списки участников'!A:K,3,FALSE))</f>
        <v>#N/A</v>
      </c>
      <c r="O40" s="485">
        <f>LOOKUP(L40,'3Ф КРУГ'!A:A,'3Ф КРУГ'!B:B)</f>
        <v>0</v>
      </c>
      <c r="P40" s="922" t="e">
        <f>IF(O40="","",VLOOKUP(O40,'Списки участников'!A:K,3,FALSE))</f>
        <v>#N/A</v>
      </c>
    </row>
    <row r="41" spans="1:16" ht="17.25" x14ac:dyDescent="0.25">
      <c r="A41" s="486">
        <v>37</v>
      </c>
      <c r="B41" s="489">
        <v>5</v>
      </c>
      <c r="C41" s="738">
        <v>8</v>
      </c>
      <c r="D41" s="739">
        <v>16</v>
      </c>
      <c r="E41" s="484">
        <f>LOOKUP(C41,'3Ф КРУГ'!A:A,'3Ф КРУГ'!B:B)</f>
        <v>0</v>
      </c>
      <c r="F41" s="922" t="e">
        <f>IF(E41="","",VLOOKUP(E41,'Списки участников'!A:K,3,FALSE))</f>
        <v>#N/A</v>
      </c>
      <c r="G41" s="485">
        <f>LOOKUP(D41,'3Ф КРУГ'!A:A,'3Ф КРУГ'!B:B)</f>
        <v>0</v>
      </c>
      <c r="H41" s="922" t="e">
        <f>IF(G41="","",VLOOKUP(G41,'Списки участников'!A:K,3,FALSE))</f>
        <v>#N/A</v>
      </c>
      <c r="I41" s="486">
        <v>101</v>
      </c>
      <c r="J41" s="501">
        <v>13</v>
      </c>
      <c r="K41" s="739">
        <v>8</v>
      </c>
      <c r="L41" s="739">
        <v>15</v>
      </c>
      <c r="M41" s="485">
        <f>LOOKUP(K41,'3Ф КРУГ'!A:A,'3Ф КРУГ'!B:B)</f>
        <v>0</v>
      </c>
      <c r="N41" s="922" t="e">
        <f>IF(M41="","",VLOOKUP(M41,'Списки участников'!A:K,3,FALSE))</f>
        <v>#N/A</v>
      </c>
      <c r="O41" s="485">
        <f>LOOKUP(L41,'3Ф КРУГ'!A:A,'3Ф КРУГ'!B:B)</f>
        <v>0</v>
      </c>
      <c r="P41" s="922" t="e">
        <f>IF(O41="","",VLOOKUP(O41,'Списки участников'!A:K,3,FALSE))</f>
        <v>#N/A</v>
      </c>
    </row>
    <row r="42" spans="1:16" ht="17.25" x14ac:dyDescent="0.25">
      <c r="A42" s="486">
        <v>38</v>
      </c>
      <c r="B42" s="496">
        <v>5</v>
      </c>
      <c r="C42" s="738">
        <v>2</v>
      </c>
      <c r="D42" s="739">
        <v>7</v>
      </c>
      <c r="E42" s="484">
        <f>LOOKUP(C42,'3Ф КРУГ'!A:A,'3Ф КРУГ'!B:B)</f>
        <v>0</v>
      </c>
      <c r="F42" s="922" t="e">
        <f>IF(E42="","",VLOOKUP(E42,'Списки участников'!A:K,3,FALSE))</f>
        <v>#N/A</v>
      </c>
      <c r="G42" s="485">
        <f>LOOKUP(D42,'3Ф КРУГ'!A:A,'3Ф КРУГ'!B:B)</f>
        <v>0</v>
      </c>
      <c r="H42" s="922" t="e">
        <f>IF(G42="","",VLOOKUP(G42,'Списки участников'!A:K,3,FALSE))</f>
        <v>#N/A</v>
      </c>
      <c r="I42" s="486">
        <v>102</v>
      </c>
      <c r="J42" s="496">
        <v>13</v>
      </c>
      <c r="K42" s="745">
        <v>9</v>
      </c>
      <c r="L42" s="745">
        <v>14</v>
      </c>
      <c r="M42" s="485">
        <f>LOOKUP(K42,'3Ф КРУГ'!A:A,'3Ф КРУГ'!B:B)</f>
        <v>0</v>
      </c>
      <c r="N42" s="922" t="e">
        <f>IF(M42="","",VLOOKUP(M42,'Списки участников'!A:K,3,FALSE))</f>
        <v>#N/A</v>
      </c>
      <c r="O42" s="485">
        <f>LOOKUP(L42,'3Ф КРУГ'!A:A,'3Ф КРУГ'!B:B)</f>
        <v>0</v>
      </c>
      <c r="P42" s="922" t="e">
        <f>IF(O42="","",VLOOKUP(O42,'Списки участников'!A:K,3,FALSE))</f>
        <v>#N/A</v>
      </c>
    </row>
    <row r="43" spans="1:16" ht="17.25" x14ac:dyDescent="0.25">
      <c r="A43" s="486">
        <v>39</v>
      </c>
      <c r="B43" s="496">
        <v>5</v>
      </c>
      <c r="C43" s="738">
        <v>3</v>
      </c>
      <c r="D43" s="739">
        <v>6</v>
      </c>
      <c r="E43" s="484">
        <f>LOOKUP(C43,'3Ф КРУГ'!A:A,'3Ф КРУГ'!B:B)</f>
        <v>0</v>
      </c>
      <c r="F43" s="922" t="e">
        <f>IF(E43="","",VLOOKUP(E43,'Списки участников'!A:K,3,FALSE))</f>
        <v>#N/A</v>
      </c>
      <c r="G43" s="485">
        <f>LOOKUP(D43,'3Ф КРУГ'!A:A,'3Ф КРУГ'!B:B)</f>
        <v>0</v>
      </c>
      <c r="H43" s="922" t="e">
        <f>IF(G43="","",VLOOKUP(G43,'Списки участников'!A:K,3,FALSE))</f>
        <v>#N/A</v>
      </c>
      <c r="I43" s="486">
        <v>103</v>
      </c>
      <c r="J43" s="496">
        <v>13</v>
      </c>
      <c r="K43" s="745">
        <v>10</v>
      </c>
      <c r="L43" s="745">
        <v>13</v>
      </c>
      <c r="M43" s="485">
        <f>LOOKUP(K43,'3Ф КРУГ'!A:A,'3Ф КРУГ'!B:B)</f>
        <v>0</v>
      </c>
      <c r="N43" s="922" t="e">
        <f>IF(M43="","",VLOOKUP(M43,'Списки участников'!A:K,3,FALSE))</f>
        <v>#N/A</v>
      </c>
      <c r="O43" s="485">
        <f>LOOKUP(L43,'3Ф КРУГ'!A:A,'3Ф КРУГ'!B:B)</f>
        <v>0</v>
      </c>
      <c r="P43" s="922" t="e">
        <f>IF(O43="","",VLOOKUP(O43,'Списки участников'!A:K,3,FALSE))</f>
        <v>#N/A</v>
      </c>
    </row>
    <row r="44" spans="1:16" ht="18" thickBot="1" x14ac:dyDescent="0.3">
      <c r="A44" s="486">
        <v>40</v>
      </c>
      <c r="B44" s="500">
        <v>5</v>
      </c>
      <c r="C44" s="740">
        <v>4</v>
      </c>
      <c r="D44" s="741">
        <v>5</v>
      </c>
      <c r="E44" s="494">
        <f>LOOKUP(C44,'3Ф КРУГ'!A:A,'3Ф КРУГ'!B:B)</f>
        <v>0</v>
      </c>
      <c r="F44" s="730" t="e">
        <f>IF(E44="","",VLOOKUP(E44,'Списки участников'!A:K,3,FALSE))</f>
        <v>#N/A</v>
      </c>
      <c r="G44" s="731">
        <f>LOOKUP(D44,'3Ф КРУГ'!A:A,'3Ф КРУГ'!B:B)</f>
        <v>0</v>
      </c>
      <c r="H44" s="730" t="e">
        <f>IF(G44="","",VLOOKUP(G44,'Списки участников'!A:K,3,FALSE))</f>
        <v>#N/A</v>
      </c>
      <c r="I44" s="702">
        <v>104</v>
      </c>
      <c r="J44" s="500">
        <v>13</v>
      </c>
      <c r="K44" s="741">
        <v>11</v>
      </c>
      <c r="L44" s="741">
        <v>12</v>
      </c>
      <c r="M44" s="731">
        <f>LOOKUP(K44,'3Ф КРУГ'!A:A,'3Ф КРУГ'!B:B)</f>
        <v>0</v>
      </c>
      <c r="N44" s="730" t="e">
        <f>IF(M44="","",VLOOKUP(M44,'Списки участников'!A:K,3,FALSE))</f>
        <v>#N/A</v>
      </c>
      <c r="O44" s="731">
        <f>LOOKUP(L44,'3Ф КРУГ'!A:A,'3Ф КРУГ'!B:B)</f>
        <v>0</v>
      </c>
      <c r="P44" s="730" t="e">
        <f>IF(O44="","",VLOOKUP(O44,'Списки участников'!A:K,3,FALSE))</f>
        <v>#N/A</v>
      </c>
    </row>
    <row r="45" spans="1:16" ht="17.25" x14ac:dyDescent="0.25">
      <c r="A45" s="486">
        <v>41</v>
      </c>
      <c r="B45" s="496">
        <v>6</v>
      </c>
      <c r="C45" s="742">
        <v>1</v>
      </c>
      <c r="D45" s="743">
        <v>11</v>
      </c>
      <c r="E45" s="485">
        <f>LOOKUP(C45,'3Ф КРУГ'!A:A,'3Ф КРУГ'!B:B)</f>
        <v>0</v>
      </c>
      <c r="F45" s="922" t="e">
        <f>IF(E45="","",VLOOKUP(E45,'Списки участников'!A:K,3,FALSE))</f>
        <v>#N/A</v>
      </c>
      <c r="G45" s="485">
        <f>LOOKUP(D45,'3Ф КРУГ'!A:A,'3Ф КРУГ'!B:B)</f>
        <v>0</v>
      </c>
      <c r="H45" s="922" t="e">
        <f>IF(G45="","",VLOOKUP(G45,'Списки участников'!A:K,3,FALSE))</f>
        <v>#N/A</v>
      </c>
      <c r="I45" s="915">
        <v>105</v>
      </c>
      <c r="J45" s="496">
        <v>14</v>
      </c>
      <c r="K45" s="743">
        <v>1</v>
      </c>
      <c r="L45" s="743">
        <v>3</v>
      </c>
      <c r="M45" s="485">
        <f>LOOKUP(K45,'3Ф КРУГ'!A:A,'3Ф КРУГ'!B:B)</f>
        <v>0</v>
      </c>
      <c r="N45" s="922" t="e">
        <f>IF(M45="","",VLOOKUP(M45,'Списки участников'!A:K,3,FALSE))</f>
        <v>#N/A</v>
      </c>
      <c r="O45" s="485">
        <f>LOOKUP(L45,'3Ф КРУГ'!A:A,'3Ф КРУГ'!B:B)</f>
        <v>0</v>
      </c>
      <c r="P45" s="922" t="e">
        <f>IF(O45="","",VLOOKUP(O45,'Списки участников'!A:K,3,FALSE))</f>
        <v>#N/A</v>
      </c>
    </row>
    <row r="46" spans="1:16" ht="17.25" x14ac:dyDescent="0.25">
      <c r="A46" s="486">
        <v>42</v>
      </c>
      <c r="B46" s="496">
        <v>6</v>
      </c>
      <c r="C46" s="738">
        <v>10</v>
      </c>
      <c r="D46" s="739">
        <v>12</v>
      </c>
      <c r="E46" s="484">
        <f>LOOKUP(C46,'3Ф КРУГ'!A:A,'3Ф КРУГ'!B:B)</f>
        <v>0</v>
      </c>
      <c r="F46" s="922" t="e">
        <f>IF(E46="","",VLOOKUP(E46,'Списки участников'!A:K,3,FALSE))</f>
        <v>#N/A</v>
      </c>
      <c r="G46" s="485">
        <f>LOOKUP(D46,'3Ф КРУГ'!A:A,'3Ф КРУГ'!B:B)</f>
        <v>0</v>
      </c>
      <c r="H46" s="922" t="e">
        <f>IF(G46="","",VLOOKUP(G46,'Списки участников'!A:K,3,FALSE))</f>
        <v>#N/A</v>
      </c>
      <c r="I46" s="486">
        <v>106</v>
      </c>
      <c r="J46" s="496">
        <v>14</v>
      </c>
      <c r="K46" s="739">
        <v>2</v>
      </c>
      <c r="L46" s="743">
        <v>4</v>
      </c>
      <c r="M46" s="485">
        <f>LOOKUP(K46,'3Ф КРУГ'!A:A,'3Ф КРУГ'!B:B)</f>
        <v>0</v>
      </c>
      <c r="N46" s="922" t="e">
        <f>IF(M46="","",VLOOKUP(M46,'Списки участников'!A:K,3,FALSE))</f>
        <v>#N/A</v>
      </c>
      <c r="O46" s="485">
        <f>LOOKUP(L46,'3Ф КРУГ'!A:A,'3Ф КРУГ'!B:B)</f>
        <v>0</v>
      </c>
      <c r="P46" s="922" t="e">
        <f>IF(O46="","",VLOOKUP(O46,'Списки участников'!A:K,3,FALSE))</f>
        <v>#N/A</v>
      </c>
    </row>
    <row r="47" spans="1:16" ht="17.25" x14ac:dyDescent="0.25">
      <c r="A47" s="486">
        <v>43</v>
      </c>
      <c r="B47" s="496">
        <v>6</v>
      </c>
      <c r="C47" s="738">
        <v>9</v>
      </c>
      <c r="D47" s="739">
        <v>13</v>
      </c>
      <c r="E47" s="484">
        <f>LOOKUP(C47,'3Ф КРУГ'!A:A,'3Ф КРУГ'!B:B)</f>
        <v>0</v>
      </c>
      <c r="F47" s="922" t="e">
        <f>IF(E47="","",VLOOKUP(E47,'Списки участников'!A:K,3,FALSE))</f>
        <v>#N/A</v>
      </c>
      <c r="G47" s="485">
        <f>LOOKUP(D47,'3Ф КРУГ'!A:A,'3Ф КРУГ'!B:B)</f>
        <v>0</v>
      </c>
      <c r="H47" s="922" t="e">
        <f>IF(G47="","",VLOOKUP(G47,'Списки участников'!A:K,3,FALSE))</f>
        <v>#N/A</v>
      </c>
      <c r="I47" s="486">
        <v>107</v>
      </c>
      <c r="J47" s="496">
        <v>14</v>
      </c>
      <c r="K47" s="739">
        <v>5</v>
      </c>
      <c r="L47" s="743">
        <v>16</v>
      </c>
      <c r="M47" s="485">
        <f>LOOKUP(K47,'3Ф КРУГ'!A:A,'3Ф КРУГ'!B:B)</f>
        <v>0</v>
      </c>
      <c r="N47" s="922" t="e">
        <f>IF(M47="","",VLOOKUP(M47,'Списки участников'!A:K,3,FALSE))</f>
        <v>#N/A</v>
      </c>
      <c r="O47" s="485">
        <f>LOOKUP(L47,'3Ф КРУГ'!A:A,'3Ф КРУГ'!B:B)</f>
        <v>0</v>
      </c>
      <c r="P47" s="922" t="e">
        <f>IF(O47="","",VLOOKUP(O47,'Списки участников'!A:K,3,FALSE))</f>
        <v>#N/A</v>
      </c>
    </row>
    <row r="48" spans="1:16" ht="17.25" x14ac:dyDescent="0.25">
      <c r="A48" s="486">
        <v>44</v>
      </c>
      <c r="B48" s="496">
        <v>6</v>
      </c>
      <c r="C48" s="738">
        <v>8</v>
      </c>
      <c r="D48" s="739">
        <v>14</v>
      </c>
      <c r="E48" s="484">
        <f>LOOKUP(C48,'3Ф КРУГ'!A:A,'3Ф КРУГ'!B:B)</f>
        <v>0</v>
      </c>
      <c r="F48" s="922" t="e">
        <f>IF(E48="","",VLOOKUP(E48,'Списки участников'!A:K,3,FALSE))</f>
        <v>#N/A</v>
      </c>
      <c r="G48" s="485">
        <f>LOOKUP(D48,'3Ф КРУГ'!A:A,'3Ф КРУГ'!B:B)</f>
        <v>0</v>
      </c>
      <c r="H48" s="922" t="e">
        <f>IF(G48="","",VLOOKUP(G48,'Списки участников'!A:K,3,FALSE))</f>
        <v>#N/A</v>
      </c>
      <c r="I48" s="486">
        <v>108</v>
      </c>
      <c r="J48" s="496">
        <v>14</v>
      </c>
      <c r="K48" s="739">
        <v>6</v>
      </c>
      <c r="L48" s="743">
        <v>15</v>
      </c>
      <c r="M48" s="485">
        <f>LOOKUP(K48,'3Ф КРУГ'!A:A,'3Ф КРУГ'!B:B)</f>
        <v>0</v>
      </c>
      <c r="N48" s="922" t="e">
        <f>IF(M48="","",VLOOKUP(M48,'Списки участников'!A:K,3,FALSE))</f>
        <v>#N/A</v>
      </c>
      <c r="O48" s="485">
        <f>LOOKUP(L48,'3Ф КРУГ'!A:A,'3Ф КРУГ'!B:B)</f>
        <v>0</v>
      </c>
      <c r="P48" s="922" t="e">
        <f>IF(O48="","",VLOOKUP(O48,'Списки участников'!A:K,3,FALSE))</f>
        <v>#N/A</v>
      </c>
    </row>
    <row r="49" spans="1:16" ht="17.25" x14ac:dyDescent="0.25">
      <c r="A49" s="486">
        <v>45</v>
      </c>
      <c r="B49" s="501">
        <v>6</v>
      </c>
      <c r="C49" s="738">
        <v>7</v>
      </c>
      <c r="D49" s="739">
        <v>15</v>
      </c>
      <c r="E49" s="484">
        <f>LOOKUP(C49,'3Ф КРУГ'!A:A,'3Ф КРУГ'!B:B)</f>
        <v>0</v>
      </c>
      <c r="F49" s="922" t="e">
        <f>IF(E49="","",VLOOKUP(E49,'Списки участников'!A:K,3,FALSE))</f>
        <v>#N/A</v>
      </c>
      <c r="G49" s="485">
        <f>LOOKUP(D49,'3Ф КРУГ'!A:A,'3Ф КРУГ'!B:B)</f>
        <v>0</v>
      </c>
      <c r="H49" s="922" t="e">
        <f>IF(G49="","",VLOOKUP(G49,'Списки участников'!A:K,3,FALSE))</f>
        <v>#N/A</v>
      </c>
      <c r="I49" s="486">
        <v>109</v>
      </c>
      <c r="J49" s="501">
        <v>14</v>
      </c>
      <c r="K49" s="739">
        <v>7</v>
      </c>
      <c r="L49" s="743">
        <v>14</v>
      </c>
      <c r="M49" s="485">
        <f>LOOKUP(K49,'3Ф КРУГ'!A:A,'3Ф КРУГ'!B:B)</f>
        <v>0</v>
      </c>
      <c r="N49" s="922" t="e">
        <f>IF(M49="","",VLOOKUP(M49,'Списки участников'!A:K,3,FALSE))</f>
        <v>#N/A</v>
      </c>
      <c r="O49" s="485">
        <f>LOOKUP(L49,'3Ф КРУГ'!A:A,'3Ф КРУГ'!B:B)</f>
        <v>0</v>
      </c>
      <c r="P49" s="922" t="e">
        <f>IF(O49="","",VLOOKUP(O49,'Списки участников'!A:K,3,FALSE))</f>
        <v>#N/A</v>
      </c>
    </row>
    <row r="50" spans="1:16" ht="17.25" x14ac:dyDescent="0.25">
      <c r="A50" s="486">
        <v>46</v>
      </c>
      <c r="B50" s="496">
        <v>6</v>
      </c>
      <c r="C50" s="738">
        <v>6</v>
      </c>
      <c r="D50" s="739">
        <v>16</v>
      </c>
      <c r="E50" s="484">
        <f>LOOKUP(C50,'3Ф КРУГ'!A:A,'3Ф КРУГ'!B:B)</f>
        <v>0</v>
      </c>
      <c r="F50" s="922" t="e">
        <f>IF(E50="","",VLOOKUP(E50,'Списки участников'!A:K,3,FALSE))</f>
        <v>#N/A</v>
      </c>
      <c r="G50" s="485">
        <f>LOOKUP(D50,'3Ф КРУГ'!A:A,'3Ф КРУГ'!B:B)</f>
        <v>0</v>
      </c>
      <c r="H50" s="922" t="e">
        <f>IF(G50="","",VLOOKUP(G50,'Списки участников'!A:K,3,FALSE))</f>
        <v>#N/A</v>
      </c>
      <c r="I50" s="486">
        <v>110</v>
      </c>
      <c r="J50" s="496">
        <v>14</v>
      </c>
      <c r="K50" s="745">
        <v>8</v>
      </c>
      <c r="L50" s="739">
        <v>13</v>
      </c>
      <c r="M50" s="485">
        <f>LOOKUP(K50,'3Ф КРУГ'!A:A,'3Ф КРУГ'!B:B)</f>
        <v>0</v>
      </c>
      <c r="N50" s="922" t="e">
        <f>IF(M50="","",VLOOKUP(M50,'Списки участников'!A:K,3,FALSE))</f>
        <v>#N/A</v>
      </c>
      <c r="O50" s="485">
        <f>LOOKUP(L50,'3Ф КРУГ'!A:A,'3Ф КРУГ'!B:B)</f>
        <v>0</v>
      </c>
      <c r="P50" s="922" t="e">
        <f>IF(O50="","",VLOOKUP(O50,'Списки участников'!A:K,3,FALSE))</f>
        <v>#N/A</v>
      </c>
    </row>
    <row r="51" spans="1:16" ht="17.25" x14ac:dyDescent="0.25">
      <c r="A51" s="486">
        <v>47</v>
      </c>
      <c r="B51" s="496">
        <v>6</v>
      </c>
      <c r="C51" s="738">
        <v>2</v>
      </c>
      <c r="D51" s="739">
        <v>5</v>
      </c>
      <c r="E51" s="484">
        <f>LOOKUP(C51,'3Ф КРУГ'!A:A,'3Ф КРУГ'!B:B)</f>
        <v>0</v>
      </c>
      <c r="F51" s="922" t="e">
        <f>IF(E51="","",VLOOKUP(E51,'Списки участников'!A:K,3,FALSE))</f>
        <v>#N/A</v>
      </c>
      <c r="G51" s="485">
        <f>LOOKUP(D51,'3Ф КРУГ'!A:A,'3Ф КРУГ'!B:B)</f>
        <v>0</v>
      </c>
      <c r="H51" s="922" t="e">
        <f>IF(G51="","",VLOOKUP(G51,'Списки участников'!A:K,3,FALSE))</f>
        <v>#N/A</v>
      </c>
      <c r="I51" s="486">
        <v>111</v>
      </c>
      <c r="J51" s="496">
        <v>14</v>
      </c>
      <c r="K51" s="745">
        <v>9</v>
      </c>
      <c r="L51" s="739">
        <v>12</v>
      </c>
      <c r="M51" s="485">
        <f>LOOKUP(K51,'3Ф КРУГ'!A:A,'3Ф КРУГ'!B:B)</f>
        <v>0</v>
      </c>
      <c r="N51" s="922" t="e">
        <f>IF(M51="","",VLOOKUP(M51,'Списки участников'!A:K,3,FALSE))</f>
        <v>#N/A</v>
      </c>
      <c r="O51" s="485">
        <f>LOOKUP(L51,'3Ф КРУГ'!A:A,'3Ф КРУГ'!B:B)</f>
        <v>0</v>
      </c>
      <c r="P51" s="922" t="e">
        <f>IF(O51="","",VLOOKUP(O51,'Списки участников'!A:K,3,FALSE))</f>
        <v>#N/A</v>
      </c>
    </row>
    <row r="52" spans="1:16" ht="18" thickBot="1" x14ac:dyDescent="0.3">
      <c r="A52" s="486">
        <v>48</v>
      </c>
      <c r="B52" s="500">
        <v>6</v>
      </c>
      <c r="C52" s="740">
        <v>3</v>
      </c>
      <c r="D52" s="741">
        <v>4</v>
      </c>
      <c r="E52" s="494">
        <f>LOOKUP(C52,'3Ф КРУГ'!A:A,'3Ф КРУГ'!B:B)</f>
        <v>0</v>
      </c>
      <c r="F52" s="730" t="e">
        <f>IF(E52="","",VLOOKUP(E52,'Списки участников'!A:K,3,FALSE))</f>
        <v>#N/A</v>
      </c>
      <c r="G52" s="731">
        <f>LOOKUP(D52,'3Ф КРУГ'!A:A,'3Ф КРУГ'!B:B)</f>
        <v>0</v>
      </c>
      <c r="H52" s="730" t="e">
        <f>IF(G52="","",VLOOKUP(G52,'Списки участников'!A:K,3,FALSE))</f>
        <v>#N/A</v>
      </c>
      <c r="I52" s="702">
        <v>112</v>
      </c>
      <c r="J52" s="500">
        <v>14</v>
      </c>
      <c r="K52" s="741">
        <v>10</v>
      </c>
      <c r="L52" s="746">
        <v>11</v>
      </c>
      <c r="M52" s="731">
        <f>LOOKUP(K52,'3Ф КРУГ'!A:A,'3Ф КРУГ'!B:B)</f>
        <v>0</v>
      </c>
      <c r="N52" s="730" t="e">
        <f>IF(M52="","",VLOOKUP(M52,'Списки участников'!A:K,3,FALSE))</f>
        <v>#N/A</v>
      </c>
      <c r="O52" s="731">
        <f>LOOKUP(L52,'3Ф КРУГ'!A:A,'3Ф КРУГ'!B:B)</f>
        <v>0</v>
      </c>
      <c r="P52" s="730" t="e">
        <f>IF(O52="","",VLOOKUP(O52,'Списки участников'!A:K,3,FALSE))</f>
        <v>#N/A</v>
      </c>
    </row>
    <row r="53" spans="1:16" ht="17.25" x14ac:dyDescent="0.25">
      <c r="A53" s="486">
        <v>49</v>
      </c>
      <c r="B53" s="496">
        <v>7</v>
      </c>
      <c r="C53" s="742">
        <v>1</v>
      </c>
      <c r="D53" s="743">
        <v>10</v>
      </c>
      <c r="E53" s="485">
        <f>LOOKUP(C53,'3Ф КРУГ'!A:A,'3Ф КРУГ'!B:B)</f>
        <v>0</v>
      </c>
      <c r="F53" s="922" t="e">
        <f>IF(E53="","",VLOOKUP(E53,'Списки участников'!A:K,3,FALSE))</f>
        <v>#N/A</v>
      </c>
      <c r="G53" s="485">
        <f>LOOKUP(D53,'3Ф КРУГ'!A:A,'3Ф КРУГ'!B:B)</f>
        <v>0</v>
      </c>
      <c r="H53" s="922" t="e">
        <f>IF(G53="","",VLOOKUP(G53,'Списки участников'!A:K,3,FALSE))</f>
        <v>#N/A</v>
      </c>
      <c r="I53" s="915">
        <v>113</v>
      </c>
      <c r="J53" s="496">
        <v>15</v>
      </c>
      <c r="K53" s="743">
        <v>1</v>
      </c>
      <c r="L53" s="743">
        <v>2</v>
      </c>
      <c r="M53" s="485">
        <f>LOOKUP(K53,'3Ф КРУГ'!A:A,'3Ф КРУГ'!B:B)</f>
        <v>0</v>
      </c>
      <c r="N53" s="922" t="e">
        <f>IF(M53="","",VLOOKUP(M53,'Списки участников'!A:K,3,FALSE))</f>
        <v>#N/A</v>
      </c>
      <c r="O53" s="485">
        <f>LOOKUP(L53,'3Ф КРУГ'!A:A,'3Ф КРУГ'!B:B)</f>
        <v>0</v>
      </c>
      <c r="P53" s="922" t="e">
        <f>IF(O53="","",VLOOKUP(O53,'Списки участников'!A:K,3,FALSE))</f>
        <v>#N/A</v>
      </c>
    </row>
    <row r="54" spans="1:16" ht="17.25" x14ac:dyDescent="0.25">
      <c r="A54" s="486">
        <v>50</v>
      </c>
      <c r="B54" s="496">
        <v>7</v>
      </c>
      <c r="C54" s="738">
        <v>9</v>
      </c>
      <c r="D54" s="739">
        <v>11</v>
      </c>
      <c r="E54" s="484">
        <f>LOOKUP(C54,'3Ф КРУГ'!A:A,'3Ф КРУГ'!B:B)</f>
        <v>0</v>
      </c>
      <c r="F54" s="922" t="e">
        <f>IF(E54="","",VLOOKUP(E54,'Списки участников'!A:K,3,FALSE))</f>
        <v>#N/A</v>
      </c>
      <c r="G54" s="485">
        <f>LOOKUP(D54,'3Ф КРУГ'!A:A,'3Ф КРУГ'!B:B)</f>
        <v>0</v>
      </c>
      <c r="H54" s="922" t="e">
        <f>IF(G54="","",VLOOKUP(G54,'Списки участников'!A:K,3,FALSE))</f>
        <v>#N/A</v>
      </c>
      <c r="I54" s="486">
        <v>114</v>
      </c>
      <c r="J54" s="496">
        <v>15</v>
      </c>
      <c r="K54" s="739">
        <v>3</v>
      </c>
      <c r="L54" s="739">
        <v>16</v>
      </c>
      <c r="M54" s="485">
        <f>LOOKUP(K54,'3Ф КРУГ'!A:A,'3Ф КРУГ'!B:B)</f>
        <v>0</v>
      </c>
      <c r="N54" s="922" t="e">
        <f>IF(M54="","",VLOOKUP(M54,'Списки участников'!A:K,3,FALSE))</f>
        <v>#N/A</v>
      </c>
      <c r="O54" s="485">
        <f>LOOKUP(L54,'3Ф КРУГ'!A:A,'3Ф КРУГ'!B:B)</f>
        <v>0</v>
      </c>
      <c r="P54" s="922" t="e">
        <f>IF(O54="","",VLOOKUP(O54,'Списки участников'!A:K,3,FALSE))</f>
        <v>#N/A</v>
      </c>
    </row>
    <row r="55" spans="1:16" ht="17.25" x14ac:dyDescent="0.25">
      <c r="A55" s="486">
        <v>51</v>
      </c>
      <c r="B55" s="496">
        <v>7</v>
      </c>
      <c r="C55" s="738">
        <v>8</v>
      </c>
      <c r="D55" s="739">
        <v>12</v>
      </c>
      <c r="E55" s="484">
        <f>LOOKUP(C55,'3Ф КРУГ'!A:A,'3Ф КРУГ'!B:B)</f>
        <v>0</v>
      </c>
      <c r="F55" s="922" t="e">
        <f>IF(E55="","",VLOOKUP(E55,'Списки участников'!A:K,3,FALSE))</f>
        <v>#N/A</v>
      </c>
      <c r="G55" s="485">
        <f>LOOKUP(D55,'3Ф КРУГ'!A:A,'3Ф КРУГ'!B:B)</f>
        <v>0</v>
      </c>
      <c r="H55" s="922" t="e">
        <f>IF(G55="","",VLOOKUP(G55,'Списки участников'!A:K,3,FALSE))</f>
        <v>#N/A</v>
      </c>
      <c r="I55" s="486">
        <v>115</v>
      </c>
      <c r="J55" s="496">
        <v>15</v>
      </c>
      <c r="K55" s="739">
        <v>4</v>
      </c>
      <c r="L55" s="739">
        <v>15</v>
      </c>
      <c r="M55" s="485">
        <f>LOOKUP(K55,'3Ф КРУГ'!A:A,'3Ф КРУГ'!B:B)</f>
        <v>0</v>
      </c>
      <c r="N55" s="922" t="e">
        <f>IF(M55="","",VLOOKUP(M55,'Списки участников'!A:K,3,FALSE))</f>
        <v>#N/A</v>
      </c>
      <c r="O55" s="485">
        <f>LOOKUP(L55,'3Ф КРУГ'!A:A,'3Ф КРУГ'!B:B)</f>
        <v>0</v>
      </c>
      <c r="P55" s="922" t="e">
        <f>IF(O55="","",VLOOKUP(O55,'Списки участников'!A:K,3,FALSE))</f>
        <v>#N/A</v>
      </c>
    </row>
    <row r="56" spans="1:16" ht="17.25" x14ac:dyDescent="0.25">
      <c r="A56" s="486">
        <v>52</v>
      </c>
      <c r="B56" s="496">
        <v>7</v>
      </c>
      <c r="C56" s="738">
        <v>7</v>
      </c>
      <c r="D56" s="739">
        <v>13</v>
      </c>
      <c r="E56" s="484">
        <f>LOOKUP(C56,'3Ф КРУГ'!A:A,'3Ф КРУГ'!B:B)</f>
        <v>0</v>
      </c>
      <c r="F56" s="922" t="e">
        <f>IF(E56="","",VLOOKUP(E56,'Списки участников'!A:K,3,FALSE))</f>
        <v>#N/A</v>
      </c>
      <c r="G56" s="485">
        <f>LOOKUP(D56,'3Ф КРУГ'!A:A,'3Ф КРУГ'!B:B)</f>
        <v>0</v>
      </c>
      <c r="H56" s="922" t="e">
        <f>IF(G56="","",VLOOKUP(G56,'Списки участников'!A:K,3,FALSE))</f>
        <v>#N/A</v>
      </c>
      <c r="I56" s="486">
        <v>116</v>
      </c>
      <c r="J56" s="496">
        <v>15</v>
      </c>
      <c r="K56" s="739">
        <v>5</v>
      </c>
      <c r="L56" s="739">
        <v>14</v>
      </c>
      <c r="M56" s="485">
        <f>LOOKUP(K56,'3Ф КРУГ'!A:A,'3Ф КРУГ'!B:B)</f>
        <v>0</v>
      </c>
      <c r="N56" s="922" t="e">
        <f>IF(M56="","",VLOOKUP(M56,'Списки участников'!A:K,3,FALSE))</f>
        <v>#N/A</v>
      </c>
      <c r="O56" s="485">
        <f>LOOKUP(L56,'3Ф КРУГ'!A:A,'3Ф КРУГ'!B:B)</f>
        <v>0</v>
      </c>
      <c r="P56" s="922" t="e">
        <f>IF(O56="","",VLOOKUP(O56,'Списки участников'!A:K,3,FALSE))</f>
        <v>#N/A</v>
      </c>
    </row>
    <row r="57" spans="1:16" ht="17.25" x14ac:dyDescent="0.25">
      <c r="A57" s="486">
        <v>53</v>
      </c>
      <c r="B57" s="501">
        <v>7</v>
      </c>
      <c r="C57" s="738">
        <v>6</v>
      </c>
      <c r="D57" s="739">
        <v>14</v>
      </c>
      <c r="E57" s="484">
        <f>LOOKUP(C57,'3Ф КРУГ'!A:A,'3Ф КРУГ'!B:B)</f>
        <v>0</v>
      </c>
      <c r="F57" s="922" t="e">
        <f>IF(E57="","",VLOOKUP(E57,'Списки участников'!A:K,3,FALSE))</f>
        <v>#N/A</v>
      </c>
      <c r="G57" s="485">
        <f>LOOKUP(D57,'3Ф КРУГ'!A:A,'3Ф КРУГ'!B:B)</f>
        <v>0</v>
      </c>
      <c r="H57" s="922" t="e">
        <f>IF(G57="","",VLOOKUP(G57,'Списки участников'!A:K,3,FALSE))</f>
        <v>#N/A</v>
      </c>
      <c r="I57" s="486">
        <v>117</v>
      </c>
      <c r="J57" s="501">
        <v>15</v>
      </c>
      <c r="K57" s="739">
        <v>6</v>
      </c>
      <c r="L57" s="739">
        <v>13</v>
      </c>
      <c r="M57" s="485">
        <f>LOOKUP(K57,'3Ф КРУГ'!A:A,'3Ф КРУГ'!B:B)</f>
        <v>0</v>
      </c>
      <c r="N57" s="922" t="e">
        <f>IF(M57="","",VLOOKUP(M57,'Списки участников'!A:K,3,FALSE))</f>
        <v>#N/A</v>
      </c>
      <c r="O57" s="485">
        <f>LOOKUP(L57,'3Ф КРУГ'!A:A,'3Ф КРУГ'!B:B)</f>
        <v>0</v>
      </c>
      <c r="P57" s="922" t="e">
        <f>IF(O57="","",VLOOKUP(O57,'Списки участников'!A:K,3,FALSE))</f>
        <v>#N/A</v>
      </c>
    </row>
    <row r="58" spans="1:16" ht="17.25" x14ac:dyDescent="0.25">
      <c r="A58" s="486">
        <v>54</v>
      </c>
      <c r="B58" s="496">
        <v>7</v>
      </c>
      <c r="C58" s="738">
        <v>5</v>
      </c>
      <c r="D58" s="739">
        <v>15</v>
      </c>
      <c r="E58" s="484">
        <f>LOOKUP(C58,'3Ф КРУГ'!A:A,'3Ф КРУГ'!B:B)</f>
        <v>0</v>
      </c>
      <c r="F58" s="922" t="e">
        <f>IF(E58="","",VLOOKUP(E58,'Списки участников'!A:K,3,FALSE))</f>
        <v>#N/A</v>
      </c>
      <c r="G58" s="485">
        <f>LOOKUP(D58,'3Ф КРУГ'!A:A,'3Ф КРУГ'!B:B)</f>
        <v>0</v>
      </c>
      <c r="H58" s="922" t="e">
        <f>IF(G58="","",VLOOKUP(G58,'Списки участников'!A:K,3,FALSE))</f>
        <v>#N/A</v>
      </c>
      <c r="I58" s="486">
        <v>118</v>
      </c>
      <c r="J58" s="496">
        <v>15</v>
      </c>
      <c r="K58" s="745">
        <v>7</v>
      </c>
      <c r="L58" s="745">
        <v>12</v>
      </c>
      <c r="M58" s="485">
        <f>LOOKUP(K58,'3Ф КРУГ'!A:A,'3Ф КРУГ'!B:B)</f>
        <v>0</v>
      </c>
      <c r="N58" s="922" t="e">
        <f>IF(M58="","",VLOOKUP(M58,'Списки участников'!A:K,3,FALSE))</f>
        <v>#N/A</v>
      </c>
      <c r="O58" s="485">
        <f>LOOKUP(L58,'3Ф КРУГ'!A:A,'3Ф КРУГ'!B:B)</f>
        <v>0</v>
      </c>
      <c r="P58" s="922" t="e">
        <f>IF(O58="","",VLOOKUP(O58,'Списки участников'!A:K,3,FALSE))</f>
        <v>#N/A</v>
      </c>
    </row>
    <row r="59" spans="1:16" ht="17.25" x14ac:dyDescent="0.25">
      <c r="A59" s="486">
        <v>55</v>
      </c>
      <c r="B59" s="496">
        <v>7</v>
      </c>
      <c r="C59" s="738">
        <v>4</v>
      </c>
      <c r="D59" s="739">
        <v>16</v>
      </c>
      <c r="E59" s="484">
        <f>LOOKUP(C59,'3Ф КРУГ'!A:A,'3Ф КРУГ'!B:B)</f>
        <v>0</v>
      </c>
      <c r="F59" s="922" t="e">
        <f>IF(E59="","",VLOOKUP(E59,'Списки участников'!A:K,3,FALSE))</f>
        <v>#N/A</v>
      </c>
      <c r="G59" s="485">
        <f>LOOKUP(D59,'3Ф КРУГ'!A:A,'3Ф КРУГ'!B:B)</f>
        <v>0</v>
      </c>
      <c r="H59" s="922" t="e">
        <f>IF(G59="","",VLOOKUP(G59,'Списки участников'!A:K,3,FALSE))</f>
        <v>#N/A</v>
      </c>
      <c r="I59" s="486">
        <v>119</v>
      </c>
      <c r="J59" s="496">
        <v>15</v>
      </c>
      <c r="K59" s="745">
        <v>8</v>
      </c>
      <c r="L59" s="745">
        <v>11</v>
      </c>
      <c r="M59" s="485">
        <f>LOOKUP(K59,'3Ф КРУГ'!A:A,'3Ф КРУГ'!B:B)</f>
        <v>0</v>
      </c>
      <c r="N59" s="922" t="e">
        <f>IF(M59="","",VLOOKUP(M59,'Списки участников'!A:K,3,FALSE))</f>
        <v>#N/A</v>
      </c>
      <c r="O59" s="485">
        <f>LOOKUP(L59,'3Ф КРУГ'!A:A,'3Ф КРУГ'!B:B)</f>
        <v>0</v>
      </c>
      <c r="P59" s="922" t="e">
        <f>IF(O59="","",VLOOKUP(O59,'Списки участников'!A:K,3,FALSE))</f>
        <v>#N/A</v>
      </c>
    </row>
    <row r="60" spans="1:16" ht="18" thickBot="1" x14ac:dyDescent="0.3">
      <c r="A60" s="486">
        <v>56</v>
      </c>
      <c r="B60" s="500">
        <v>7</v>
      </c>
      <c r="C60" s="740">
        <v>2</v>
      </c>
      <c r="D60" s="744">
        <v>3</v>
      </c>
      <c r="E60" s="494">
        <f>LOOKUP(C60,'3Ф КРУГ'!A:A,'3Ф КРУГ'!B:B)</f>
        <v>0</v>
      </c>
      <c r="F60" s="730" t="e">
        <f>IF(E60="","",VLOOKUP(E60,'Списки участников'!A:K,3,FALSE))</f>
        <v>#N/A</v>
      </c>
      <c r="G60" s="731">
        <f>LOOKUP(D60,'3Ф КРУГ'!A:A,'3Ф КРУГ'!B:B)</f>
        <v>0</v>
      </c>
      <c r="H60" s="730" t="e">
        <f>IF(G60="","",VLOOKUP(G60,'Списки участников'!A:K,3,FALSE))</f>
        <v>#N/A</v>
      </c>
      <c r="I60" s="732">
        <v>120</v>
      </c>
      <c r="J60" s="500">
        <v>15</v>
      </c>
      <c r="K60" s="744">
        <v>9</v>
      </c>
      <c r="L60" s="744">
        <v>10</v>
      </c>
      <c r="M60" s="731">
        <f>LOOKUP(K60,'3Ф КРУГ'!A:A,'3Ф КРУГ'!B:B)</f>
        <v>0</v>
      </c>
      <c r="N60" s="730" t="e">
        <f>IF(M60="","",VLOOKUP(M60,'Списки участников'!A:K,3,FALSE))</f>
        <v>#N/A</v>
      </c>
      <c r="O60" s="731">
        <f>LOOKUP(L60,'3Ф КРУГ'!A:A,'3Ф КРУГ'!B:B)</f>
        <v>0</v>
      </c>
      <c r="P60" s="730" t="e">
        <f>IF(O60="","",VLOOKUP(O60,'Списки участников'!A:K,3,FALSE))</f>
        <v>#N/A</v>
      </c>
    </row>
    <row r="61" spans="1:16" ht="15.75" x14ac:dyDescent="0.25">
      <c r="A61" s="486">
        <v>57</v>
      </c>
      <c r="B61" s="496">
        <v>8</v>
      </c>
      <c r="C61" s="742">
        <v>1</v>
      </c>
      <c r="D61" s="743">
        <v>9</v>
      </c>
      <c r="E61" s="485">
        <f>LOOKUP(C61,'3Ф КРУГ'!A:A,'3Ф КРУГ'!B:B)</f>
        <v>0</v>
      </c>
      <c r="F61" s="922" t="e">
        <f>IF(E61="","",VLOOKUP(E61,'Списки участников'!A:K,3,FALSE))</f>
        <v>#N/A</v>
      </c>
      <c r="G61" s="485">
        <f>LOOKUP(D61,'3Ф КРУГ'!A:A,'3Ф КРУГ'!B:B)</f>
        <v>0</v>
      </c>
      <c r="H61" s="922" t="e">
        <f>IF(G61="","",VLOOKUP(G61,'Списки участников'!A:K,3,FALSE))</f>
        <v>#N/A</v>
      </c>
    </row>
    <row r="62" spans="1:16" ht="15.75" x14ac:dyDescent="0.25">
      <c r="A62" s="486">
        <v>58</v>
      </c>
      <c r="B62" s="496">
        <v>8</v>
      </c>
      <c r="C62" s="738">
        <v>8</v>
      </c>
      <c r="D62" s="739">
        <v>10</v>
      </c>
      <c r="E62" s="484">
        <f>LOOKUP(C62,'3Ф КРУГ'!A:A,'3Ф КРУГ'!B:B)</f>
        <v>0</v>
      </c>
      <c r="F62" s="922" t="e">
        <f>IF(E62="","",VLOOKUP(E62,'Списки участников'!A:K,3,FALSE))</f>
        <v>#N/A</v>
      </c>
      <c r="G62" s="485">
        <f>LOOKUP(D62,'3Ф КРУГ'!A:A,'3Ф КРУГ'!B:B)</f>
        <v>0</v>
      </c>
      <c r="H62" s="922" t="e">
        <f>IF(G62="","",VLOOKUP(G62,'Списки участников'!A:K,3,FALSE))</f>
        <v>#N/A</v>
      </c>
    </row>
    <row r="63" spans="1:16" ht="15.75" x14ac:dyDescent="0.25">
      <c r="A63" s="486">
        <v>59</v>
      </c>
      <c r="B63" s="496">
        <v>8</v>
      </c>
      <c r="C63" s="738">
        <v>7</v>
      </c>
      <c r="D63" s="739">
        <v>11</v>
      </c>
      <c r="E63" s="484">
        <f>LOOKUP(C63,'3Ф КРУГ'!A:A,'3Ф КРУГ'!B:B)</f>
        <v>0</v>
      </c>
      <c r="F63" s="922" t="e">
        <f>IF(E63="","",VLOOKUP(E63,'Списки участников'!A:K,3,FALSE))</f>
        <v>#N/A</v>
      </c>
      <c r="G63" s="485">
        <f>LOOKUP(D63,'3Ф КРУГ'!A:A,'3Ф КРУГ'!B:B)</f>
        <v>0</v>
      </c>
      <c r="H63" s="922" t="e">
        <f>IF(G63="","",VLOOKUP(G63,'Списки участников'!A:K,3,FALSE))</f>
        <v>#N/A</v>
      </c>
    </row>
    <row r="64" spans="1:16" ht="15.75" x14ac:dyDescent="0.25">
      <c r="A64" s="486">
        <v>60</v>
      </c>
      <c r="B64" s="496">
        <v>8</v>
      </c>
      <c r="C64" s="738">
        <v>6</v>
      </c>
      <c r="D64" s="739">
        <v>12</v>
      </c>
      <c r="E64" s="484">
        <f>LOOKUP(C64,'3Ф КРУГ'!A:A,'3Ф КРУГ'!B:B)</f>
        <v>0</v>
      </c>
      <c r="F64" s="922" t="e">
        <f>IF(E64="","",VLOOKUP(E64,'Списки участников'!A:K,3,FALSE))</f>
        <v>#N/A</v>
      </c>
      <c r="G64" s="485">
        <f>LOOKUP(D64,'3Ф КРУГ'!A:A,'3Ф КРУГ'!B:B)</f>
        <v>0</v>
      </c>
      <c r="H64" s="922" t="e">
        <f>IF(G64="","",VLOOKUP(G64,'Списки участников'!A:K,3,FALSE))</f>
        <v>#N/A</v>
      </c>
    </row>
    <row r="65" spans="1:8" ht="15.75" x14ac:dyDescent="0.25">
      <c r="A65" s="486">
        <v>61</v>
      </c>
      <c r="B65" s="501">
        <v>8</v>
      </c>
      <c r="C65" s="738">
        <v>5</v>
      </c>
      <c r="D65" s="739">
        <v>13</v>
      </c>
      <c r="E65" s="484">
        <f>LOOKUP(C65,'3Ф КРУГ'!A:A,'3Ф КРУГ'!B:B)</f>
        <v>0</v>
      </c>
      <c r="F65" s="922" t="e">
        <f>IF(E65="","",VLOOKUP(E65,'Списки участников'!A:K,3,FALSE))</f>
        <v>#N/A</v>
      </c>
      <c r="G65" s="485">
        <f>LOOKUP(D65,'3Ф КРУГ'!A:A,'3Ф КРУГ'!B:B)</f>
        <v>0</v>
      </c>
      <c r="H65" s="922" t="e">
        <f>IF(G65="","",VLOOKUP(G65,'Списки участников'!A:K,3,FALSE))</f>
        <v>#N/A</v>
      </c>
    </row>
    <row r="66" spans="1:8" ht="15.75" x14ac:dyDescent="0.25">
      <c r="A66" s="486">
        <v>62</v>
      </c>
      <c r="B66" s="496">
        <v>8</v>
      </c>
      <c r="C66" s="738">
        <v>4</v>
      </c>
      <c r="D66" s="739">
        <v>14</v>
      </c>
      <c r="E66" s="484">
        <f>LOOKUP(C66,'3Ф КРУГ'!A:A,'3Ф КРУГ'!B:B)</f>
        <v>0</v>
      </c>
      <c r="F66" s="922" t="e">
        <f>IF(E66="","",VLOOKUP(E66,'Списки участников'!A:K,3,FALSE))</f>
        <v>#N/A</v>
      </c>
      <c r="G66" s="485">
        <f>LOOKUP(D66,'3Ф КРУГ'!A:A,'3Ф КРУГ'!B:B)</f>
        <v>0</v>
      </c>
      <c r="H66" s="922" t="e">
        <f>IF(G66="","",VLOOKUP(G66,'Списки участников'!A:K,3,FALSE))</f>
        <v>#N/A</v>
      </c>
    </row>
    <row r="67" spans="1:8" ht="15.75" x14ac:dyDescent="0.25">
      <c r="A67" s="486">
        <v>63</v>
      </c>
      <c r="B67" s="496">
        <v>8</v>
      </c>
      <c r="C67" s="738">
        <v>3</v>
      </c>
      <c r="D67" s="739">
        <v>15</v>
      </c>
      <c r="E67" s="484">
        <f>LOOKUP(C67,'3Ф КРУГ'!A:A,'3Ф КРУГ'!B:B)</f>
        <v>0</v>
      </c>
      <c r="F67" s="922" t="e">
        <f>IF(E67="","",VLOOKUP(E67,'Списки участников'!A:K,3,FALSE))</f>
        <v>#N/A</v>
      </c>
      <c r="G67" s="485">
        <f>LOOKUP(D67,'3Ф КРУГ'!A:A,'3Ф КРУГ'!B:B)</f>
        <v>0</v>
      </c>
      <c r="H67" s="922" t="e">
        <f>IF(G67="","",VLOOKUP(G67,'Списки участников'!A:K,3,FALSE))</f>
        <v>#N/A</v>
      </c>
    </row>
    <row r="68" spans="1:8" ht="16.5" thickBot="1" x14ac:dyDescent="0.3">
      <c r="A68" s="486">
        <v>64</v>
      </c>
      <c r="B68" s="500">
        <v>8</v>
      </c>
      <c r="C68" s="740">
        <v>2</v>
      </c>
      <c r="D68" s="741">
        <v>16</v>
      </c>
      <c r="E68" s="484">
        <f>LOOKUP(C68,'3Ф КРУГ'!A:A,'3Ф КРУГ'!B:B)</f>
        <v>0</v>
      </c>
      <c r="F68" s="701" t="e">
        <f>IF(E68="","",VLOOKUP(E68,'Списки участников'!A:K,3,FALSE))</f>
        <v>#N/A</v>
      </c>
      <c r="G68" s="494">
        <f>LOOKUP(D68,'3Ф КРУГ'!A:A,'3Ф КРУГ'!B:B)</f>
        <v>0</v>
      </c>
      <c r="H68" s="701" t="e">
        <f>IF(G68="","",VLOOKUP(G68,'Списки участников'!A:K,3,FALSE))</f>
        <v>#N/A</v>
      </c>
    </row>
  </sheetData>
  <mergeCells count="13">
    <mergeCell ref="K3:L4"/>
    <mergeCell ref="N3:N4"/>
    <mergeCell ref="P3:P4"/>
    <mergeCell ref="A1:P1"/>
    <mergeCell ref="I2:L2"/>
    <mergeCell ref="A3:A4"/>
    <mergeCell ref="B3:B4"/>
    <mergeCell ref="C3:D4"/>
    <mergeCell ref="E3:E4"/>
    <mergeCell ref="F3:F4"/>
    <mergeCell ref="H3:H4"/>
    <mergeCell ref="I3:I4"/>
    <mergeCell ref="J3:J4"/>
  </mergeCells>
  <pageMargins left="0.31496062992125984" right="0.31496062992125984" top="0.35433070866141736" bottom="0.35433070866141736" header="0.31496062992125984" footer="0.31496062992125984"/>
  <pageSetup paperSize="9" scale="68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68"/>
  <sheetViews>
    <sheetView view="pageBreakPreview" zoomScale="90" zoomScaleNormal="100" zoomScaleSheetLayoutView="90" workbookViewId="0">
      <selection activeCell="E3" sqref="E3:E4"/>
    </sheetView>
  </sheetViews>
  <sheetFormatPr defaultRowHeight="12.75" outlineLevelCol="1" x14ac:dyDescent="0.2"/>
  <cols>
    <col min="1" max="1" width="6.6640625" customWidth="1"/>
    <col min="2" max="2" width="4.5" customWidth="1"/>
    <col min="3" max="4" width="5" customWidth="1"/>
    <col min="5" max="5" width="8" customWidth="1" outlineLevel="1"/>
    <col min="6" max="6" width="29.1640625" customWidth="1"/>
    <col min="7" max="7" width="9.33203125" customWidth="1" outlineLevel="1"/>
    <col min="8" max="8" width="29.1640625" customWidth="1"/>
    <col min="9" max="9" width="6.6640625" customWidth="1"/>
    <col min="10" max="10" width="4.83203125" customWidth="1"/>
    <col min="11" max="12" width="5" customWidth="1"/>
    <col min="13" max="13" width="9.33203125" customWidth="1" outlineLevel="1"/>
    <col min="14" max="14" width="29.1640625" customWidth="1"/>
    <col min="15" max="15" width="9.33203125" customWidth="1" outlineLevel="1"/>
    <col min="16" max="16" width="29.1640625" customWidth="1"/>
  </cols>
  <sheetData>
    <row r="1" spans="1:20" ht="21.75" customHeight="1" x14ac:dyDescent="0.3">
      <c r="A1" s="1310" t="str">
        <f>'Списки участников'!A1</f>
        <v xml:space="preserve">X Спартакиада
среди предприятий Нижегородской области ФСК "Профсоюзов",
под девизом "Будь спортивным - будь успешным!"
</v>
      </c>
      <c r="B1" s="1310"/>
      <c r="C1" s="1310"/>
      <c r="D1" s="1310"/>
      <c r="E1" s="1310"/>
      <c r="F1" s="1310"/>
      <c r="G1" s="1310"/>
      <c r="H1" s="1310"/>
      <c r="I1" s="1310"/>
      <c r="J1" s="1310"/>
      <c r="K1" s="1310"/>
      <c r="L1" s="1310"/>
      <c r="M1" s="1310"/>
      <c r="N1" s="1310"/>
      <c r="O1" s="1310"/>
      <c r="P1" s="1310"/>
    </row>
    <row r="2" spans="1:20" ht="16.5" thickBot="1" x14ac:dyDescent="0.3">
      <c r="A2" s="686" t="str">
        <f>'Списки участников'!C3</f>
        <v>22 октября 2016 г.</v>
      </c>
      <c r="B2" s="686"/>
      <c r="C2" s="686"/>
      <c r="D2" s="686"/>
      <c r="E2" s="685" t="s">
        <v>2687</v>
      </c>
      <c r="F2" s="685"/>
      <c r="G2" s="685"/>
      <c r="H2" s="794" t="s">
        <v>1056</v>
      </c>
      <c r="I2" s="1331">
        <f>'Списки участников'!D6</f>
        <v>0</v>
      </c>
      <c r="J2" s="1332"/>
      <c r="K2" s="1332"/>
      <c r="L2" s="1332"/>
      <c r="M2" s="685"/>
      <c r="N2" s="685"/>
      <c r="P2" s="684">
        <f>'Списки участников'!H3</f>
        <v>0</v>
      </c>
    </row>
    <row r="3" spans="1:20" ht="16.5" customHeight="1" x14ac:dyDescent="0.25">
      <c r="A3" s="1311" t="s">
        <v>1040</v>
      </c>
      <c r="B3" s="1313" t="s">
        <v>964</v>
      </c>
      <c r="C3" s="1327" t="s">
        <v>3</v>
      </c>
      <c r="D3" s="1328"/>
      <c r="E3" s="1315"/>
      <c r="F3" s="1317" t="s">
        <v>4</v>
      </c>
      <c r="G3" s="680"/>
      <c r="H3" s="1319" t="s">
        <v>4</v>
      </c>
      <c r="I3" s="1321" t="s">
        <v>1040</v>
      </c>
      <c r="J3" s="1323" t="s">
        <v>964</v>
      </c>
      <c r="K3" s="1333" t="s">
        <v>3</v>
      </c>
      <c r="L3" s="1334"/>
      <c r="M3" s="728"/>
      <c r="N3" s="1325" t="s">
        <v>4</v>
      </c>
      <c r="O3" s="681"/>
      <c r="P3" s="1308" t="s">
        <v>4</v>
      </c>
      <c r="R3" s="109"/>
      <c r="S3" s="109"/>
      <c r="T3" s="109"/>
    </row>
    <row r="4" spans="1:20" ht="16.5" thickBot="1" x14ac:dyDescent="0.3">
      <c r="A4" s="1312"/>
      <c r="B4" s="1314"/>
      <c r="C4" s="1329"/>
      <c r="D4" s="1330"/>
      <c r="E4" s="1316"/>
      <c r="F4" s="1318"/>
      <c r="G4" s="682"/>
      <c r="H4" s="1320"/>
      <c r="I4" s="1322"/>
      <c r="J4" s="1324"/>
      <c r="K4" s="1335"/>
      <c r="L4" s="1336"/>
      <c r="M4" s="729"/>
      <c r="N4" s="1326"/>
      <c r="O4" s="683"/>
      <c r="P4" s="1309"/>
      <c r="R4" s="109"/>
      <c r="S4" s="109"/>
      <c r="T4" s="109"/>
    </row>
    <row r="5" spans="1:20" ht="15.75" x14ac:dyDescent="0.25">
      <c r="A5" s="915">
        <v>1</v>
      </c>
      <c r="B5" s="482">
        <v>1</v>
      </c>
      <c r="C5" s="738">
        <v>1</v>
      </c>
      <c r="D5" s="739">
        <v>16</v>
      </c>
      <c r="E5" s="484">
        <f>LOOKUP(C5,'4Ф КРУГ'!A:A,'4Ф КРУГ'!B:B)</f>
        <v>0</v>
      </c>
      <c r="F5" s="922" t="e">
        <f>IF(E5="","",VLOOKUP(E5,'Списки участников'!A:K,3,FALSE))</f>
        <v>#N/A</v>
      </c>
      <c r="G5" s="485">
        <f>LOOKUP(D5,'4Ф КРУГ'!A:A,'4Ф КРУГ'!B:B)</f>
        <v>0</v>
      </c>
      <c r="H5" s="922" t="e">
        <f>IF(G5="","",VLOOKUP(G5,'Списки участников'!A:K,3,FALSE))</f>
        <v>#N/A</v>
      </c>
      <c r="I5" s="915">
        <v>65</v>
      </c>
      <c r="J5" s="496">
        <v>9</v>
      </c>
      <c r="K5" s="743">
        <v>1</v>
      </c>
      <c r="L5" s="743">
        <v>8</v>
      </c>
      <c r="M5" s="485">
        <f>LOOKUP(K5,'4Ф КРУГ'!A:A,'4Ф КРУГ'!B:B)</f>
        <v>0</v>
      </c>
      <c r="N5" s="922" t="e">
        <f>IF(M5="","",VLOOKUP(M5,'Списки участников'!A:K,3,FALSE))</f>
        <v>#N/A</v>
      </c>
      <c r="O5" s="485">
        <f>LOOKUP(L5,'4Ф КРУГ'!A:A,'4Ф КРУГ'!B:B)</f>
        <v>0</v>
      </c>
      <c r="P5" s="922" t="e">
        <f>IF(O5="","",VLOOKUP(O5,'Списки участников'!A:K,3,FALSE))</f>
        <v>#N/A</v>
      </c>
      <c r="Q5" s="749">
        <v>1</v>
      </c>
      <c r="R5" s="749">
        <v>1</v>
      </c>
      <c r="S5" s="109"/>
      <c r="T5" s="109"/>
    </row>
    <row r="6" spans="1:20" ht="15.75" x14ac:dyDescent="0.25">
      <c r="A6" s="486">
        <v>2</v>
      </c>
      <c r="B6" s="487">
        <v>1</v>
      </c>
      <c r="C6" s="738">
        <v>2</v>
      </c>
      <c r="D6" s="739">
        <v>15</v>
      </c>
      <c r="E6" s="484">
        <f>LOOKUP(C6,'4Ф КРУГ'!A:A,'4Ф КРУГ'!B:B)</f>
        <v>0</v>
      </c>
      <c r="F6" s="922" t="e">
        <f>IF(E6="","",VLOOKUP(E6,'Списки участников'!A:K,3,FALSE))</f>
        <v>#N/A</v>
      </c>
      <c r="G6" s="485">
        <f>LOOKUP(D6,'4Ф КРУГ'!A:A,'4Ф КРУГ'!B:B)</f>
        <v>0</v>
      </c>
      <c r="H6" s="922" t="e">
        <f>IF(G6="","",VLOOKUP(G6,'Списки участников'!A:K,3,FALSE))</f>
        <v>#N/A</v>
      </c>
      <c r="I6" s="486">
        <v>66</v>
      </c>
      <c r="J6" s="496">
        <v>9</v>
      </c>
      <c r="K6" s="739">
        <v>7</v>
      </c>
      <c r="L6" s="739">
        <v>9</v>
      </c>
      <c r="M6" s="485">
        <f>LOOKUP(K6,'4Ф КРУГ'!A:A,'4Ф КРУГ'!B:B)</f>
        <v>0</v>
      </c>
      <c r="N6" s="922" t="e">
        <f>IF(M6="","",VLOOKUP(M6,'Списки участников'!A:K,3,FALSE))</f>
        <v>#N/A</v>
      </c>
      <c r="O6" s="485">
        <f>LOOKUP(L6,'4Ф КРУГ'!A:A,'4Ф КРУГ'!B:B)</f>
        <v>0</v>
      </c>
      <c r="P6" s="922" t="e">
        <f>IF(O6="","",VLOOKUP(O6,'Списки участников'!A:K,3,FALSE))</f>
        <v>#N/A</v>
      </c>
      <c r="Q6" s="749">
        <v>2</v>
      </c>
      <c r="R6" s="749">
        <v>9</v>
      </c>
      <c r="S6" s="109"/>
      <c r="T6" s="109"/>
    </row>
    <row r="7" spans="1:20" ht="15.75" x14ac:dyDescent="0.25">
      <c r="A7" s="486">
        <v>3</v>
      </c>
      <c r="B7" s="487">
        <v>1</v>
      </c>
      <c r="C7" s="738">
        <v>3</v>
      </c>
      <c r="D7" s="739">
        <v>14</v>
      </c>
      <c r="E7" s="484">
        <f>LOOKUP(C7,'4Ф КРУГ'!A:A,'4Ф КРУГ'!B:B)</f>
        <v>0</v>
      </c>
      <c r="F7" s="922" t="e">
        <f>IF(E7="","",VLOOKUP(E7,'Списки участников'!A:K,3,FALSE))</f>
        <v>#N/A</v>
      </c>
      <c r="G7" s="485">
        <f>LOOKUP(D7,'4Ф КРУГ'!A:A,'4Ф КРУГ'!B:B)</f>
        <v>0</v>
      </c>
      <c r="H7" s="922" t="e">
        <f>IF(G7="","",VLOOKUP(G7,'Списки участников'!A:K,3,FALSE))</f>
        <v>#N/A</v>
      </c>
      <c r="I7" s="486">
        <v>67</v>
      </c>
      <c r="J7" s="496">
        <v>9</v>
      </c>
      <c r="K7" s="739">
        <v>6</v>
      </c>
      <c r="L7" s="739">
        <v>10</v>
      </c>
      <c r="M7" s="485">
        <f>LOOKUP(K7,'4Ф КРУГ'!A:A,'4Ф КРУГ'!B:B)</f>
        <v>0</v>
      </c>
      <c r="N7" s="922" t="e">
        <f>IF(M7="","",VLOOKUP(M7,'Списки участников'!A:K,3,FALSE))</f>
        <v>#N/A</v>
      </c>
      <c r="O7" s="485">
        <f>LOOKUP(L7,'4Ф КРУГ'!A:A,'4Ф КРУГ'!B:B)</f>
        <v>0</v>
      </c>
      <c r="P7" s="922" t="e">
        <f>IF(O7="","",VLOOKUP(O7,'Списки участников'!A:K,3,FALSE))</f>
        <v>#N/A</v>
      </c>
      <c r="Q7" s="749">
        <v>3</v>
      </c>
      <c r="R7" s="749">
        <v>17</v>
      </c>
      <c r="S7" s="109"/>
      <c r="T7" s="109"/>
    </row>
    <row r="8" spans="1:20" ht="15.75" x14ac:dyDescent="0.25">
      <c r="A8" s="486">
        <v>4</v>
      </c>
      <c r="B8" s="487">
        <v>1</v>
      </c>
      <c r="C8" s="738">
        <v>4</v>
      </c>
      <c r="D8" s="739">
        <v>13</v>
      </c>
      <c r="E8" s="484">
        <f>LOOKUP(C8,'4Ф КРУГ'!A:A,'4Ф КРУГ'!B:B)</f>
        <v>0</v>
      </c>
      <c r="F8" s="922" t="e">
        <f>IF(E8="","",VLOOKUP(E8,'Списки участников'!A:K,3,FALSE))</f>
        <v>#N/A</v>
      </c>
      <c r="G8" s="485">
        <f>LOOKUP(D8,'4Ф КРУГ'!A:A,'4Ф КРУГ'!B:B)</f>
        <v>0</v>
      </c>
      <c r="H8" s="922" t="e">
        <f>IF(G8="","",VLOOKUP(G8,'Списки участников'!A:K,3,FALSE))</f>
        <v>#N/A</v>
      </c>
      <c r="I8" s="486">
        <v>68</v>
      </c>
      <c r="J8" s="496">
        <v>9</v>
      </c>
      <c r="K8" s="739">
        <v>5</v>
      </c>
      <c r="L8" s="739">
        <v>11</v>
      </c>
      <c r="M8" s="485">
        <f>LOOKUP(K8,'4Ф КРУГ'!A:A,'4Ф КРУГ'!B:B)</f>
        <v>0</v>
      </c>
      <c r="N8" s="922" t="e">
        <f>IF(M8="","",VLOOKUP(M8,'Списки участников'!A:K,3,FALSE))</f>
        <v>#N/A</v>
      </c>
      <c r="O8" s="485">
        <f>LOOKUP(L8,'4Ф КРУГ'!A:A,'4Ф КРУГ'!B:B)</f>
        <v>0</v>
      </c>
      <c r="P8" s="922" t="e">
        <f>IF(O8="","",VLOOKUP(O8,'Списки участников'!A:K,3,FALSE))</f>
        <v>#N/A</v>
      </c>
      <c r="Q8" s="749">
        <v>4</v>
      </c>
      <c r="R8" s="749">
        <v>25</v>
      </c>
      <c r="S8" s="109"/>
      <c r="T8" s="109"/>
    </row>
    <row r="9" spans="1:20" ht="15.75" x14ac:dyDescent="0.25">
      <c r="A9" s="486">
        <v>5</v>
      </c>
      <c r="B9" s="489">
        <v>1</v>
      </c>
      <c r="C9" s="738">
        <v>5</v>
      </c>
      <c r="D9" s="739">
        <v>12</v>
      </c>
      <c r="E9" s="484">
        <f>LOOKUP(C9,'4Ф КРУГ'!A:A,'4Ф КРУГ'!B:B)</f>
        <v>0</v>
      </c>
      <c r="F9" s="922" t="e">
        <f>IF(E9="","",VLOOKUP(E9,'Списки участников'!A:K,3,FALSE))</f>
        <v>#N/A</v>
      </c>
      <c r="G9" s="485">
        <f>LOOKUP(D9,'4Ф КРУГ'!A:A,'4Ф КРУГ'!B:B)</f>
        <v>0</v>
      </c>
      <c r="H9" s="922" t="e">
        <f>IF(G9="","",VLOOKUP(G9,'Списки участников'!A:K,3,FALSE))</f>
        <v>#N/A</v>
      </c>
      <c r="I9" s="486">
        <v>69</v>
      </c>
      <c r="J9" s="501">
        <v>9</v>
      </c>
      <c r="K9" s="739">
        <v>4</v>
      </c>
      <c r="L9" s="739">
        <v>12</v>
      </c>
      <c r="M9" s="485">
        <f>LOOKUP(K9,'4Ф КРУГ'!A:A,'4Ф КРУГ'!B:B)</f>
        <v>0</v>
      </c>
      <c r="N9" s="922" t="e">
        <f>IF(M9="","",VLOOKUP(M9,'Списки участников'!A:K,3,FALSE))</f>
        <v>#N/A</v>
      </c>
      <c r="O9" s="485">
        <f>LOOKUP(L9,'4Ф КРУГ'!A:A,'4Ф КРУГ'!B:B)</f>
        <v>0</v>
      </c>
      <c r="P9" s="922" t="e">
        <f>IF(O9="","",VLOOKUP(O9,'Списки участников'!A:K,3,FALSE))</f>
        <v>#N/A</v>
      </c>
      <c r="Q9" s="749">
        <v>5</v>
      </c>
      <c r="R9" s="749">
        <v>33</v>
      </c>
      <c r="S9" s="109"/>
      <c r="T9" s="109"/>
    </row>
    <row r="10" spans="1:20" ht="15.75" x14ac:dyDescent="0.25">
      <c r="A10" s="486">
        <v>6</v>
      </c>
      <c r="B10" s="487">
        <v>1</v>
      </c>
      <c r="C10" s="738">
        <v>6</v>
      </c>
      <c r="D10" s="739">
        <v>11</v>
      </c>
      <c r="E10" s="484">
        <f>LOOKUP(C10,'4Ф КРУГ'!A:A,'4Ф КРУГ'!B:B)</f>
        <v>0</v>
      </c>
      <c r="F10" s="922" t="e">
        <f>IF(E10="","",VLOOKUP(E10,'Списки участников'!A:K,3,FALSE))</f>
        <v>#N/A</v>
      </c>
      <c r="G10" s="485">
        <f>LOOKUP(D10,'4Ф КРУГ'!A:A,'4Ф КРУГ'!B:B)</f>
        <v>0</v>
      </c>
      <c r="H10" s="922" t="e">
        <f>IF(G10="","",VLOOKUP(G10,'Списки участников'!A:K,3,FALSE))</f>
        <v>#N/A</v>
      </c>
      <c r="I10" s="486">
        <v>70</v>
      </c>
      <c r="J10" s="496">
        <v>9</v>
      </c>
      <c r="K10" s="739">
        <v>3</v>
      </c>
      <c r="L10" s="739">
        <v>13</v>
      </c>
      <c r="M10" s="485">
        <f>LOOKUP(K10,'4Ф КРУГ'!A:A,'4Ф КРУГ'!B:B)</f>
        <v>0</v>
      </c>
      <c r="N10" s="922" t="e">
        <f>IF(M10="","",VLOOKUP(M10,'Списки участников'!A:K,3,FALSE))</f>
        <v>#N/A</v>
      </c>
      <c r="O10" s="485">
        <f>LOOKUP(L10,'4Ф КРУГ'!A:A,'4Ф КРУГ'!B:B)</f>
        <v>0</v>
      </c>
      <c r="P10" s="922" t="e">
        <f>IF(O10="","",VLOOKUP(O10,'Списки участников'!A:K,3,FALSE))</f>
        <v>#N/A</v>
      </c>
      <c r="Q10" s="749">
        <v>6</v>
      </c>
      <c r="R10" s="749">
        <v>41</v>
      </c>
      <c r="S10" s="109"/>
      <c r="T10" s="109"/>
    </row>
    <row r="11" spans="1:20" ht="15.75" x14ac:dyDescent="0.25">
      <c r="A11" s="486">
        <v>7</v>
      </c>
      <c r="B11" s="487">
        <v>1</v>
      </c>
      <c r="C11" s="738">
        <v>7</v>
      </c>
      <c r="D11" s="739">
        <v>10</v>
      </c>
      <c r="E11" s="484">
        <f>LOOKUP(C11,'4Ф КРУГ'!A:A,'4Ф КРУГ'!B:B)</f>
        <v>0</v>
      </c>
      <c r="F11" s="922" t="e">
        <f>IF(E11="","",VLOOKUP(E11,'Списки участников'!A:K,3,FALSE))</f>
        <v>#N/A</v>
      </c>
      <c r="G11" s="485">
        <f>LOOKUP(D11,'4Ф КРУГ'!A:A,'4Ф КРУГ'!B:B)</f>
        <v>0</v>
      </c>
      <c r="H11" s="922" t="e">
        <f>IF(G11="","",VLOOKUP(G11,'Списки участников'!A:K,3,FALSE))</f>
        <v>#N/A</v>
      </c>
      <c r="I11" s="486">
        <v>71</v>
      </c>
      <c r="J11" s="496">
        <v>9</v>
      </c>
      <c r="K11" s="739">
        <v>2</v>
      </c>
      <c r="L11" s="739">
        <v>14</v>
      </c>
      <c r="M11" s="485">
        <f>LOOKUP(K11,'4Ф КРУГ'!A:A,'4Ф КРУГ'!B:B)</f>
        <v>0</v>
      </c>
      <c r="N11" s="922" t="e">
        <f>IF(M11="","",VLOOKUP(M11,'Списки участников'!A:K,3,FALSE))</f>
        <v>#N/A</v>
      </c>
      <c r="O11" s="485">
        <f>LOOKUP(L11,'4Ф КРУГ'!A:A,'4Ф КРУГ'!B:B)</f>
        <v>0</v>
      </c>
      <c r="P11" s="922" t="e">
        <f>IF(O11="","",VLOOKUP(O11,'Списки участников'!A:K,3,FALSE))</f>
        <v>#N/A</v>
      </c>
      <c r="Q11" s="749">
        <v>7</v>
      </c>
      <c r="R11" s="749">
        <v>49</v>
      </c>
      <c r="S11" s="109"/>
      <c r="T11" s="109"/>
    </row>
    <row r="12" spans="1:20" ht="16.5" thickBot="1" x14ac:dyDescent="0.3">
      <c r="A12" s="486">
        <v>8</v>
      </c>
      <c r="B12" s="492">
        <v>1</v>
      </c>
      <c r="C12" s="740">
        <v>8</v>
      </c>
      <c r="D12" s="741">
        <v>9</v>
      </c>
      <c r="E12" s="484">
        <f>LOOKUP(C12,'4Ф КРУГ'!A:A,'4Ф КРУГ'!B:B)</f>
        <v>0</v>
      </c>
      <c r="F12" s="730" t="e">
        <f>IF(E12="","",VLOOKUP(E12,'Списки участников'!A:K,3,FALSE))</f>
        <v>#N/A</v>
      </c>
      <c r="G12" s="731">
        <f>LOOKUP(D12,'4Ф КРУГ'!A:A,'4Ф КРУГ'!B:B)</f>
        <v>0</v>
      </c>
      <c r="H12" s="730" t="e">
        <f>IF(G12="","",VLOOKUP(G12,'Списки участников'!A:K,3,FALSE))</f>
        <v>#N/A</v>
      </c>
      <c r="I12" s="702">
        <v>72</v>
      </c>
      <c r="J12" s="500">
        <v>9</v>
      </c>
      <c r="K12" s="741">
        <v>15</v>
      </c>
      <c r="L12" s="741">
        <v>16</v>
      </c>
      <c r="M12" s="731">
        <f>LOOKUP(K12,'4Ф КРУГ'!A:A,'4Ф КРУГ'!B:B)</f>
        <v>0</v>
      </c>
      <c r="N12" s="730" t="e">
        <f>IF(M12="","",VLOOKUP(M12,'Списки участников'!A:K,3,FALSE))</f>
        <v>#N/A</v>
      </c>
      <c r="O12" s="731">
        <f>LOOKUP(L12,'4Ф КРУГ'!A:A,'4Ф КРУГ'!B:B)</f>
        <v>0</v>
      </c>
      <c r="P12" s="730" t="e">
        <f>IF(O12="","",VLOOKUP(O12,'Списки участников'!A:K,3,FALSE))</f>
        <v>#N/A</v>
      </c>
      <c r="Q12" s="749">
        <v>8</v>
      </c>
      <c r="R12" s="749">
        <v>57</v>
      </c>
    </row>
    <row r="13" spans="1:20" ht="17.25" x14ac:dyDescent="0.25">
      <c r="A13" s="486">
        <v>9</v>
      </c>
      <c r="B13" s="487">
        <v>2</v>
      </c>
      <c r="C13" s="742">
        <v>1</v>
      </c>
      <c r="D13" s="743">
        <v>15</v>
      </c>
      <c r="E13" s="484">
        <f>LOOKUP(C13,'4Ф КРУГ'!A:A,'4Ф КРУГ'!B:B)</f>
        <v>0</v>
      </c>
      <c r="F13" s="922" t="e">
        <f>IF(E13="","",VLOOKUP(E13,'Списки участников'!A:K,3,FALSE))</f>
        <v>#N/A</v>
      </c>
      <c r="G13" s="485">
        <f>LOOKUP(D13,'4Ф КРУГ'!A:A,'4Ф КРУГ'!B:B)</f>
        <v>0</v>
      </c>
      <c r="H13" s="922" t="e">
        <f>IF(G13="","",VLOOKUP(G13,'Списки участников'!A:K,3,FALSE))</f>
        <v>#N/A</v>
      </c>
      <c r="I13" s="915">
        <v>73</v>
      </c>
      <c r="J13" s="496">
        <v>10</v>
      </c>
      <c r="K13" s="743">
        <v>1</v>
      </c>
      <c r="L13" s="743">
        <v>7</v>
      </c>
      <c r="M13" s="485">
        <f>LOOKUP(K13,'4Ф КРУГ'!A:A,'4Ф КРУГ'!B:B)</f>
        <v>0</v>
      </c>
      <c r="N13" s="922" t="e">
        <f>IF(M13="","",VLOOKUP(M13,'Списки участников'!A:K,3,FALSE))</f>
        <v>#N/A</v>
      </c>
      <c r="O13" s="485">
        <f>LOOKUP(L13,'4Ф КРУГ'!A:A,'4Ф КРУГ'!B:B)</f>
        <v>0</v>
      </c>
      <c r="P13" s="922" t="e">
        <f>IF(O13="","",VLOOKUP(O13,'Списки участников'!A:K,3,FALSE))</f>
        <v>#N/A</v>
      </c>
      <c r="Q13" s="749">
        <v>9</v>
      </c>
      <c r="R13" s="749">
        <v>65</v>
      </c>
    </row>
    <row r="14" spans="1:20" ht="17.25" x14ac:dyDescent="0.25">
      <c r="A14" s="486">
        <v>10</v>
      </c>
      <c r="B14" s="487">
        <v>2</v>
      </c>
      <c r="C14" s="738">
        <v>14</v>
      </c>
      <c r="D14" s="739">
        <v>16</v>
      </c>
      <c r="E14" s="484">
        <f>LOOKUP(C14,'4Ф КРУГ'!A:A,'4Ф КРУГ'!B:B)</f>
        <v>0</v>
      </c>
      <c r="F14" s="922" t="e">
        <f>IF(E14="","",VLOOKUP(E14,'Списки участников'!A:K,3,FALSE))</f>
        <v>#N/A</v>
      </c>
      <c r="G14" s="485">
        <f>LOOKUP(D14,'4Ф КРУГ'!A:A,'4Ф КРУГ'!B:B)</f>
        <v>0</v>
      </c>
      <c r="H14" s="922" t="e">
        <f>IF(G14="","",VLOOKUP(G14,'Списки участников'!A:K,3,FALSE))</f>
        <v>#N/A</v>
      </c>
      <c r="I14" s="486">
        <v>74</v>
      </c>
      <c r="J14" s="496">
        <v>10</v>
      </c>
      <c r="K14" s="739">
        <v>6</v>
      </c>
      <c r="L14" s="743">
        <v>8</v>
      </c>
      <c r="M14" s="485">
        <f>LOOKUP(K14,'4Ф КРУГ'!A:A,'4Ф КРУГ'!B:B)</f>
        <v>0</v>
      </c>
      <c r="N14" s="922" t="e">
        <f>IF(M14="","",VLOOKUP(M14,'Списки участников'!A:K,3,FALSE))</f>
        <v>#N/A</v>
      </c>
      <c r="O14" s="485">
        <f>LOOKUP(L14,'4Ф КРУГ'!A:A,'4Ф КРУГ'!B:B)</f>
        <v>0</v>
      </c>
      <c r="P14" s="922" t="e">
        <f>IF(O14="","",VLOOKUP(O14,'Списки участников'!A:K,3,FALSE))</f>
        <v>#N/A</v>
      </c>
      <c r="Q14" s="749">
        <v>10</v>
      </c>
      <c r="R14" s="749">
        <v>73</v>
      </c>
    </row>
    <row r="15" spans="1:20" ht="17.25" x14ac:dyDescent="0.25">
      <c r="A15" s="486">
        <v>11</v>
      </c>
      <c r="B15" s="487">
        <v>2</v>
      </c>
      <c r="C15" s="738">
        <v>2</v>
      </c>
      <c r="D15" s="739">
        <v>13</v>
      </c>
      <c r="E15" s="484">
        <f>LOOKUP(C15,'4Ф КРУГ'!A:A,'4Ф КРУГ'!B:B)</f>
        <v>0</v>
      </c>
      <c r="F15" s="922" t="e">
        <f>IF(E15="","",VLOOKUP(E15,'Списки участников'!A:K,3,FALSE))</f>
        <v>#N/A</v>
      </c>
      <c r="G15" s="485">
        <f>LOOKUP(D15,'4Ф КРУГ'!A:A,'4Ф КРУГ'!B:B)</f>
        <v>0</v>
      </c>
      <c r="H15" s="922" t="e">
        <f>IF(G15="","",VLOOKUP(G15,'Списки участников'!A:K,3,FALSE))</f>
        <v>#N/A</v>
      </c>
      <c r="I15" s="486">
        <v>75</v>
      </c>
      <c r="J15" s="496">
        <v>10</v>
      </c>
      <c r="K15" s="739">
        <v>5</v>
      </c>
      <c r="L15" s="743">
        <v>9</v>
      </c>
      <c r="M15" s="485">
        <f>LOOKUP(K15,'4Ф КРУГ'!A:A,'4Ф КРУГ'!B:B)</f>
        <v>0</v>
      </c>
      <c r="N15" s="922" t="e">
        <f>IF(M15="","",VLOOKUP(M15,'Списки участников'!A:K,3,FALSE))</f>
        <v>#N/A</v>
      </c>
      <c r="O15" s="485">
        <f>LOOKUP(L15,'4Ф КРУГ'!A:A,'4Ф КРУГ'!B:B)</f>
        <v>0</v>
      </c>
      <c r="P15" s="922" t="e">
        <f>IF(O15="","",VLOOKUP(O15,'Списки участников'!A:K,3,FALSE))</f>
        <v>#N/A</v>
      </c>
      <c r="Q15" s="749">
        <v>11</v>
      </c>
      <c r="R15" s="749">
        <v>81</v>
      </c>
    </row>
    <row r="16" spans="1:20" ht="17.25" x14ac:dyDescent="0.25">
      <c r="A16" s="486">
        <v>12</v>
      </c>
      <c r="B16" s="487">
        <v>2</v>
      </c>
      <c r="C16" s="738">
        <v>3</v>
      </c>
      <c r="D16" s="739">
        <v>12</v>
      </c>
      <c r="E16" s="484">
        <f>LOOKUP(C16,'4Ф КРУГ'!A:A,'4Ф КРУГ'!B:B)</f>
        <v>0</v>
      </c>
      <c r="F16" s="922" t="e">
        <f>IF(E16="","",VLOOKUP(E16,'Списки участников'!A:K,3,FALSE))</f>
        <v>#N/A</v>
      </c>
      <c r="G16" s="485">
        <f>LOOKUP(D16,'4Ф КРУГ'!A:A,'4Ф КРУГ'!B:B)</f>
        <v>0</v>
      </c>
      <c r="H16" s="922" t="e">
        <f>IF(G16="","",VLOOKUP(G16,'Списки участников'!A:K,3,FALSE))</f>
        <v>#N/A</v>
      </c>
      <c r="I16" s="486">
        <v>76</v>
      </c>
      <c r="J16" s="496">
        <v>10</v>
      </c>
      <c r="K16" s="739">
        <v>4</v>
      </c>
      <c r="L16" s="743">
        <v>10</v>
      </c>
      <c r="M16" s="485">
        <f>LOOKUP(K16,'4Ф КРУГ'!A:A,'4Ф КРУГ'!B:B)</f>
        <v>0</v>
      </c>
      <c r="N16" s="922" t="e">
        <f>IF(M16="","",VLOOKUP(M16,'Списки участников'!A:K,3,FALSE))</f>
        <v>#N/A</v>
      </c>
      <c r="O16" s="485">
        <f>LOOKUP(L16,'4Ф КРУГ'!A:A,'4Ф КРУГ'!B:B)</f>
        <v>0</v>
      </c>
      <c r="P16" s="922" t="e">
        <f>IF(O16="","",VLOOKUP(O16,'Списки участников'!A:K,3,FALSE))</f>
        <v>#N/A</v>
      </c>
      <c r="Q16" s="749">
        <v>12</v>
      </c>
      <c r="R16" s="749">
        <v>89</v>
      </c>
    </row>
    <row r="17" spans="1:18" ht="17.25" x14ac:dyDescent="0.25">
      <c r="A17" s="486">
        <v>13</v>
      </c>
      <c r="B17" s="489">
        <v>2</v>
      </c>
      <c r="C17" s="738">
        <v>4</v>
      </c>
      <c r="D17" s="739">
        <v>11</v>
      </c>
      <c r="E17" s="484">
        <f>LOOKUP(C17,'4Ф КРУГ'!A:A,'4Ф КРУГ'!B:B)</f>
        <v>0</v>
      </c>
      <c r="F17" s="922" t="e">
        <f>IF(E17="","",VLOOKUP(E17,'Списки участников'!A:K,3,FALSE))</f>
        <v>#N/A</v>
      </c>
      <c r="G17" s="485">
        <f>LOOKUP(D17,'4Ф КРУГ'!A:A,'4Ф КРУГ'!B:B)</f>
        <v>0</v>
      </c>
      <c r="H17" s="922" t="e">
        <f>IF(G17="","",VLOOKUP(G17,'Списки участников'!A:K,3,FALSE))</f>
        <v>#N/A</v>
      </c>
      <c r="I17" s="486">
        <v>77</v>
      </c>
      <c r="J17" s="501">
        <v>10</v>
      </c>
      <c r="K17" s="739">
        <v>3</v>
      </c>
      <c r="L17" s="743">
        <v>11</v>
      </c>
      <c r="M17" s="485">
        <f>LOOKUP(K17,'4Ф КРУГ'!A:A,'4Ф КРУГ'!B:B)</f>
        <v>0</v>
      </c>
      <c r="N17" s="922" t="e">
        <f>IF(M17="","",VLOOKUP(M17,'Списки участников'!A:K,3,FALSE))</f>
        <v>#N/A</v>
      </c>
      <c r="O17" s="485">
        <f>LOOKUP(L17,'4Ф КРУГ'!A:A,'4Ф КРУГ'!B:B)</f>
        <v>0</v>
      </c>
      <c r="P17" s="922" t="e">
        <f>IF(O17="","",VLOOKUP(O17,'Списки участников'!A:K,3,FALSE))</f>
        <v>#N/A</v>
      </c>
      <c r="Q17" s="749">
        <v>13</v>
      </c>
      <c r="R17" s="749">
        <v>97</v>
      </c>
    </row>
    <row r="18" spans="1:18" ht="17.25" x14ac:dyDescent="0.25">
      <c r="A18" s="486">
        <v>14</v>
      </c>
      <c r="B18" s="487">
        <v>2</v>
      </c>
      <c r="C18" s="738">
        <v>5</v>
      </c>
      <c r="D18" s="739">
        <v>10</v>
      </c>
      <c r="E18" s="484">
        <f>LOOKUP(C18,'4Ф КРУГ'!A:A,'4Ф КРУГ'!B:B)</f>
        <v>0</v>
      </c>
      <c r="F18" s="922" t="e">
        <f>IF(E18="","",VLOOKUP(E18,'Списки участников'!A:K,3,FALSE))</f>
        <v>#N/A</v>
      </c>
      <c r="G18" s="485">
        <f>LOOKUP(D18,'4Ф КРУГ'!A:A,'4Ф КРУГ'!B:B)</f>
        <v>0</v>
      </c>
      <c r="H18" s="922" t="e">
        <f>IF(G18="","",VLOOKUP(G18,'Списки участников'!A:K,3,FALSE))</f>
        <v>#N/A</v>
      </c>
      <c r="I18" s="486">
        <v>78</v>
      </c>
      <c r="J18" s="496">
        <v>10</v>
      </c>
      <c r="K18" s="745">
        <v>2</v>
      </c>
      <c r="L18" s="743">
        <v>12</v>
      </c>
      <c r="M18" s="485">
        <f>LOOKUP(K18,'4Ф КРУГ'!A:A,'4Ф КРУГ'!B:B)</f>
        <v>0</v>
      </c>
      <c r="N18" s="922" t="e">
        <f>IF(M18="","",VLOOKUP(M18,'Списки участников'!A:K,3,FALSE))</f>
        <v>#N/A</v>
      </c>
      <c r="O18" s="485">
        <f>LOOKUP(L18,'4Ф КРУГ'!A:A,'4Ф КРУГ'!B:B)</f>
        <v>0</v>
      </c>
      <c r="P18" s="922" t="e">
        <f>IF(O18="","",VLOOKUP(O18,'Списки участников'!A:K,3,FALSE))</f>
        <v>#N/A</v>
      </c>
      <c r="Q18" s="749">
        <v>14</v>
      </c>
      <c r="R18" s="749">
        <v>105</v>
      </c>
    </row>
    <row r="19" spans="1:18" ht="17.25" x14ac:dyDescent="0.25">
      <c r="A19" s="486">
        <v>15</v>
      </c>
      <c r="B19" s="487">
        <v>2</v>
      </c>
      <c r="C19" s="738">
        <v>6</v>
      </c>
      <c r="D19" s="739">
        <v>9</v>
      </c>
      <c r="E19" s="484">
        <f>LOOKUP(C19,'4Ф КРУГ'!A:A,'4Ф КРУГ'!B:B)</f>
        <v>0</v>
      </c>
      <c r="F19" s="922" t="e">
        <f>IF(E19="","",VLOOKUP(E19,'Списки участников'!A:K,3,FALSE))</f>
        <v>#N/A</v>
      </c>
      <c r="G19" s="485">
        <f>LOOKUP(D19,'4Ф КРУГ'!A:A,'4Ф КРУГ'!B:B)</f>
        <v>0</v>
      </c>
      <c r="H19" s="922" t="e">
        <f>IF(G19="","",VLOOKUP(G19,'Списки участников'!A:K,3,FALSE))</f>
        <v>#N/A</v>
      </c>
      <c r="I19" s="486">
        <v>79</v>
      </c>
      <c r="J19" s="496">
        <v>10</v>
      </c>
      <c r="K19" s="745">
        <v>13</v>
      </c>
      <c r="L19" s="739">
        <v>16</v>
      </c>
      <c r="M19" s="485">
        <f>LOOKUP(K19,'4Ф КРУГ'!A:A,'4Ф КРУГ'!B:B)</f>
        <v>0</v>
      </c>
      <c r="N19" s="922" t="e">
        <f>IF(M19="","",VLOOKUP(M19,'Списки участников'!A:K,3,FALSE))</f>
        <v>#N/A</v>
      </c>
      <c r="O19" s="485">
        <f>LOOKUP(L19,'4Ф КРУГ'!A:A,'4Ф КРУГ'!B:B)</f>
        <v>0</v>
      </c>
      <c r="P19" s="922" t="e">
        <f>IF(O19="","",VLOOKUP(O19,'Списки участников'!A:K,3,FALSE))</f>
        <v>#N/A</v>
      </c>
      <c r="Q19" s="749">
        <v>15</v>
      </c>
      <c r="R19" s="749">
        <v>113</v>
      </c>
    </row>
    <row r="20" spans="1:18" ht="18" thickBot="1" x14ac:dyDescent="0.3">
      <c r="A20" s="486">
        <v>16</v>
      </c>
      <c r="B20" s="492">
        <v>2</v>
      </c>
      <c r="C20" s="740">
        <v>7</v>
      </c>
      <c r="D20" s="741">
        <v>8</v>
      </c>
      <c r="E20" s="494">
        <f>LOOKUP(C20,'4Ф КРУГ'!A:A,'4Ф КРУГ'!B:B)</f>
        <v>0</v>
      </c>
      <c r="F20" s="730" t="e">
        <f>IF(E20="","",VLOOKUP(E20,'Списки участников'!A:K,3,FALSE))</f>
        <v>#N/A</v>
      </c>
      <c r="G20" s="731">
        <f>LOOKUP(D20,'4Ф КРУГ'!A:A,'4Ф КРУГ'!B:B)</f>
        <v>0</v>
      </c>
      <c r="H20" s="730" t="e">
        <f>IF(G20="","",VLOOKUP(G20,'Списки участников'!A:K,3,FALSE))</f>
        <v>#N/A</v>
      </c>
      <c r="I20" s="702">
        <v>80</v>
      </c>
      <c r="J20" s="500">
        <v>10</v>
      </c>
      <c r="K20" s="741">
        <v>14</v>
      </c>
      <c r="L20" s="746">
        <v>15</v>
      </c>
      <c r="M20" s="731">
        <f>LOOKUP(K20,'4Ф КРУГ'!A:A,'4Ф КРУГ'!B:B)</f>
        <v>0</v>
      </c>
      <c r="N20" s="730" t="e">
        <f>IF(M20="","",VLOOKUP(M20,'Списки участников'!A:K,3,FALSE))</f>
        <v>#N/A</v>
      </c>
      <c r="O20" s="731">
        <f>LOOKUP(L20,'4Ф КРУГ'!A:A,'4Ф КРУГ'!B:B)</f>
        <v>0</v>
      </c>
      <c r="P20" s="730" t="e">
        <f>IF(O20="","",VLOOKUP(O20,'Списки участников'!A:K,3,FALSE))</f>
        <v>#N/A</v>
      </c>
      <c r="Q20" s="749"/>
      <c r="R20" s="749"/>
    </row>
    <row r="21" spans="1:18" ht="17.25" x14ac:dyDescent="0.25">
      <c r="A21" s="486">
        <v>17</v>
      </c>
      <c r="B21" s="496">
        <v>3</v>
      </c>
      <c r="C21" s="742">
        <v>1</v>
      </c>
      <c r="D21" s="743">
        <v>14</v>
      </c>
      <c r="E21" s="485">
        <f>LOOKUP(C21,'4Ф КРУГ'!A:A,'4Ф КРУГ'!B:B)</f>
        <v>0</v>
      </c>
      <c r="F21" s="922" t="e">
        <f>IF(E21="","",VLOOKUP(E21,'Списки участников'!A:K,3,FALSE))</f>
        <v>#N/A</v>
      </c>
      <c r="G21" s="485">
        <f>LOOKUP(D21,'4Ф КРУГ'!A:A,'4Ф КРУГ'!B:B)</f>
        <v>0</v>
      </c>
      <c r="H21" s="922" t="e">
        <f>IF(G21="","",VLOOKUP(G21,'Списки участников'!A:K,3,FALSE))</f>
        <v>#N/A</v>
      </c>
      <c r="I21" s="915">
        <v>81</v>
      </c>
      <c r="J21" s="496">
        <v>11</v>
      </c>
      <c r="K21" s="743">
        <v>1</v>
      </c>
      <c r="L21" s="743">
        <v>6</v>
      </c>
      <c r="M21" s="485">
        <f>LOOKUP(K21,'4Ф КРУГ'!A:A,'4Ф КРУГ'!B:B)</f>
        <v>0</v>
      </c>
      <c r="N21" s="922" t="e">
        <f>IF(M21="","",VLOOKUP(M21,'Списки участников'!A:K,3,FALSE))</f>
        <v>#N/A</v>
      </c>
      <c r="O21" s="485">
        <f>LOOKUP(L21,'4Ф КРУГ'!A:A,'4Ф КРУГ'!B:B)</f>
        <v>0</v>
      </c>
      <c r="P21" s="922" t="e">
        <f>IF(O21="","",VLOOKUP(O21,'Списки участников'!A:K,3,FALSE))</f>
        <v>#N/A</v>
      </c>
    </row>
    <row r="22" spans="1:18" ht="17.25" x14ac:dyDescent="0.25">
      <c r="A22" s="486">
        <v>18</v>
      </c>
      <c r="B22" s="496">
        <v>3</v>
      </c>
      <c r="C22" s="738">
        <v>13</v>
      </c>
      <c r="D22" s="739">
        <v>15</v>
      </c>
      <c r="E22" s="484">
        <f>LOOKUP(C22,'4Ф КРУГ'!A:A,'4Ф КРУГ'!B:B)</f>
        <v>0</v>
      </c>
      <c r="F22" s="922" t="e">
        <f>IF(E22="","",VLOOKUP(E22,'Списки участников'!A:K,3,FALSE))</f>
        <v>#N/A</v>
      </c>
      <c r="G22" s="485">
        <f>LOOKUP(D22,'4Ф КРУГ'!A:A,'4Ф КРУГ'!B:B)</f>
        <v>0</v>
      </c>
      <c r="H22" s="922" t="e">
        <f>IF(G22="","",VLOOKUP(G22,'Списки участников'!A:K,3,FALSE))</f>
        <v>#N/A</v>
      </c>
      <c r="I22" s="486">
        <v>82</v>
      </c>
      <c r="J22" s="496">
        <v>11</v>
      </c>
      <c r="K22" s="739">
        <v>5</v>
      </c>
      <c r="L22" s="739">
        <v>7</v>
      </c>
      <c r="M22" s="485">
        <f>LOOKUP(K22,'4Ф КРУГ'!A:A,'4Ф КРУГ'!B:B)</f>
        <v>0</v>
      </c>
      <c r="N22" s="922" t="e">
        <f>IF(M22="","",VLOOKUP(M22,'Списки участников'!A:K,3,FALSE))</f>
        <v>#N/A</v>
      </c>
      <c r="O22" s="485">
        <f>LOOKUP(L22,'4Ф КРУГ'!A:A,'4Ф КРУГ'!B:B)</f>
        <v>0</v>
      </c>
      <c r="P22" s="922" t="e">
        <f>IF(O22="","",VLOOKUP(O22,'Списки участников'!A:K,3,FALSE))</f>
        <v>#N/A</v>
      </c>
    </row>
    <row r="23" spans="1:18" ht="17.25" x14ac:dyDescent="0.25">
      <c r="A23" s="486">
        <v>19</v>
      </c>
      <c r="B23" s="496">
        <v>3</v>
      </c>
      <c r="C23" s="738">
        <v>12</v>
      </c>
      <c r="D23" s="739">
        <v>16</v>
      </c>
      <c r="E23" s="484">
        <f>LOOKUP(C23,'4Ф КРУГ'!A:A,'4Ф КРУГ'!B:B)</f>
        <v>0</v>
      </c>
      <c r="F23" s="922" t="e">
        <f>IF(E23="","",VLOOKUP(E23,'Списки участников'!A:K,3,FALSE))</f>
        <v>#N/A</v>
      </c>
      <c r="G23" s="485">
        <f>LOOKUP(D23,'4Ф КРУГ'!A:A,'4Ф КРУГ'!B:B)</f>
        <v>0</v>
      </c>
      <c r="H23" s="922" t="e">
        <f>IF(G23="","",VLOOKUP(G23,'Списки участников'!A:K,3,FALSE))</f>
        <v>#N/A</v>
      </c>
      <c r="I23" s="486">
        <v>83</v>
      </c>
      <c r="J23" s="496">
        <v>11</v>
      </c>
      <c r="K23" s="739">
        <v>4</v>
      </c>
      <c r="L23" s="739">
        <v>8</v>
      </c>
      <c r="M23" s="485">
        <f>LOOKUP(K23,'4Ф КРУГ'!A:A,'4Ф КРУГ'!B:B)</f>
        <v>0</v>
      </c>
      <c r="N23" s="922" t="e">
        <f>IF(M23="","",VLOOKUP(M23,'Списки участников'!A:K,3,FALSE))</f>
        <v>#N/A</v>
      </c>
      <c r="O23" s="485">
        <f>LOOKUP(L23,'4Ф КРУГ'!A:A,'4Ф КРУГ'!B:B)</f>
        <v>0</v>
      </c>
      <c r="P23" s="922" t="e">
        <f>IF(O23="","",VLOOKUP(O23,'Списки участников'!A:K,3,FALSE))</f>
        <v>#N/A</v>
      </c>
    </row>
    <row r="24" spans="1:18" ht="17.25" x14ac:dyDescent="0.25">
      <c r="A24" s="486">
        <v>20</v>
      </c>
      <c r="B24" s="496">
        <v>3</v>
      </c>
      <c r="C24" s="738">
        <v>2</v>
      </c>
      <c r="D24" s="739">
        <v>11</v>
      </c>
      <c r="E24" s="484">
        <f>LOOKUP(C24,'4Ф КРУГ'!A:A,'4Ф КРУГ'!B:B)</f>
        <v>0</v>
      </c>
      <c r="F24" s="922" t="e">
        <f>IF(E24="","",VLOOKUP(E24,'Списки участников'!A:K,3,FALSE))</f>
        <v>#N/A</v>
      </c>
      <c r="G24" s="485">
        <f>LOOKUP(D24,'4Ф КРУГ'!A:A,'4Ф КРУГ'!B:B)</f>
        <v>0</v>
      </c>
      <c r="H24" s="922" t="e">
        <f>IF(G24="","",VLOOKUP(G24,'Списки участников'!A:K,3,FALSE))</f>
        <v>#N/A</v>
      </c>
      <c r="I24" s="486">
        <v>84</v>
      </c>
      <c r="J24" s="496">
        <v>11</v>
      </c>
      <c r="K24" s="739">
        <v>3</v>
      </c>
      <c r="L24" s="739">
        <v>9</v>
      </c>
      <c r="M24" s="485">
        <f>LOOKUP(K24,'4Ф КРУГ'!A:A,'4Ф КРУГ'!B:B)</f>
        <v>0</v>
      </c>
      <c r="N24" s="922" t="e">
        <f>IF(M24="","",VLOOKUP(M24,'Списки участников'!A:K,3,FALSE))</f>
        <v>#N/A</v>
      </c>
      <c r="O24" s="485">
        <f>LOOKUP(L24,'4Ф КРУГ'!A:A,'4Ф КРУГ'!B:B)</f>
        <v>0</v>
      </c>
      <c r="P24" s="922" t="e">
        <f>IF(O24="","",VLOOKUP(O24,'Списки участников'!A:K,3,FALSE))</f>
        <v>#N/A</v>
      </c>
    </row>
    <row r="25" spans="1:18" ht="17.25" x14ac:dyDescent="0.25">
      <c r="A25" s="486">
        <v>21</v>
      </c>
      <c r="B25" s="489">
        <v>3</v>
      </c>
      <c r="C25" s="738">
        <v>3</v>
      </c>
      <c r="D25" s="739">
        <v>10</v>
      </c>
      <c r="E25" s="484">
        <f>LOOKUP(C25,'4Ф КРУГ'!A:A,'4Ф КРУГ'!B:B)</f>
        <v>0</v>
      </c>
      <c r="F25" s="922" t="e">
        <f>IF(E25="","",VLOOKUP(E25,'Списки участников'!A:K,3,FALSE))</f>
        <v>#N/A</v>
      </c>
      <c r="G25" s="485">
        <f>LOOKUP(D25,'4Ф КРУГ'!A:A,'4Ф КРУГ'!B:B)</f>
        <v>0</v>
      </c>
      <c r="H25" s="922" t="e">
        <f>IF(G25="","",VLOOKUP(G25,'Списки участников'!A:K,3,FALSE))</f>
        <v>#N/A</v>
      </c>
      <c r="I25" s="486">
        <v>85</v>
      </c>
      <c r="J25" s="501">
        <v>11</v>
      </c>
      <c r="K25" s="739">
        <v>2</v>
      </c>
      <c r="L25" s="739">
        <v>10</v>
      </c>
      <c r="M25" s="485">
        <f>LOOKUP(K25,'4Ф КРУГ'!A:A,'4Ф КРУГ'!B:B)</f>
        <v>0</v>
      </c>
      <c r="N25" s="922" t="e">
        <f>IF(M25="","",VLOOKUP(M25,'Списки участников'!A:K,3,FALSE))</f>
        <v>#N/A</v>
      </c>
      <c r="O25" s="485">
        <f>LOOKUP(L25,'4Ф КРУГ'!A:A,'4Ф КРУГ'!B:B)</f>
        <v>0</v>
      </c>
      <c r="P25" s="922" t="e">
        <f>IF(O25="","",VLOOKUP(O25,'Списки участников'!A:K,3,FALSE))</f>
        <v>#N/A</v>
      </c>
    </row>
    <row r="26" spans="1:18" ht="17.25" x14ac:dyDescent="0.25">
      <c r="A26" s="486">
        <v>22</v>
      </c>
      <c r="B26" s="496">
        <v>3</v>
      </c>
      <c r="C26" s="738">
        <v>4</v>
      </c>
      <c r="D26" s="739">
        <v>9</v>
      </c>
      <c r="E26" s="484">
        <f>LOOKUP(C26,'4Ф КРУГ'!A:A,'4Ф КРУГ'!B:B)</f>
        <v>0</v>
      </c>
      <c r="F26" s="922" t="e">
        <f>IF(E26="","",VLOOKUP(E26,'Списки участников'!A:K,3,FALSE))</f>
        <v>#N/A</v>
      </c>
      <c r="G26" s="485">
        <f>LOOKUP(D26,'4Ф КРУГ'!A:A,'4Ф КРУГ'!B:B)</f>
        <v>0</v>
      </c>
      <c r="H26" s="922" t="e">
        <f>IF(G26="","",VLOOKUP(G26,'Списки участников'!A:K,3,FALSE))</f>
        <v>#N/A</v>
      </c>
      <c r="I26" s="486">
        <v>86</v>
      </c>
      <c r="J26" s="496">
        <v>11</v>
      </c>
      <c r="K26" s="745">
        <v>11</v>
      </c>
      <c r="L26" s="745">
        <v>16</v>
      </c>
      <c r="M26" s="485">
        <f>LOOKUP(K26,'4Ф КРУГ'!A:A,'4Ф КРУГ'!B:B)</f>
        <v>0</v>
      </c>
      <c r="N26" s="922" t="e">
        <f>IF(M26="","",VLOOKUP(M26,'Списки участников'!A:K,3,FALSE))</f>
        <v>#N/A</v>
      </c>
      <c r="O26" s="485">
        <f>LOOKUP(L26,'4Ф КРУГ'!A:A,'4Ф КРУГ'!B:B)</f>
        <v>0</v>
      </c>
      <c r="P26" s="922" t="e">
        <f>IF(O26="","",VLOOKUP(O26,'Списки участников'!A:K,3,FALSE))</f>
        <v>#N/A</v>
      </c>
    </row>
    <row r="27" spans="1:18" ht="17.25" x14ac:dyDescent="0.25">
      <c r="A27" s="486">
        <v>23</v>
      </c>
      <c r="B27" s="496">
        <v>3</v>
      </c>
      <c r="C27" s="738">
        <v>5</v>
      </c>
      <c r="D27" s="739">
        <v>8</v>
      </c>
      <c r="E27" s="484">
        <f>LOOKUP(C27,'4Ф КРУГ'!A:A,'4Ф КРУГ'!B:B)</f>
        <v>0</v>
      </c>
      <c r="F27" s="922" t="e">
        <f>IF(E27="","",VLOOKUP(E27,'Списки участников'!A:K,3,FALSE))</f>
        <v>#N/A</v>
      </c>
      <c r="G27" s="485">
        <f>LOOKUP(D27,'4Ф КРУГ'!A:A,'4Ф КРУГ'!B:B)</f>
        <v>0</v>
      </c>
      <c r="H27" s="922" t="e">
        <f>IF(G27="","",VLOOKUP(G27,'Списки участников'!A:K,3,FALSE))</f>
        <v>#N/A</v>
      </c>
      <c r="I27" s="486">
        <v>87</v>
      </c>
      <c r="J27" s="496">
        <v>11</v>
      </c>
      <c r="K27" s="745">
        <v>12</v>
      </c>
      <c r="L27" s="745">
        <v>15</v>
      </c>
      <c r="M27" s="485">
        <f>LOOKUP(K27,'4Ф КРУГ'!A:A,'4Ф КРУГ'!B:B)</f>
        <v>0</v>
      </c>
      <c r="N27" s="922" t="e">
        <f>IF(M27="","",VLOOKUP(M27,'Списки участников'!A:K,3,FALSE))</f>
        <v>#N/A</v>
      </c>
      <c r="O27" s="485">
        <f>LOOKUP(L27,'4Ф КРУГ'!A:A,'4Ф КРУГ'!B:B)</f>
        <v>0</v>
      </c>
      <c r="P27" s="922" t="e">
        <f>IF(O27="","",VLOOKUP(O27,'Списки участников'!A:K,3,FALSE))</f>
        <v>#N/A</v>
      </c>
    </row>
    <row r="28" spans="1:18" ht="18" thickBot="1" x14ac:dyDescent="0.3">
      <c r="A28" s="486">
        <v>24</v>
      </c>
      <c r="B28" s="500">
        <v>3</v>
      </c>
      <c r="C28" s="740">
        <v>6</v>
      </c>
      <c r="D28" s="741">
        <v>7</v>
      </c>
      <c r="E28" s="494">
        <f>LOOKUP(C28,'4Ф КРУГ'!A:A,'4Ф КРУГ'!B:B)</f>
        <v>0</v>
      </c>
      <c r="F28" s="730" t="e">
        <f>IF(E28="","",VLOOKUP(E28,'Списки участников'!A:K,3,FALSE))</f>
        <v>#N/A</v>
      </c>
      <c r="G28" s="731">
        <f>LOOKUP(D28,'4Ф КРУГ'!A:A,'4Ф КРУГ'!B:B)</f>
        <v>0</v>
      </c>
      <c r="H28" s="730" t="e">
        <f>IF(G28="","",VLOOKUP(G28,'Списки участников'!A:K,3,FALSE))</f>
        <v>#N/A</v>
      </c>
      <c r="I28" s="702">
        <v>88</v>
      </c>
      <c r="J28" s="500">
        <v>11</v>
      </c>
      <c r="K28" s="741">
        <v>13</v>
      </c>
      <c r="L28" s="741">
        <v>14</v>
      </c>
      <c r="M28" s="731">
        <f>LOOKUP(K28,'4Ф КРУГ'!A:A,'4Ф КРУГ'!B:B)</f>
        <v>0</v>
      </c>
      <c r="N28" s="730" t="e">
        <f>IF(M28="","",VLOOKUP(M28,'Списки участников'!A:K,3,FALSE))</f>
        <v>#N/A</v>
      </c>
      <c r="O28" s="731">
        <f>LOOKUP(L28,'4Ф КРУГ'!A:A,'4Ф КРУГ'!B:B)</f>
        <v>0</v>
      </c>
      <c r="P28" s="730" t="e">
        <f>IF(O28="","",VLOOKUP(O28,'Списки участников'!A:K,3,FALSE))</f>
        <v>#N/A</v>
      </c>
    </row>
    <row r="29" spans="1:18" ht="17.25" x14ac:dyDescent="0.25">
      <c r="A29" s="486">
        <v>25</v>
      </c>
      <c r="B29" s="733">
        <v>4</v>
      </c>
      <c r="C29" s="742">
        <v>1</v>
      </c>
      <c r="D29" s="743">
        <v>13</v>
      </c>
      <c r="E29" s="485">
        <f>LOOKUP(C29,'4Ф КРУГ'!A:A,'4Ф КРУГ'!B:B)</f>
        <v>0</v>
      </c>
      <c r="F29" s="922" t="e">
        <f>IF(E29="","",VLOOKUP(E29,'Списки участников'!A:K,3,FALSE))</f>
        <v>#N/A</v>
      </c>
      <c r="G29" s="485">
        <f>LOOKUP(D29,'4Ф КРУГ'!A:A,'4Ф КРУГ'!B:B)</f>
        <v>0</v>
      </c>
      <c r="H29" s="922" t="e">
        <f>IF(G29="","",VLOOKUP(G29,'Списки участников'!A:K,3,FALSE))</f>
        <v>#N/A</v>
      </c>
      <c r="I29" s="915">
        <v>89</v>
      </c>
      <c r="J29" s="496">
        <v>12</v>
      </c>
      <c r="K29" s="743">
        <v>1</v>
      </c>
      <c r="L29" s="743">
        <v>5</v>
      </c>
      <c r="M29" s="485">
        <f>LOOKUP(K29,'4Ф КРУГ'!A:A,'4Ф КРУГ'!B:B)</f>
        <v>0</v>
      </c>
      <c r="N29" s="922" t="e">
        <f>IF(M29="","",VLOOKUP(M29,'Списки участников'!A:K,3,FALSE))</f>
        <v>#N/A</v>
      </c>
      <c r="O29" s="485">
        <f>LOOKUP(L29,'4Ф КРУГ'!A:A,'4Ф КРУГ'!B:B)</f>
        <v>0</v>
      </c>
      <c r="P29" s="922" t="e">
        <f>IF(O29="","",VLOOKUP(O29,'Списки участников'!A:K,3,FALSE))</f>
        <v>#N/A</v>
      </c>
    </row>
    <row r="30" spans="1:18" ht="17.25" x14ac:dyDescent="0.25">
      <c r="A30" s="486">
        <v>26</v>
      </c>
      <c r="B30" s="733">
        <v>4</v>
      </c>
      <c r="C30" s="738">
        <v>12</v>
      </c>
      <c r="D30" s="739">
        <v>14</v>
      </c>
      <c r="E30" s="484">
        <f>LOOKUP(C30,'4Ф КРУГ'!A:A,'4Ф КРУГ'!B:B)</f>
        <v>0</v>
      </c>
      <c r="F30" s="922" t="e">
        <f>IF(E30="","",VLOOKUP(E30,'Списки участников'!A:K,3,FALSE))</f>
        <v>#N/A</v>
      </c>
      <c r="G30" s="485">
        <f>LOOKUP(D30,'4Ф КРУГ'!A:A,'4Ф КРУГ'!B:B)</f>
        <v>0</v>
      </c>
      <c r="H30" s="922" t="e">
        <f>IF(G30="","",VLOOKUP(G30,'Списки участников'!A:K,3,FALSE))</f>
        <v>#N/A</v>
      </c>
      <c r="I30" s="486">
        <v>90</v>
      </c>
      <c r="J30" s="496">
        <v>12</v>
      </c>
      <c r="K30" s="739">
        <v>4</v>
      </c>
      <c r="L30" s="743">
        <v>6</v>
      </c>
      <c r="M30" s="485">
        <f>LOOKUP(K30,'4Ф КРУГ'!A:A,'4Ф КРУГ'!B:B)</f>
        <v>0</v>
      </c>
      <c r="N30" s="922" t="e">
        <f>IF(M30="","",VLOOKUP(M30,'Списки участников'!A:K,3,FALSE))</f>
        <v>#N/A</v>
      </c>
      <c r="O30" s="485">
        <f>LOOKUP(L30,'4Ф КРУГ'!A:A,'4Ф КРУГ'!B:B)</f>
        <v>0</v>
      </c>
      <c r="P30" s="922" t="e">
        <f>IF(O30="","",VLOOKUP(O30,'Списки участников'!A:K,3,FALSE))</f>
        <v>#N/A</v>
      </c>
    </row>
    <row r="31" spans="1:18" ht="17.25" x14ac:dyDescent="0.25">
      <c r="A31" s="486">
        <v>27</v>
      </c>
      <c r="B31" s="733">
        <v>4</v>
      </c>
      <c r="C31" s="738">
        <v>11</v>
      </c>
      <c r="D31" s="739">
        <v>15</v>
      </c>
      <c r="E31" s="484">
        <f>LOOKUP(C31,'4Ф КРУГ'!A:A,'4Ф КРУГ'!B:B)</f>
        <v>0</v>
      </c>
      <c r="F31" s="922" t="e">
        <f>IF(E31="","",VLOOKUP(E31,'Списки участников'!A:K,3,FALSE))</f>
        <v>#N/A</v>
      </c>
      <c r="G31" s="485">
        <f>LOOKUP(D31,'4Ф КРУГ'!A:A,'4Ф КРУГ'!B:B)</f>
        <v>0</v>
      </c>
      <c r="H31" s="922" t="e">
        <f>IF(G31="","",VLOOKUP(G31,'Списки участников'!A:K,3,FALSE))</f>
        <v>#N/A</v>
      </c>
      <c r="I31" s="486">
        <v>91</v>
      </c>
      <c r="J31" s="496">
        <v>12</v>
      </c>
      <c r="K31" s="739">
        <v>3</v>
      </c>
      <c r="L31" s="743">
        <v>7</v>
      </c>
      <c r="M31" s="485">
        <f>LOOKUP(K31,'4Ф КРУГ'!A:A,'4Ф КРУГ'!B:B)</f>
        <v>0</v>
      </c>
      <c r="N31" s="922" t="e">
        <f>IF(M31="","",VLOOKUP(M31,'Списки участников'!A:K,3,FALSE))</f>
        <v>#N/A</v>
      </c>
      <c r="O31" s="485">
        <f>LOOKUP(L31,'4Ф КРУГ'!A:A,'4Ф КРУГ'!B:B)</f>
        <v>0</v>
      </c>
      <c r="P31" s="922" t="e">
        <f>IF(O31="","",VLOOKUP(O31,'Списки участников'!A:K,3,FALSE))</f>
        <v>#N/A</v>
      </c>
    </row>
    <row r="32" spans="1:18" ht="17.25" x14ac:dyDescent="0.25">
      <c r="A32" s="486">
        <v>28</v>
      </c>
      <c r="B32" s="733">
        <v>4</v>
      </c>
      <c r="C32" s="738">
        <v>10</v>
      </c>
      <c r="D32" s="739">
        <v>16</v>
      </c>
      <c r="E32" s="484">
        <f>LOOKUP(C32,'4Ф КРУГ'!A:A,'4Ф КРУГ'!B:B)</f>
        <v>0</v>
      </c>
      <c r="F32" s="922" t="e">
        <f>IF(E32="","",VLOOKUP(E32,'Списки участников'!A:K,3,FALSE))</f>
        <v>#N/A</v>
      </c>
      <c r="G32" s="485">
        <f>LOOKUP(D32,'4Ф КРУГ'!A:A,'4Ф КРУГ'!B:B)</f>
        <v>0</v>
      </c>
      <c r="H32" s="922" t="e">
        <f>IF(G32="","",VLOOKUP(G32,'Списки участников'!A:K,3,FALSE))</f>
        <v>#N/A</v>
      </c>
      <c r="I32" s="486">
        <v>92</v>
      </c>
      <c r="J32" s="496">
        <v>12</v>
      </c>
      <c r="K32" s="739">
        <v>2</v>
      </c>
      <c r="L32" s="743">
        <v>8</v>
      </c>
      <c r="M32" s="485">
        <f>LOOKUP(K32,'4Ф КРУГ'!A:A,'4Ф КРУГ'!B:B)</f>
        <v>0</v>
      </c>
      <c r="N32" s="922" t="e">
        <f>IF(M32="","",VLOOKUP(M32,'Списки участников'!A:K,3,FALSE))</f>
        <v>#N/A</v>
      </c>
      <c r="O32" s="485">
        <f>LOOKUP(L32,'4Ф КРУГ'!A:A,'4Ф КРУГ'!B:B)</f>
        <v>0</v>
      </c>
      <c r="P32" s="922" t="e">
        <f>IF(O32="","",VLOOKUP(O32,'Списки участников'!A:K,3,FALSE))</f>
        <v>#N/A</v>
      </c>
    </row>
    <row r="33" spans="1:16" ht="17.25" x14ac:dyDescent="0.25">
      <c r="A33" s="486">
        <v>29</v>
      </c>
      <c r="B33" s="734">
        <v>4</v>
      </c>
      <c r="C33" s="738">
        <v>2</v>
      </c>
      <c r="D33" s="739">
        <v>9</v>
      </c>
      <c r="E33" s="484">
        <f>LOOKUP(C33,'4Ф КРУГ'!A:A,'4Ф КРУГ'!B:B)</f>
        <v>0</v>
      </c>
      <c r="F33" s="922" t="e">
        <f>IF(E33="","",VLOOKUP(E33,'Списки участников'!A:K,3,FALSE))</f>
        <v>#N/A</v>
      </c>
      <c r="G33" s="485">
        <f>LOOKUP(D33,'4Ф КРУГ'!A:A,'4Ф КРУГ'!B:B)</f>
        <v>0</v>
      </c>
      <c r="H33" s="922" t="e">
        <f>IF(G33="","",VLOOKUP(G33,'Списки участников'!A:K,3,FALSE))</f>
        <v>#N/A</v>
      </c>
      <c r="I33" s="486">
        <v>93</v>
      </c>
      <c r="J33" s="501">
        <v>12</v>
      </c>
      <c r="K33" s="739">
        <v>9</v>
      </c>
      <c r="L33" s="743">
        <v>16</v>
      </c>
      <c r="M33" s="485">
        <f>LOOKUP(K33,'4Ф КРУГ'!A:A,'4Ф КРУГ'!B:B)</f>
        <v>0</v>
      </c>
      <c r="N33" s="922" t="e">
        <f>IF(M33="","",VLOOKUP(M33,'Списки участников'!A:K,3,FALSE))</f>
        <v>#N/A</v>
      </c>
      <c r="O33" s="485">
        <f>LOOKUP(L33,'4Ф КРУГ'!A:A,'4Ф КРУГ'!B:B)</f>
        <v>0</v>
      </c>
      <c r="P33" s="922" t="e">
        <f>IF(O33="","",VLOOKUP(O33,'Списки участников'!A:K,3,FALSE))</f>
        <v>#N/A</v>
      </c>
    </row>
    <row r="34" spans="1:16" ht="17.25" x14ac:dyDescent="0.25">
      <c r="A34" s="486">
        <v>30</v>
      </c>
      <c r="B34" s="733">
        <v>4</v>
      </c>
      <c r="C34" s="738">
        <v>3</v>
      </c>
      <c r="D34" s="739">
        <v>8</v>
      </c>
      <c r="E34" s="484">
        <f>LOOKUP(C34,'4Ф КРУГ'!A:A,'4Ф КРУГ'!B:B)</f>
        <v>0</v>
      </c>
      <c r="F34" s="922" t="e">
        <f>IF(E34="","",VLOOKUP(E34,'Списки участников'!A:K,3,FALSE))</f>
        <v>#N/A</v>
      </c>
      <c r="G34" s="485">
        <f>LOOKUP(D34,'4Ф КРУГ'!A:A,'4Ф КРУГ'!B:B)</f>
        <v>0</v>
      </c>
      <c r="H34" s="922" t="e">
        <f>IF(G34="","",VLOOKUP(G34,'Списки участников'!A:K,3,FALSE))</f>
        <v>#N/A</v>
      </c>
      <c r="I34" s="486">
        <v>94</v>
      </c>
      <c r="J34" s="496">
        <v>12</v>
      </c>
      <c r="K34" s="745">
        <v>10</v>
      </c>
      <c r="L34" s="739">
        <v>15</v>
      </c>
      <c r="M34" s="485">
        <f>LOOKUP(K34,'4Ф КРУГ'!A:A,'4Ф КРУГ'!B:B)</f>
        <v>0</v>
      </c>
      <c r="N34" s="922" t="e">
        <f>IF(M34="","",VLOOKUP(M34,'Списки участников'!A:K,3,FALSE))</f>
        <v>#N/A</v>
      </c>
      <c r="O34" s="485">
        <f>LOOKUP(L34,'4Ф КРУГ'!A:A,'4Ф КРУГ'!B:B)</f>
        <v>0</v>
      </c>
      <c r="P34" s="922" t="e">
        <f>IF(O34="","",VLOOKUP(O34,'Списки участников'!A:K,3,FALSE))</f>
        <v>#N/A</v>
      </c>
    </row>
    <row r="35" spans="1:16" ht="17.25" x14ac:dyDescent="0.25">
      <c r="A35" s="486">
        <v>31</v>
      </c>
      <c r="B35" s="733">
        <v>4</v>
      </c>
      <c r="C35" s="738">
        <v>4</v>
      </c>
      <c r="D35" s="739">
        <v>7</v>
      </c>
      <c r="E35" s="484">
        <f>LOOKUP(C35,'4Ф КРУГ'!A:A,'4Ф КРУГ'!B:B)</f>
        <v>0</v>
      </c>
      <c r="F35" s="922" t="e">
        <f>IF(E35="","",VLOOKUP(E35,'Списки участников'!A:K,3,FALSE))</f>
        <v>#N/A</v>
      </c>
      <c r="G35" s="485">
        <f>LOOKUP(D35,'4Ф КРУГ'!A:A,'4Ф КРУГ'!B:B)</f>
        <v>0</v>
      </c>
      <c r="H35" s="922" t="e">
        <f>IF(G35="","",VLOOKUP(G35,'Списки участников'!A:K,3,FALSE))</f>
        <v>#N/A</v>
      </c>
      <c r="I35" s="486">
        <v>95</v>
      </c>
      <c r="J35" s="496">
        <v>12</v>
      </c>
      <c r="K35" s="745">
        <v>11</v>
      </c>
      <c r="L35" s="739">
        <v>14</v>
      </c>
      <c r="M35" s="485">
        <f>LOOKUP(K35,'4Ф КРУГ'!A:A,'4Ф КРУГ'!B:B)</f>
        <v>0</v>
      </c>
      <c r="N35" s="922" t="e">
        <f>IF(M35="","",VLOOKUP(M35,'Списки участников'!A:K,3,FALSE))</f>
        <v>#N/A</v>
      </c>
      <c r="O35" s="485">
        <f>LOOKUP(L35,'4Ф КРУГ'!A:A,'4Ф КРУГ'!B:B)</f>
        <v>0</v>
      </c>
      <c r="P35" s="922" t="e">
        <f>IF(O35="","",VLOOKUP(O35,'Списки участников'!A:K,3,FALSE))</f>
        <v>#N/A</v>
      </c>
    </row>
    <row r="36" spans="1:16" ht="18" thickBot="1" x14ac:dyDescent="0.3">
      <c r="A36" s="486">
        <v>32</v>
      </c>
      <c r="B36" s="736">
        <v>4</v>
      </c>
      <c r="C36" s="740">
        <v>5</v>
      </c>
      <c r="D36" s="741">
        <v>6</v>
      </c>
      <c r="E36" s="494">
        <f>LOOKUP(C36,'4Ф КРУГ'!A:A,'4Ф КРУГ'!B:B)</f>
        <v>0</v>
      </c>
      <c r="F36" s="730" t="e">
        <f>IF(E36="","",VLOOKUP(E36,'Списки участников'!A:K,3,FALSE))</f>
        <v>#N/A</v>
      </c>
      <c r="G36" s="731">
        <f>LOOKUP(D36,'4Ф КРУГ'!A:A,'4Ф КРУГ'!B:B)</f>
        <v>0</v>
      </c>
      <c r="H36" s="730" t="e">
        <f>IF(G36="","",VLOOKUP(G36,'Списки участников'!A:K,3,FALSE))</f>
        <v>#N/A</v>
      </c>
      <c r="I36" s="702">
        <v>96</v>
      </c>
      <c r="J36" s="500">
        <v>12</v>
      </c>
      <c r="K36" s="741">
        <v>12</v>
      </c>
      <c r="L36" s="746">
        <v>13</v>
      </c>
      <c r="M36" s="731">
        <f>LOOKUP(K36,'4Ф КРУГ'!A:A,'4Ф КРУГ'!B:B)</f>
        <v>0</v>
      </c>
      <c r="N36" s="730" t="e">
        <f>IF(M36="","",VLOOKUP(M36,'Списки участников'!A:K,3,FALSE))</f>
        <v>#N/A</v>
      </c>
      <c r="O36" s="731">
        <f>LOOKUP(L36,'4Ф КРУГ'!A:A,'4Ф КРУГ'!B:B)</f>
        <v>0</v>
      </c>
      <c r="P36" s="730" t="e">
        <f>IF(O36="","",VLOOKUP(O36,'Списки участников'!A:K,3,FALSE))</f>
        <v>#N/A</v>
      </c>
    </row>
    <row r="37" spans="1:16" ht="17.25" x14ac:dyDescent="0.25">
      <c r="A37" s="486">
        <v>33</v>
      </c>
      <c r="B37" s="737">
        <v>5</v>
      </c>
      <c r="C37" s="742">
        <v>1</v>
      </c>
      <c r="D37" s="743">
        <v>12</v>
      </c>
      <c r="E37" s="485">
        <f>LOOKUP(C37,'4Ф КРУГ'!A:A,'4Ф КРУГ'!B:B)</f>
        <v>0</v>
      </c>
      <c r="F37" s="922" t="e">
        <f>IF(E37="","",VLOOKUP(E37,'Списки участников'!A:K,3,FALSE))</f>
        <v>#N/A</v>
      </c>
      <c r="G37" s="485">
        <f>LOOKUP(D37,'4Ф КРУГ'!A:A,'4Ф КРУГ'!B:B)</f>
        <v>0</v>
      </c>
      <c r="H37" s="922" t="e">
        <f>IF(G37="","",VLOOKUP(G37,'Списки участников'!A:K,3,FALSE))</f>
        <v>#N/A</v>
      </c>
      <c r="I37" s="915">
        <v>97</v>
      </c>
      <c r="J37" s="497">
        <v>13</v>
      </c>
      <c r="K37" s="743">
        <v>1</v>
      </c>
      <c r="L37" s="743">
        <v>4</v>
      </c>
      <c r="M37" s="485">
        <f>LOOKUP(K37,'4Ф КРУГ'!A:A,'4Ф КРУГ'!B:B)</f>
        <v>0</v>
      </c>
      <c r="N37" s="922" t="e">
        <f>IF(M37="","",VLOOKUP(M37,'Списки участников'!A:K,3,FALSE))</f>
        <v>#N/A</v>
      </c>
      <c r="O37" s="485">
        <f>LOOKUP(L37,'4Ф КРУГ'!A:A,'4Ф КРУГ'!B:B)</f>
        <v>0</v>
      </c>
      <c r="P37" s="922" t="e">
        <f>IF(O37="","",VLOOKUP(O37,'Списки участников'!A:K,3,FALSE))</f>
        <v>#N/A</v>
      </c>
    </row>
    <row r="38" spans="1:16" ht="17.25" x14ac:dyDescent="0.25">
      <c r="A38" s="486">
        <v>34</v>
      </c>
      <c r="B38" s="733">
        <v>5</v>
      </c>
      <c r="C38" s="738">
        <v>11</v>
      </c>
      <c r="D38" s="743">
        <v>13</v>
      </c>
      <c r="E38" s="484">
        <f>LOOKUP(C38,'4Ф КРУГ'!A:A,'4Ф КРУГ'!B:B)</f>
        <v>0</v>
      </c>
      <c r="F38" s="922" t="e">
        <f>IF(E38="","",VLOOKUP(E38,'Списки участников'!A:K,3,FALSE))</f>
        <v>#N/A</v>
      </c>
      <c r="G38" s="485">
        <f>LOOKUP(D38,'4Ф КРУГ'!A:A,'4Ф КРУГ'!B:B)</f>
        <v>0</v>
      </c>
      <c r="H38" s="922" t="e">
        <f>IF(G38="","",VLOOKUP(G38,'Списки участников'!A:K,3,FALSE))</f>
        <v>#N/A</v>
      </c>
      <c r="I38" s="915">
        <v>98</v>
      </c>
      <c r="J38" s="497">
        <v>13</v>
      </c>
      <c r="K38" s="743">
        <v>3</v>
      </c>
      <c r="L38" s="743">
        <v>5</v>
      </c>
      <c r="M38" s="485">
        <f>LOOKUP(K38,'4Ф КРУГ'!A:A,'4Ф КРУГ'!B:B)</f>
        <v>0</v>
      </c>
      <c r="N38" s="922" t="e">
        <f>IF(M38="","",VLOOKUP(M38,'Списки участников'!A:K,3,FALSE))</f>
        <v>#N/A</v>
      </c>
      <c r="O38" s="485">
        <f>LOOKUP(L38,'4Ф КРУГ'!A:A,'4Ф КРУГ'!B:B)</f>
        <v>0</v>
      </c>
      <c r="P38" s="922" t="e">
        <f>IF(O38="","",VLOOKUP(O38,'Списки участников'!A:K,3,FALSE))</f>
        <v>#N/A</v>
      </c>
    </row>
    <row r="39" spans="1:16" ht="17.25" x14ac:dyDescent="0.25">
      <c r="A39" s="486">
        <v>35</v>
      </c>
      <c r="B39" s="735">
        <v>5</v>
      </c>
      <c r="C39" s="742">
        <v>10</v>
      </c>
      <c r="D39" s="743">
        <v>14</v>
      </c>
      <c r="E39" s="484">
        <f>LOOKUP(C39,'4Ф КРУГ'!A:A,'4Ф КРУГ'!B:B)</f>
        <v>0</v>
      </c>
      <c r="F39" s="922" t="e">
        <f>IF(E39="","",VLOOKUP(E39,'Списки участников'!A:K,3,FALSE))</f>
        <v>#N/A</v>
      </c>
      <c r="G39" s="485">
        <f>LOOKUP(D39,'4Ф КРУГ'!A:A,'4Ф КРУГ'!B:B)</f>
        <v>0</v>
      </c>
      <c r="H39" s="922" t="e">
        <f>IF(G39="","",VLOOKUP(G39,'Списки участников'!A:K,3,FALSE))</f>
        <v>#N/A</v>
      </c>
      <c r="I39" s="915">
        <v>99</v>
      </c>
      <c r="J39" s="496">
        <v>13</v>
      </c>
      <c r="K39" s="743">
        <v>2</v>
      </c>
      <c r="L39" s="743">
        <v>6</v>
      </c>
      <c r="M39" s="485">
        <f>LOOKUP(K39,'4Ф КРУГ'!A:A,'4Ф КРУГ'!B:B)</f>
        <v>0</v>
      </c>
      <c r="N39" s="922" t="e">
        <f>IF(M39="","",VLOOKUP(M39,'Списки участников'!A:K,3,FALSE))</f>
        <v>#N/A</v>
      </c>
      <c r="O39" s="485">
        <f>LOOKUP(L39,'4Ф КРУГ'!A:A,'4Ф КРУГ'!B:B)</f>
        <v>0</v>
      </c>
      <c r="P39" s="922" t="e">
        <f>IF(O39="","",VLOOKUP(O39,'Списки участников'!A:K,3,FALSE))</f>
        <v>#N/A</v>
      </c>
    </row>
    <row r="40" spans="1:16" ht="17.25" x14ac:dyDescent="0.25">
      <c r="A40" s="486">
        <v>36</v>
      </c>
      <c r="B40" s="496">
        <v>5</v>
      </c>
      <c r="C40" s="738">
        <v>9</v>
      </c>
      <c r="D40" s="739">
        <v>15</v>
      </c>
      <c r="E40" s="484">
        <f>LOOKUP(C40,'4Ф КРУГ'!A:A,'4Ф КРУГ'!B:B)</f>
        <v>0</v>
      </c>
      <c r="F40" s="922" t="e">
        <f>IF(E40="","",VLOOKUP(E40,'Списки участников'!A:K,3,FALSE))</f>
        <v>#N/A</v>
      </c>
      <c r="G40" s="485">
        <f>LOOKUP(D40,'4Ф КРУГ'!A:A,'4Ф КРУГ'!B:B)</f>
        <v>0</v>
      </c>
      <c r="H40" s="922" t="e">
        <f>IF(G40="","",VLOOKUP(G40,'Списки участников'!A:K,3,FALSE))</f>
        <v>#N/A</v>
      </c>
      <c r="I40" s="486">
        <v>100</v>
      </c>
      <c r="J40" s="496">
        <v>13</v>
      </c>
      <c r="K40" s="739">
        <v>7</v>
      </c>
      <c r="L40" s="739">
        <v>16</v>
      </c>
      <c r="M40" s="485">
        <f>LOOKUP(K40,'4Ф КРУГ'!A:A,'4Ф КРУГ'!B:B)</f>
        <v>0</v>
      </c>
      <c r="N40" s="922" t="e">
        <f>IF(M40="","",VLOOKUP(M40,'Списки участников'!A:K,3,FALSE))</f>
        <v>#N/A</v>
      </c>
      <c r="O40" s="485">
        <f>LOOKUP(L40,'4Ф КРУГ'!A:A,'4Ф КРУГ'!B:B)</f>
        <v>0</v>
      </c>
      <c r="P40" s="922" t="e">
        <f>IF(O40="","",VLOOKUP(O40,'Списки участников'!A:K,3,FALSE))</f>
        <v>#N/A</v>
      </c>
    </row>
    <row r="41" spans="1:16" ht="17.25" x14ac:dyDescent="0.25">
      <c r="A41" s="486">
        <v>37</v>
      </c>
      <c r="B41" s="489">
        <v>5</v>
      </c>
      <c r="C41" s="738">
        <v>8</v>
      </c>
      <c r="D41" s="739">
        <v>16</v>
      </c>
      <c r="E41" s="484">
        <f>LOOKUP(C41,'4Ф КРУГ'!A:A,'4Ф КРУГ'!B:B)</f>
        <v>0</v>
      </c>
      <c r="F41" s="922" t="e">
        <f>IF(E41="","",VLOOKUP(E41,'Списки участников'!A:K,3,FALSE))</f>
        <v>#N/A</v>
      </c>
      <c r="G41" s="485">
        <f>LOOKUP(D41,'4Ф КРУГ'!A:A,'4Ф КРУГ'!B:B)</f>
        <v>0</v>
      </c>
      <c r="H41" s="922" t="e">
        <f>IF(G41="","",VLOOKUP(G41,'Списки участников'!A:K,3,FALSE))</f>
        <v>#N/A</v>
      </c>
      <c r="I41" s="486">
        <v>101</v>
      </c>
      <c r="J41" s="501">
        <v>13</v>
      </c>
      <c r="K41" s="739">
        <v>8</v>
      </c>
      <c r="L41" s="739">
        <v>15</v>
      </c>
      <c r="M41" s="485">
        <f>LOOKUP(K41,'4Ф КРУГ'!A:A,'4Ф КРУГ'!B:B)</f>
        <v>0</v>
      </c>
      <c r="N41" s="922" t="e">
        <f>IF(M41="","",VLOOKUP(M41,'Списки участников'!A:K,3,FALSE))</f>
        <v>#N/A</v>
      </c>
      <c r="O41" s="485">
        <f>LOOKUP(L41,'4Ф КРУГ'!A:A,'4Ф КРУГ'!B:B)</f>
        <v>0</v>
      </c>
      <c r="P41" s="922" t="e">
        <f>IF(O41="","",VLOOKUP(O41,'Списки участников'!A:K,3,FALSE))</f>
        <v>#N/A</v>
      </c>
    </row>
    <row r="42" spans="1:16" ht="17.25" x14ac:dyDescent="0.25">
      <c r="A42" s="486">
        <v>38</v>
      </c>
      <c r="B42" s="496">
        <v>5</v>
      </c>
      <c r="C42" s="738">
        <v>2</v>
      </c>
      <c r="D42" s="739">
        <v>7</v>
      </c>
      <c r="E42" s="484">
        <f>LOOKUP(C42,'4Ф КРУГ'!A:A,'4Ф КРУГ'!B:B)</f>
        <v>0</v>
      </c>
      <c r="F42" s="922" t="e">
        <f>IF(E42="","",VLOOKUP(E42,'Списки участников'!A:K,3,FALSE))</f>
        <v>#N/A</v>
      </c>
      <c r="G42" s="485">
        <f>LOOKUP(D42,'4Ф КРУГ'!A:A,'4Ф КРУГ'!B:B)</f>
        <v>0</v>
      </c>
      <c r="H42" s="922" t="e">
        <f>IF(G42="","",VLOOKUP(G42,'Списки участников'!A:K,3,FALSE))</f>
        <v>#N/A</v>
      </c>
      <c r="I42" s="486">
        <v>102</v>
      </c>
      <c r="J42" s="496">
        <v>13</v>
      </c>
      <c r="K42" s="745">
        <v>9</v>
      </c>
      <c r="L42" s="745">
        <v>14</v>
      </c>
      <c r="M42" s="485">
        <f>LOOKUP(K42,'4Ф КРУГ'!A:A,'4Ф КРУГ'!B:B)</f>
        <v>0</v>
      </c>
      <c r="N42" s="922" t="e">
        <f>IF(M42="","",VLOOKUP(M42,'Списки участников'!A:K,3,FALSE))</f>
        <v>#N/A</v>
      </c>
      <c r="O42" s="485">
        <f>LOOKUP(L42,'4Ф КРУГ'!A:A,'4Ф КРУГ'!B:B)</f>
        <v>0</v>
      </c>
      <c r="P42" s="922" t="e">
        <f>IF(O42="","",VLOOKUP(O42,'Списки участников'!A:K,3,FALSE))</f>
        <v>#N/A</v>
      </c>
    </row>
    <row r="43" spans="1:16" ht="17.25" x14ac:dyDescent="0.25">
      <c r="A43" s="486">
        <v>39</v>
      </c>
      <c r="B43" s="496">
        <v>5</v>
      </c>
      <c r="C43" s="738">
        <v>3</v>
      </c>
      <c r="D43" s="739">
        <v>6</v>
      </c>
      <c r="E43" s="484">
        <f>LOOKUP(C43,'4Ф КРУГ'!A:A,'4Ф КРУГ'!B:B)</f>
        <v>0</v>
      </c>
      <c r="F43" s="922" t="e">
        <f>IF(E43="","",VLOOKUP(E43,'Списки участников'!A:K,3,FALSE))</f>
        <v>#N/A</v>
      </c>
      <c r="G43" s="485">
        <f>LOOKUP(D43,'4Ф КРУГ'!A:A,'4Ф КРУГ'!B:B)</f>
        <v>0</v>
      </c>
      <c r="H43" s="922" t="e">
        <f>IF(G43="","",VLOOKUP(G43,'Списки участников'!A:K,3,FALSE))</f>
        <v>#N/A</v>
      </c>
      <c r="I43" s="486">
        <v>103</v>
      </c>
      <c r="J43" s="496">
        <v>13</v>
      </c>
      <c r="K43" s="745">
        <v>10</v>
      </c>
      <c r="L43" s="745">
        <v>13</v>
      </c>
      <c r="M43" s="485">
        <f>LOOKUP(K43,'4Ф КРУГ'!A:A,'4Ф КРУГ'!B:B)</f>
        <v>0</v>
      </c>
      <c r="N43" s="922" t="e">
        <f>IF(M43="","",VLOOKUP(M43,'Списки участников'!A:K,3,FALSE))</f>
        <v>#N/A</v>
      </c>
      <c r="O43" s="485">
        <f>LOOKUP(L43,'4Ф КРУГ'!A:A,'4Ф КРУГ'!B:B)</f>
        <v>0</v>
      </c>
      <c r="P43" s="922" t="e">
        <f>IF(O43="","",VLOOKUP(O43,'Списки участников'!A:K,3,FALSE))</f>
        <v>#N/A</v>
      </c>
    </row>
    <row r="44" spans="1:16" ht="18" thickBot="1" x14ac:dyDescent="0.3">
      <c r="A44" s="486">
        <v>40</v>
      </c>
      <c r="B44" s="500">
        <v>5</v>
      </c>
      <c r="C44" s="740">
        <v>4</v>
      </c>
      <c r="D44" s="741">
        <v>5</v>
      </c>
      <c r="E44" s="494">
        <f>LOOKUP(C44,'4Ф КРУГ'!A:A,'4Ф КРУГ'!B:B)</f>
        <v>0</v>
      </c>
      <c r="F44" s="730" t="e">
        <f>IF(E44="","",VLOOKUP(E44,'Списки участников'!A:K,3,FALSE))</f>
        <v>#N/A</v>
      </c>
      <c r="G44" s="731">
        <f>LOOKUP(D44,'4Ф КРУГ'!A:A,'4Ф КРУГ'!B:B)</f>
        <v>0</v>
      </c>
      <c r="H44" s="730" t="e">
        <f>IF(G44="","",VLOOKUP(G44,'Списки участников'!A:K,3,FALSE))</f>
        <v>#N/A</v>
      </c>
      <c r="I44" s="702">
        <v>104</v>
      </c>
      <c r="J44" s="500">
        <v>13</v>
      </c>
      <c r="K44" s="741">
        <v>11</v>
      </c>
      <c r="L44" s="741">
        <v>12</v>
      </c>
      <c r="M44" s="731">
        <f>LOOKUP(K44,'4Ф КРУГ'!A:A,'4Ф КРУГ'!B:B)</f>
        <v>0</v>
      </c>
      <c r="N44" s="730" t="e">
        <f>IF(M44="","",VLOOKUP(M44,'Списки участников'!A:K,3,FALSE))</f>
        <v>#N/A</v>
      </c>
      <c r="O44" s="731">
        <f>LOOKUP(L44,'4Ф КРУГ'!A:A,'4Ф КРУГ'!B:B)</f>
        <v>0</v>
      </c>
      <c r="P44" s="730" t="e">
        <f>IF(O44="","",VLOOKUP(O44,'Списки участников'!A:K,3,FALSE))</f>
        <v>#N/A</v>
      </c>
    </row>
    <row r="45" spans="1:16" ht="17.25" x14ac:dyDescent="0.25">
      <c r="A45" s="486">
        <v>41</v>
      </c>
      <c r="B45" s="496">
        <v>6</v>
      </c>
      <c r="C45" s="742">
        <v>1</v>
      </c>
      <c r="D45" s="743">
        <v>11</v>
      </c>
      <c r="E45" s="485">
        <f>LOOKUP(C45,'4Ф КРУГ'!A:A,'4Ф КРУГ'!B:B)</f>
        <v>0</v>
      </c>
      <c r="F45" s="922" t="e">
        <f>IF(E45="","",VLOOKUP(E45,'Списки участников'!A:K,3,FALSE))</f>
        <v>#N/A</v>
      </c>
      <c r="G45" s="485">
        <f>LOOKUP(D45,'4Ф КРУГ'!A:A,'4Ф КРУГ'!B:B)</f>
        <v>0</v>
      </c>
      <c r="H45" s="922" t="e">
        <f>IF(G45="","",VLOOKUP(G45,'Списки участников'!A:K,3,FALSE))</f>
        <v>#N/A</v>
      </c>
      <c r="I45" s="915">
        <v>105</v>
      </c>
      <c r="J45" s="496">
        <v>14</v>
      </c>
      <c r="K45" s="743">
        <v>1</v>
      </c>
      <c r="L45" s="743">
        <v>3</v>
      </c>
      <c r="M45" s="485">
        <f>LOOKUP(K45,'4Ф КРУГ'!A:A,'4Ф КРУГ'!B:B)</f>
        <v>0</v>
      </c>
      <c r="N45" s="922" t="e">
        <f>IF(M45="","",VLOOKUP(M45,'Списки участников'!A:K,3,FALSE))</f>
        <v>#N/A</v>
      </c>
      <c r="O45" s="485">
        <f>LOOKUP(L45,'4Ф КРУГ'!A:A,'4Ф КРУГ'!B:B)</f>
        <v>0</v>
      </c>
      <c r="P45" s="922" t="e">
        <f>IF(O45="","",VLOOKUP(O45,'Списки участников'!A:K,3,FALSE))</f>
        <v>#N/A</v>
      </c>
    </row>
    <row r="46" spans="1:16" ht="17.25" x14ac:dyDescent="0.25">
      <c r="A46" s="486">
        <v>42</v>
      </c>
      <c r="B46" s="496">
        <v>6</v>
      </c>
      <c r="C46" s="738">
        <v>10</v>
      </c>
      <c r="D46" s="739">
        <v>12</v>
      </c>
      <c r="E46" s="484">
        <f>LOOKUP(C46,'4Ф КРУГ'!A:A,'4Ф КРУГ'!B:B)</f>
        <v>0</v>
      </c>
      <c r="F46" s="922" t="e">
        <f>IF(E46="","",VLOOKUP(E46,'Списки участников'!A:K,3,FALSE))</f>
        <v>#N/A</v>
      </c>
      <c r="G46" s="485">
        <f>LOOKUP(D46,'4Ф КРУГ'!A:A,'4Ф КРУГ'!B:B)</f>
        <v>0</v>
      </c>
      <c r="H46" s="922" t="e">
        <f>IF(G46="","",VLOOKUP(G46,'Списки участников'!A:K,3,FALSE))</f>
        <v>#N/A</v>
      </c>
      <c r="I46" s="486">
        <v>106</v>
      </c>
      <c r="J46" s="496">
        <v>14</v>
      </c>
      <c r="K46" s="739">
        <v>2</v>
      </c>
      <c r="L46" s="743">
        <v>4</v>
      </c>
      <c r="M46" s="485">
        <f>LOOKUP(K46,'4Ф КРУГ'!A:A,'4Ф КРУГ'!B:B)</f>
        <v>0</v>
      </c>
      <c r="N46" s="922" t="e">
        <f>IF(M46="","",VLOOKUP(M46,'Списки участников'!A:K,3,FALSE))</f>
        <v>#N/A</v>
      </c>
      <c r="O46" s="485">
        <f>LOOKUP(L46,'4Ф КРУГ'!A:A,'4Ф КРУГ'!B:B)</f>
        <v>0</v>
      </c>
      <c r="P46" s="922" t="e">
        <f>IF(O46="","",VLOOKUP(O46,'Списки участников'!A:K,3,FALSE))</f>
        <v>#N/A</v>
      </c>
    </row>
    <row r="47" spans="1:16" ht="17.25" x14ac:dyDescent="0.25">
      <c r="A47" s="486">
        <v>43</v>
      </c>
      <c r="B47" s="496">
        <v>6</v>
      </c>
      <c r="C47" s="738">
        <v>9</v>
      </c>
      <c r="D47" s="739">
        <v>13</v>
      </c>
      <c r="E47" s="484">
        <f>LOOKUP(C47,'4Ф КРУГ'!A:A,'4Ф КРУГ'!B:B)</f>
        <v>0</v>
      </c>
      <c r="F47" s="922" t="e">
        <f>IF(E47="","",VLOOKUP(E47,'Списки участников'!A:K,3,FALSE))</f>
        <v>#N/A</v>
      </c>
      <c r="G47" s="485">
        <f>LOOKUP(D47,'4Ф КРУГ'!A:A,'4Ф КРУГ'!B:B)</f>
        <v>0</v>
      </c>
      <c r="H47" s="922" t="e">
        <f>IF(G47="","",VLOOKUP(G47,'Списки участников'!A:K,3,FALSE))</f>
        <v>#N/A</v>
      </c>
      <c r="I47" s="486">
        <v>107</v>
      </c>
      <c r="J47" s="496">
        <v>14</v>
      </c>
      <c r="K47" s="739">
        <v>5</v>
      </c>
      <c r="L47" s="743">
        <v>16</v>
      </c>
      <c r="M47" s="485">
        <f>LOOKUP(K47,'4Ф КРУГ'!A:A,'4Ф КРУГ'!B:B)</f>
        <v>0</v>
      </c>
      <c r="N47" s="922" t="e">
        <f>IF(M47="","",VLOOKUP(M47,'Списки участников'!A:K,3,FALSE))</f>
        <v>#N/A</v>
      </c>
      <c r="O47" s="485">
        <f>LOOKUP(L47,'4Ф КРУГ'!A:A,'4Ф КРУГ'!B:B)</f>
        <v>0</v>
      </c>
      <c r="P47" s="922" t="e">
        <f>IF(O47="","",VLOOKUP(O47,'Списки участников'!A:K,3,FALSE))</f>
        <v>#N/A</v>
      </c>
    </row>
    <row r="48" spans="1:16" ht="17.25" x14ac:dyDescent="0.25">
      <c r="A48" s="486">
        <v>44</v>
      </c>
      <c r="B48" s="496">
        <v>6</v>
      </c>
      <c r="C48" s="738">
        <v>8</v>
      </c>
      <c r="D48" s="739">
        <v>14</v>
      </c>
      <c r="E48" s="484">
        <f>LOOKUP(C48,'4Ф КРУГ'!A:A,'4Ф КРУГ'!B:B)</f>
        <v>0</v>
      </c>
      <c r="F48" s="922" t="e">
        <f>IF(E48="","",VLOOKUP(E48,'Списки участников'!A:K,3,FALSE))</f>
        <v>#N/A</v>
      </c>
      <c r="G48" s="485">
        <f>LOOKUP(D48,'4Ф КРУГ'!A:A,'4Ф КРУГ'!B:B)</f>
        <v>0</v>
      </c>
      <c r="H48" s="922" t="e">
        <f>IF(G48="","",VLOOKUP(G48,'Списки участников'!A:K,3,FALSE))</f>
        <v>#N/A</v>
      </c>
      <c r="I48" s="486">
        <v>108</v>
      </c>
      <c r="J48" s="496">
        <v>14</v>
      </c>
      <c r="K48" s="739">
        <v>6</v>
      </c>
      <c r="L48" s="743">
        <v>15</v>
      </c>
      <c r="M48" s="485">
        <f>LOOKUP(K48,'4Ф КРУГ'!A:A,'4Ф КРУГ'!B:B)</f>
        <v>0</v>
      </c>
      <c r="N48" s="922" t="e">
        <f>IF(M48="","",VLOOKUP(M48,'Списки участников'!A:K,3,FALSE))</f>
        <v>#N/A</v>
      </c>
      <c r="O48" s="485">
        <f>LOOKUP(L48,'4Ф КРУГ'!A:A,'4Ф КРУГ'!B:B)</f>
        <v>0</v>
      </c>
      <c r="P48" s="922" t="e">
        <f>IF(O48="","",VLOOKUP(O48,'Списки участников'!A:K,3,FALSE))</f>
        <v>#N/A</v>
      </c>
    </row>
    <row r="49" spans="1:16" ht="17.25" x14ac:dyDescent="0.25">
      <c r="A49" s="486">
        <v>45</v>
      </c>
      <c r="B49" s="501">
        <v>6</v>
      </c>
      <c r="C49" s="738">
        <v>7</v>
      </c>
      <c r="D49" s="739">
        <v>15</v>
      </c>
      <c r="E49" s="484">
        <f>LOOKUP(C49,'4Ф КРУГ'!A:A,'4Ф КРУГ'!B:B)</f>
        <v>0</v>
      </c>
      <c r="F49" s="922" t="e">
        <f>IF(E49="","",VLOOKUP(E49,'Списки участников'!A:K,3,FALSE))</f>
        <v>#N/A</v>
      </c>
      <c r="G49" s="485">
        <f>LOOKUP(D49,'4Ф КРУГ'!A:A,'4Ф КРУГ'!B:B)</f>
        <v>0</v>
      </c>
      <c r="H49" s="922" t="e">
        <f>IF(G49="","",VLOOKUP(G49,'Списки участников'!A:K,3,FALSE))</f>
        <v>#N/A</v>
      </c>
      <c r="I49" s="486">
        <v>109</v>
      </c>
      <c r="J49" s="501">
        <v>14</v>
      </c>
      <c r="K49" s="739">
        <v>7</v>
      </c>
      <c r="L49" s="743">
        <v>14</v>
      </c>
      <c r="M49" s="485">
        <f>LOOKUP(K49,'4Ф КРУГ'!A:A,'4Ф КРУГ'!B:B)</f>
        <v>0</v>
      </c>
      <c r="N49" s="922" t="e">
        <f>IF(M49="","",VLOOKUP(M49,'Списки участников'!A:K,3,FALSE))</f>
        <v>#N/A</v>
      </c>
      <c r="O49" s="485">
        <f>LOOKUP(L49,'4Ф КРУГ'!A:A,'4Ф КРУГ'!B:B)</f>
        <v>0</v>
      </c>
      <c r="P49" s="922" t="e">
        <f>IF(O49="","",VLOOKUP(O49,'Списки участников'!A:K,3,FALSE))</f>
        <v>#N/A</v>
      </c>
    </row>
    <row r="50" spans="1:16" ht="17.25" x14ac:dyDescent="0.25">
      <c r="A50" s="486">
        <v>46</v>
      </c>
      <c r="B50" s="496">
        <v>6</v>
      </c>
      <c r="C50" s="738">
        <v>6</v>
      </c>
      <c r="D50" s="739">
        <v>16</v>
      </c>
      <c r="E50" s="484">
        <f>LOOKUP(C50,'4Ф КРУГ'!A:A,'4Ф КРУГ'!B:B)</f>
        <v>0</v>
      </c>
      <c r="F50" s="922" t="e">
        <f>IF(E50="","",VLOOKUP(E50,'Списки участников'!A:K,3,FALSE))</f>
        <v>#N/A</v>
      </c>
      <c r="G50" s="485">
        <f>LOOKUP(D50,'4Ф КРУГ'!A:A,'4Ф КРУГ'!B:B)</f>
        <v>0</v>
      </c>
      <c r="H50" s="922" t="e">
        <f>IF(G50="","",VLOOKUP(G50,'Списки участников'!A:K,3,FALSE))</f>
        <v>#N/A</v>
      </c>
      <c r="I50" s="486">
        <v>110</v>
      </c>
      <c r="J50" s="496">
        <v>14</v>
      </c>
      <c r="K50" s="745">
        <v>8</v>
      </c>
      <c r="L50" s="739">
        <v>13</v>
      </c>
      <c r="M50" s="485">
        <f>LOOKUP(K50,'4Ф КРУГ'!A:A,'4Ф КРУГ'!B:B)</f>
        <v>0</v>
      </c>
      <c r="N50" s="922" t="e">
        <f>IF(M50="","",VLOOKUP(M50,'Списки участников'!A:K,3,FALSE))</f>
        <v>#N/A</v>
      </c>
      <c r="O50" s="485">
        <f>LOOKUP(L50,'4Ф КРУГ'!A:A,'4Ф КРУГ'!B:B)</f>
        <v>0</v>
      </c>
      <c r="P50" s="922" t="e">
        <f>IF(O50="","",VLOOKUP(O50,'Списки участников'!A:K,3,FALSE))</f>
        <v>#N/A</v>
      </c>
    </row>
    <row r="51" spans="1:16" ht="17.25" x14ac:dyDescent="0.25">
      <c r="A51" s="486">
        <v>47</v>
      </c>
      <c r="B51" s="496">
        <v>6</v>
      </c>
      <c r="C51" s="738">
        <v>2</v>
      </c>
      <c r="D51" s="739">
        <v>5</v>
      </c>
      <c r="E51" s="484">
        <f>LOOKUP(C51,'4Ф КРУГ'!A:A,'4Ф КРУГ'!B:B)</f>
        <v>0</v>
      </c>
      <c r="F51" s="922" t="e">
        <f>IF(E51="","",VLOOKUP(E51,'Списки участников'!A:K,3,FALSE))</f>
        <v>#N/A</v>
      </c>
      <c r="G51" s="485">
        <f>LOOKUP(D51,'4Ф КРУГ'!A:A,'4Ф КРУГ'!B:B)</f>
        <v>0</v>
      </c>
      <c r="H51" s="922" t="e">
        <f>IF(G51="","",VLOOKUP(G51,'Списки участников'!A:K,3,FALSE))</f>
        <v>#N/A</v>
      </c>
      <c r="I51" s="486">
        <v>111</v>
      </c>
      <c r="J51" s="496">
        <v>14</v>
      </c>
      <c r="K51" s="745">
        <v>9</v>
      </c>
      <c r="L51" s="739">
        <v>12</v>
      </c>
      <c r="M51" s="485">
        <f>LOOKUP(K51,'4Ф КРУГ'!A:A,'4Ф КРУГ'!B:B)</f>
        <v>0</v>
      </c>
      <c r="N51" s="922" t="e">
        <f>IF(M51="","",VLOOKUP(M51,'Списки участников'!A:K,3,FALSE))</f>
        <v>#N/A</v>
      </c>
      <c r="O51" s="485">
        <f>LOOKUP(L51,'4Ф КРУГ'!A:A,'4Ф КРУГ'!B:B)</f>
        <v>0</v>
      </c>
      <c r="P51" s="922" t="e">
        <f>IF(O51="","",VLOOKUP(O51,'Списки участников'!A:K,3,FALSE))</f>
        <v>#N/A</v>
      </c>
    </row>
    <row r="52" spans="1:16" ht="18" thickBot="1" x14ac:dyDescent="0.3">
      <c r="A52" s="486">
        <v>48</v>
      </c>
      <c r="B52" s="500">
        <v>6</v>
      </c>
      <c r="C52" s="740">
        <v>3</v>
      </c>
      <c r="D52" s="741">
        <v>4</v>
      </c>
      <c r="E52" s="494">
        <f>LOOKUP(C52,'4Ф КРУГ'!A:A,'4Ф КРУГ'!B:B)</f>
        <v>0</v>
      </c>
      <c r="F52" s="730" t="e">
        <f>IF(E52="","",VLOOKUP(E52,'Списки участников'!A:K,3,FALSE))</f>
        <v>#N/A</v>
      </c>
      <c r="G52" s="731">
        <f>LOOKUP(D52,'4Ф КРУГ'!A:A,'4Ф КРУГ'!B:B)</f>
        <v>0</v>
      </c>
      <c r="H52" s="730" t="e">
        <f>IF(G52="","",VLOOKUP(G52,'Списки участников'!A:K,3,FALSE))</f>
        <v>#N/A</v>
      </c>
      <c r="I52" s="702">
        <v>112</v>
      </c>
      <c r="J52" s="500">
        <v>14</v>
      </c>
      <c r="K52" s="741">
        <v>10</v>
      </c>
      <c r="L52" s="746">
        <v>11</v>
      </c>
      <c r="M52" s="731">
        <f>LOOKUP(K52,'4Ф КРУГ'!A:A,'4Ф КРУГ'!B:B)</f>
        <v>0</v>
      </c>
      <c r="N52" s="730" t="e">
        <f>IF(M52="","",VLOOKUP(M52,'Списки участников'!A:K,3,FALSE))</f>
        <v>#N/A</v>
      </c>
      <c r="O52" s="731">
        <f>LOOKUP(L52,'4Ф КРУГ'!A:A,'4Ф КРУГ'!B:B)</f>
        <v>0</v>
      </c>
      <c r="P52" s="730" t="e">
        <f>IF(O52="","",VLOOKUP(O52,'Списки участников'!A:K,3,FALSE))</f>
        <v>#N/A</v>
      </c>
    </row>
    <row r="53" spans="1:16" ht="17.25" x14ac:dyDescent="0.25">
      <c r="A53" s="486">
        <v>49</v>
      </c>
      <c r="B53" s="496">
        <v>7</v>
      </c>
      <c r="C53" s="742">
        <v>1</v>
      </c>
      <c r="D53" s="743">
        <v>10</v>
      </c>
      <c r="E53" s="485">
        <f>LOOKUP(C53,'4Ф КРУГ'!A:A,'4Ф КРУГ'!B:B)</f>
        <v>0</v>
      </c>
      <c r="F53" s="922" t="e">
        <f>IF(E53="","",VLOOKUP(E53,'Списки участников'!A:K,3,FALSE))</f>
        <v>#N/A</v>
      </c>
      <c r="G53" s="485">
        <f>LOOKUP(D53,'4Ф КРУГ'!A:A,'4Ф КРУГ'!B:B)</f>
        <v>0</v>
      </c>
      <c r="H53" s="922" t="e">
        <f>IF(G53="","",VLOOKUP(G53,'Списки участников'!A:K,3,FALSE))</f>
        <v>#N/A</v>
      </c>
      <c r="I53" s="915">
        <v>113</v>
      </c>
      <c r="J53" s="496">
        <v>15</v>
      </c>
      <c r="K53" s="743">
        <v>1</v>
      </c>
      <c r="L53" s="743">
        <v>2</v>
      </c>
      <c r="M53" s="485">
        <f>LOOKUP(K53,'4Ф КРУГ'!A:A,'4Ф КРУГ'!B:B)</f>
        <v>0</v>
      </c>
      <c r="N53" s="922" t="e">
        <f>IF(M53="","",VLOOKUP(M53,'Списки участников'!A:K,3,FALSE))</f>
        <v>#N/A</v>
      </c>
      <c r="O53" s="485">
        <f>LOOKUP(L53,'4Ф КРУГ'!A:A,'4Ф КРУГ'!B:B)</f>
        <v>0</v>
      </c>
      <c r="P53" s="922" t="e">
        <f>IF(O53="","",VLOOKUP(O53,'Списки участников'!A:K,3,FALSE))</f>
        <v>#N/A</v>
      </c>
    </row>
    <row r="54" spans="1:16" ht="17.25" x14ac:dyDescent="0.25">
      <c r="A54" s="486">
        <v>50</v>
      </c>
      <c r="B54" s="496">
        <v>7</v>
      </c>
      <c r="C54" s="738">
        <v>9</v>
      </c>
      <c r="D54" s="739">
        <v>11</v>
      </c>
      <c r="E54" s="484">
        <f>LOOKUP(C54,'4Ф КРУГ'!A:A,'4Ф КРУГ'!B:B)</f>
        <v>0</v>
      </c>
      <c r="F54" s="922" t="e">
        <f>IF(E54="","",VLOOKUP(E54,'Списки участников'!A:K,3,FALSE))</f>
        <v>#N/A</v>
      </c>
      <c r="G54" s="485">
        <f>LOOKUP(D54,'4Ф КРУГ'!A:A,'4Ф КРУГ'!B:B)</f>
        <v>0</v>
      </c>
      <c r="H54" s="922" t="e">
        <f>IF(G54="","",VLOOKUP(G54,'Списки участников'!A:K,3,FALSE))</f>
        <v>#N/A</v>
      </c>
      <c r="I54" s="486">
        <v>114</v>
      </c>
      <c r="J54" s="496">
        <v>15</v>
      </c>
      <c r="K54" s="739">
        <v>3</v>
      </c>
      <c r="L54" s="739">
        <v>16</v>
      </c>
      <c r="M54" s="485">
        <f>LOOKUP(K54,'4Ф КРУГ'!A:A,'4Ф КРУГ'!B:B)</f>
        <v>0</v>
      </c>
      <c r="N54" s="922" t="e">
        <f>IF(M54="","",VLOOKUP(M54,'Списки участников'!A:K,3,FALSE))</f>
        <v>#N/A</v>
      </c>
      <c r="O54" s="485">
        <f>LOOKUP(L54,'4Ф КРУГ'!A:A,'4Ф КРУГ'!B:B)</f>
        <v>0</v>
      </c>
      <c r="P54" s="922" t="e">
        <f>IF(O54="","",VLOOKUP(O54,'Списки участников'!A:K,3,FALSE))</f>
        <v>#N/A</v>
      </c>
    </row>
    <row r="55" spans="1:16" ht="17.25" x14ac:dyDescent="0.25">
      <c r="A55" s="486">
        <v>51</v>
      </c>
      <c r="B55" s="496">
        <v>7</v>
      </c>
      <c r="C55" s="738">
        <v>8</v>
      </c>
      <c r="D55" s="739">
        <v>12</v>
      </c>
      <c r="E55" s="484">
        <f>LOOKUP(C55,'4Ф КРУГ'!A:A,'4Ф КРУГ'!B:B)</f>
        <v>0</v>
      </c>
      <c r="F55" s="922" t="e">
        <f>IF(E55="","",VLOOKUP(E55,'Списки участников'!A:K,3,FALSE))</f>
        <v>#N/A</v>
      </c>
      <c r="G55" s="485">
        <f>LOOKUP(D55,'4Ф КРУГ'!A:A,'4Ф КРУГ'!B:B)</f>
        <v>0</v>
      </c>
      <c r="H55" s="922" t="e">
        <f>IF(G55="","",VLOOKUP(G55,'Списки участников'!A:K,3,FALSE))</f>
        <v>#N/A</v>
      </c>
      <c r="I55" s="486">
        <v>115</v>
      </c>
      <c r="J55" s="496">
        <v>15</v>
      </c>
      <c r="K55" s="739">
        <v>4</v>
      </c>
      <c r="L55" s="739">
        <v>15</v>
      </c>
      <c r="M55" s="485">
        <f>LOOKUP(K55,'4Ф КРУГ'!A:A,'4Ф КРУГ'!B:B)</f>
        <v>0</v>
      </c>
      <c r="N55" s="922" t="e">
        <f>IF(M55="","",VLOOKUP(M55,'Списки участников'!A:K,3,FALSE))</f>
        <v>#N/A</v>
      </c>
      <c r="O55" s="485">
        <f>LOOKUP(L55,'4Ф КРУГ'!A:A,'4Ф КРУГ'!B:B)</f>
        <v>0</v>
      </c>
      <c r="P55" s="922" t="e">
        <f>IF(O55="","",VLOOKUP(O55,'Списки участников'!A:K,3,FALSE))</f>
        <v>#N/A</v>
      </c>
    </row>
    <row r="56" spans="1:16" ht="17.25" x14ac:dyDescent="0.25">
      <c r="A56" s="486">
        <v>52</v>
      </c>
      <c r="B56" s="496">
        <v>7</v>
      </c>
      <c r="C56" s="738">
        <v>7</v>
      </c>
      <c r="D56" s="739">
        <v>13</v>
      </c>
      <c r="E56" s="484">
        <f>LOOKUP(C56,'4Ф КРУГ'!A:A,'4Ф КРУГ'!B:B)</f>
        <v>0</v>
      </c>
      <c r="F56" s="922" t="e">
        <f>IF(E56="","",VLOOKUP(E56,'Списки участников'!A:K,3,FALSE))</f>
        <v>#N/A</v>
      </c>
      <c r="G56" s="485">
        <f>LOOKUP(D56,'4Ф КРУГ'!A:A,'4Ф КРУГ'!B:B)</f>
        <v>0</v>
      </c>
      <c r="H56" s="922" t="e">
        <f>IF(G56="","",VLOOKUP(G56,'Списки участников'!A:K,3,FALSE))</f>
        <v>#N/A</v>
      </c>
      <c r="I56" s="486">
        <v>116</v>
      </c>
      <c r="J56" s="496">
        <v>15</v>
      </c>
      <c r="K56" s="739">
        <v>5</v>
      </c>
      <c r="L56" s="739">
        <v>14</v>
      </c>
      <c r="M56" s="485">
        <f>LOOKUP(K56,'4Ф КРУГ'!A:A,'4Ф КРУГ'!B:B)</f>
        <v>0</v>
      </c>
      <c r="N56" s="922" t="e">
        <f>IF(M56="","",VLOOKUP(M56,'Списки участников'!A:K,3,FALSE))</f>
        <v>#N/A</v>
      </c>
      <c r="O56" s="485">
        <f>LOOKUP(L56,'4Ф КРУГ'!A:A,'4Ф КРУГ'!B:B)</f>
        <v>0</v>
      </c>
      <c r="P56" s="922" t="e">
        <f>IF(O56="","",VLOOKUP(O56,'Списки участников'!A:K,3,FALSE))</f>
        <v>#N/A</v>
      </c>
    </row>
    <row r="57" spans="1:16" ht="17.25" x14ac:dyDescent="0.25">
      <c r="A57" s="486">
        <v>53</v>
      </c>
      <c r="B57" s="501">
        <v>7</v>
      </c>
      <c r="C57" s="738">
        <v>6</v>
      </c>
      <c r="D57" s="739">
        <v>14</v>
      </c>
      <c r="E57" s="484">
        <f>LOOKUP(C57,'4Ф КРУГ'!A:A,'4Ф КРУГ'!B:B)</f>
        <v>0</v>
      </c>
      <c r="F57" s="922" t="e">
        <f>IF(E57="","",VLOOKUP(E57,'Списки участников'!A:K,3,FALSE))</f>
        <v>#N/A</v>
      </c>
      <c r="G57" s="485">
        <f>LOOKUP(D57,'4Ф КРУГ'!A:A,'4Ф КРУГ'!B:B)</f>
        <v>0</v>
      </c>
      <c r="H57" s="922" t="e">
        <f>IF(G57="","",VLOOKUP(G57,'Списки участников'!A:K,3,FALSE))</f>
        <v>#N/A</v>
      </c>
      <c r="I57" s="486">
        <v>117</v>
      </c>
      <c r="J57" s="501">
        <v>15</v>
      </c>
      <c r="K57" s="739">
        <v>6</v>
      </c>
      <c r="L57" s="739">
        <v>13</v>
      </c>
      <c r="M57" s="485">
        <f>LOOKUP(K57,'4Ф КРУГ'!A:A,'4Ф КРУГ'!B:B)</f>
        <v>0</v>
      </c>
      <c r="N57" s="922" t="e">
        <f>IF(M57="","",VLOOKUP(M57,'Списки участников'!A:K,3,FALSE))</f>
        <v>#N/A</v>
      </c>
      <c r="O57" s="485">
        <f>LOOKUP(L57,'4Ф КРУГ'!A:A,'4Ф КРУГ'!B:B)</f>
        <v>0</v>
      </c>
      <c r="P57" s="922" t="e">
        <f>IF(O57="","",VLOOKUP(O57,'Списки участников'!A:K,3,FALSE))</f>
        <v>#N/A</v>
      </c>
    </row>
    <row r="58" spans="1:16" ht="17.25" x14ac:dyDescent="0.25">
      <c r="A58" s="486">
        <v>54</v>
      </c>
      <c r="B58" s="496">
        <v>7</v>
      </c>
      <c r="C58" s="738">
        <v>5</v>
      </c>
      <c r="D58" s="739">
        <v>15</v>
      </c>
      <c r="E58" s="484">
        <f>LOOKUP(C58,'4Ф КРУГ'!A:A,'4Ф КРУГ'!B:B)</f>
        <v>0</v>
      </c>
      <c r="F58" s="922" t="e">
        <f>IF(E58="","",VLOOKUP(E58,'Списки участников'!A:K,3,FALSE))</f>
        <v>#N/A</v>
      </c>
      <c r="G58" s="485">
        <f>LOOKUP(D58,'4Ф КРУГ'!A:A,'4Ф КРУГ'!B:B)</f>
        <v>0</v>
      </c>
      <c r="H58" s="922" t="e">
        <f>IF(G58="","",VLOOKUP(G58,'Списки участников'!A:K,3,FALSE))</f>
        <v>#N/A</v>
      </c>
      <c r="I58" s="486">
        <v>118</v>
      </c>
      <c r="J58" s="496">
        <v>15</v>
      </c>
      <c r="K58" s="745">
        <v>7</v>
      </c>
      <c r="L58" s="745">
        <v>12</v>
      </c>
      <c r="M58" s="485">
        <f>LOOKUP(K58,'4Ф КРУГ'!A:A,'4Ф КРУГ'!B:B)</f>
        <v>0</v>
      </c>
      <c r="N58" s="922" t="e">
        <f>IF(M58="","",VLOOKUP(M58,'Списки участников'!A:K,3,FALSE))</f>
        <v>#N/A</v>
      </c>
      <c r="O58" s="485">
        <f>LOOKUP(L58,'4Ф КРУГ'!A:A,'4Ф КРУГ'!B:B)</f>
        <v>0</v>
      </c>
      <c r="P58" s="922" t="e">
        <f>IF(O58="","",VLOOKUP(O58,'Списки участников'!A:K,3,FALSE))</f>
        <v>#N/A</v>
      </c>
    </row>
    <row r="59" spans="1:16" ht="17.25" x14ac:dyDescent="0.25">
      <c r="A59" s="486">
        <v>55</v>
      </c>
      <c r="B59" s="496">
        <v>7</v>
      </c>
      <c r="C59" s="738">
        <v>4</v>
      </c>
      <c r="D59" s="739">
        <v>16</v>
      </c>
      <c r="E59" s="484">
        <f>LOOKUP(C59,'4Ф КРУГ'!A:A,'4Ф КРУГ'!B:B)</f>
        <v>0</v>
      </c>
      <c r="F59" s="922" t="e">
        <f>IF(E59="","",VLOOKUP(E59,'Списки участников'!A:K,3,FALSE))</f>
        <v>#N/A</v>
      </c>
      <c r="G59" s="485">
        <f>LOOKUP(D59,'4Ф КРУГ'!A:A,'4Ф КРУГ'!B:B)</f>
        <v>0</v>
      </c>
      <c r="H59" s="922" t="e">
        <f>IF(G59="","",VLOOKUP(G59,'Списки участников'!A:K,3,FALSE))</f>
        <v>#N/A</v>
      </c>
      <c r="I59" s="486">
        <v>119</v>
      </c>
      <c r="J59" s="496">
        <v>15</v>
      </c>
      <c r="K59" s="745">
        <v>8</v>
      </c>
      <c r="L59" s="745">
        <v>11</v>
      </c>
      <c r="M59" s="485">
        <f>LOOKUP(K59,'4Ф КРУГ'!A:A,'4Ф КРУГ'!B:B)</f>
        <v>0</v>
      </c>
      <c r="N59" s="922" t="e">
        <f>IF(M59="","",VLOOKUP(M59,'Списки участников'!A:K,3,FALSE))</f>
        <v>#N/A</v>
      </c>
      <c r="O59" s="485">
        <f>LOOKUP(L59,'4Ф КРУГ'!A:A,'4Ф КРУГ'!B:B)</f>
        <v>0</v>
      </c>
      <c r="P59" s="922" t="e">
        <f>IF(O59="","",VLOOKUP(O59,'Списки участников'!A:K,3,FALSE))</f>
        <v>#N/A</v>
      </c>
    </row>
    <row r="60" spans="1:16" ht="18" thickBot="1" x14ac:dyDescent="0.3">
      <c r="A60" s="486">
        <v>56</v>
      </c>
      <c r="B60" s="500">
        <v>7</v>
      </c>
      <c r="C60" s="740">
        <v>2</v>
      </c>
      <c r="D60" s="744">
        <v>3</v>
      </c>
      <c r="E60" s="494">
        <f>LOOKUP(C60,'4Ф КРУГ'!A:A,'4Ф КРУГ'!B:B)</f>
        <v>0</v>
      </c>
      <c r="F60" s="730" t="e">
        <f>IF(E60="","",VLOOKUP(E60,'Списки участников'!A:K,3,FALSE))</f>
        <v>#N/A</v>
      </c>
      <c r="G60" s="731">
        <f>LOOKUP(D60,'4Ф КРУГ'!A:A,'4Ф КРУГ'!B:B)</f>
        <v>0</v>
      </c>
      <c r="H60" s="730" t="e">
        <f>IF(G60="","",VLOOKUP(G60,'Списки участников'!A:K,3,FALSE))</f>
        <v>#N/A</v>
      </c>
      <c r="I60" s="732">
        <v>120</v>
      </c>
      <c r="J60" s="500">
        <v>15</v>
      </c>
      <c r="K60" s="744">
        <v>9</v>
      </c>
      <c r="L60" s="744">
        <v>10</v>
      </c>
      <c r="M60" s="731">
        <f>LOOKUP(K60,'4Ф КРУГ'!A:A,'4Ф КРУГ'!B:B)</f>
        <v>0</v>
      </c>
      <c r="N60" s="730" t="e">
        <f>IF(M60="","",VLOOKUP(M60,'Списки участников'!A:K,3,FALSE))</f>
        <v>#N/A</v>
      </c>
      <c r="O60" s="731">
        <f>LOOKUP(L60,'4Ф КРУГ'!A:A,'4Ф КРУГ'!B:B)</f>
        <v>0</v>
      </c>
      <c r="P60" s="730" t="e">
        <f>IF(O60="","",VLOOKUP(O60,'Списки участников'!A:K,3,FALSE))</f>
        <v>#N/A</v>
      </c>
    </row>
    <row r="61" spans="1:16" ht="15.75" x14ac:dyDescent="0.25">
      <c r="A61" s="486">
        <v>57</v>
      </c>
      <c r="B61" s="496">
        <v>8</v>
      </c>
      <c r="C61" s="742">
        <v>1</v>
      </c>
      <c r="D61" s="743">
        <v>9</v>
      </c>
      <c r="E61" s="485">
        <f>LOOKUP(C61,'4Ф КРУГ'!A:A,'4Ф КРУГ'!B:B)</f>
        <v>0</v>
      </c>
      <c r="F61" s="922" t="e">
        <f>IF(E61="","",VLOOKUP(E61,'Списки участников'!A:K,3,FALSE))</f>
        <v>#N/A</v>
      </c>
      <c r="G61" s="485">
        <f>LOOKUP(D61,'4Ф КРУГ'!A:A,'4Ф КРУГ'!B:B)</f>
        <v>0</v>
      </c>
      <c r="H61" s="922" t="e">
        <f>IF(G61="","",VLOOKUP(G61,'Списки участников'!A:K,3,FALSE))</f>
        <v>#N/A</v>
      </c>
    </row>
    <row r="62" spans="1:16" ht="15.75" x14ac:dyDescent="0.25">
      <c r="A62" s="486">
        <v>58</v>
      </c>
      <c r="B62" s="496">
        <v>8</v>
      </c>
      <c r="C62" s="738">
        <v>8</v>
      </c>
      <c r="D62" s="739">
        <v>10</v>
      </c>
      <c r="E62" s="484">
        <f>LOOKUP(C62,'4Ф КРУГ'!A:A,'4Ф КРУГ'!B:B)</f>
        <v>0</v>
      </c>
      <c r="F62" s="922" t="e">
        <f>IF(E62="","",VLOOKUP(E62,'Списки участников'!A:K,3,FALSE))</f>
        <v>#N/A</v>
      </c>
      <c r="G62" s="485">
        <f>LOOKUP(D62,'4Ф КРУГ'!A:A,'4Ф КРУГ'!B:B)</f>
        <v>0</v>
      </c>
      <c r="H62" s="922" t="e">
        <f>IF(G62="","",VLOOKUP(G62,'Списки участников'!A:K,3,FALSE))</f>
        <v>#N/A</v>
      </c>
    </row>
    <row r="63" spans="1:16" ht="15.75" x14ac:dyDescent="0.25">
      <c r="A63" s="486">
        <v>59</v>
      </c>
      <c r="B63" s="496">
        <v>8</v>
      </c>
      <c r="C63" s="738">
        <v>7</v>
      </c>
      <c r="D63" s="739">
        <v>11</v>
      </c>
      <c r="E63" s="484">
        <f>LOOKUP(C63,'4Ф КРУГ'!A:A,'4Ф КРУГ'!B:B)</f>
        <v>0</v>
      </c>
      <c r="F63" s="922" t="e">
        <f>IF(E63="","",VLOOKUP(E63,'Списки участников'!A:K,3,FALSE))</f>
        <v>#N/A</v>
      </c>
      <c r="G63" s="485">
        <f>LOOKUP(D63,'4Ф КРУГ'!A:A,'4Ф КРУГ'!B:B)</f>
        <v>0</v>
      </c>
      <c r="H63" s="922" t="e">
        <f>IF(G63="","",VLOOKUP(G63,'Списки участников'!A:K,3,FALSE))</f>
        <v>#N/A</v>
      </c>
    </row>
    <row r="64" spans="1:16" ht="15.75" x14ac:dyDescent="0.25">
      <c r="A64" s="486">
        <v>60</v>
      </c>
      <c r="B64" s="496">
        <v>8</v>
      </c>
      <c r="C64" s="738">
        <v>6</v>
      </c>
      <c r="D64" s="739">
        <v>12</v>
      </c>
      <c r="E64" s="484">
        <f>LOOKUP(C64,'4Ф КРУГ'!A:A,'4Ф КРУГ'!B:B)</f>
        <v>0</v>
      </c>
      <c r="F64" s="922" t="e">
        <f>IF(E64="","",VLOOKUP(E64,'Списки участников'!A:K,3,FALSE))</f>
        <v>#N/A</v>
      </c>
      <c r="G64" s="485">
        <f>LOOKUP(D64,'4Ф КРУГ'!A:A,'4Ф КРУГ'!B:B)</f>
        <v>0</v>
      </c>
      <c r="H64" s="922" t="e">
        <f>IF(G64="","",VLOOKUP(G64,'Списки участников'!A:K,3,FALSE))</f>
        <v>#N/A</v>
      </c>
    </row>
    <row r="65" spans="1:8" ht="15.75" x14ac:dyDescent="0.25">
      <c r="A65" s="486">
        <v>61</v>
      </c>
      <c r="B65" s="501">
        <v>8</v>
      </c>
      <c r="C65" s="738">
        <v>5</v>
      </c>
      <c r="D65" s="739">
        <v>13</v>
      </c>
      <c r="E65" s="484">
        <f>LOOKUP(C65,'4Ф КРУГ'!A:A,'4Ф КРУГ'!B:B)</f>
        <v>0</v>
      </c>
      <c r="F65" s="922" t="e">
        <f>IF(E65="","",VLOOKUP(E65,'Списки участников'!A:K,3,FALSE))</f>
        <v>#N/A</v>
      </c>
      <c r="G65" s="485">
        <f>LOOKUP(D65,'4Ф КРУГ'!A:A,'4Ф КРУГ'!B:B)</f>
        <v>0</v>
      </c>
      <c r="H65" s="922" t="e">
        <f>IF(G65="","",VLOOKUP(G65,'Списки участников'!A:K,3,FALSE))</f>
        <v>#N/A</v>
      </c>
    </row>
    <row r="66" spans="1:8" ht="15.75" x14ac:dyDescent="0.25">
      <c r="A66" s="486">
        <v>62</v>
      </c>
      <c r="B66" s="496">
        <v>8</v>
      </c>
      <c r="C66" s="738">
        <v>4</v>
      </c>
      <c r="D66" s="739">
        <v>14</v>
      </c>
      <c r="E66" s="484">
        <f>LOOKUP(C66,'4Ф КРУГ'!A:A,'4Ф КРУГ'!B:B)</f>
        <v>0</v>
      </c>
      <c r="F66" s="922" t="e">
        <f>IF(E66="","",VLOOKUP(E66,'Списки участников'!A:K,3,FALSE))</f>
        <v>#N/A</v>
      </c>
      <c r="G66" s="485">
        <f>LOOKUP(D66,'4Ф КРУГ'!A:A,'4Ф КРУГ'!B:B)</f>
        <v>0</v>
      </c>
      <c r="H66" s="922" t="e">
        <f>IF(G66="","",VLOOKUP(G66,'Списки участников'!A:K,3,FALSE))</f>
        <v>#N/A</v>
      </c>
    </row>
    <row r="67" spans="1:8" ht="15.75" x14ac:dyDescent="0.25">
      <c r="A67" s="486">
        <v>63</v>
      </c>
      <c r="B67" s="496">
        <v>8</v>
      </c>
      <c r="C67" s="738">
        <v>3</v>
      </c>
      <c r="D67" s="739">
        <v>15</v>
      </c>
      <c r="E67" s="484">
        <f>LOOKUP(C67,'4Ф КРУГ'!A:A,'4Ф КРУГ'!B:B)</f>
        <v>0</v>
      </c>
      <c r="F67" s="922" t="e">
        <f>IF(E67="","",VLOOKUP(E67,'Списки участников'!A:K,3,FALSE))</f>
        <v>#N/A</v>
      </c>
      <c r="G67" s="485">
        <f>LOOKUP(D67,'4Ф КРУГ'!A:A,'4Ф КРУГ'!B:B)</f>
        <v>0</v>
      </c>
      <c r="H67" s="922" t="e">
        <f>IF(G67="","",VLOOKUP(G67,'Списки участников'!A:K,3,FALSE))</f>
        <v>#N/A</v>
      </c>
    </row>
    <row r="68" spans="1:8" ht="16.5" thickBot="1" x14ac:dyDescent="0.3">
      <c r="A68" s="486">
        <v>64</v>
      </c>
      <c r="B68" s="500">
        <v>8</v>
      </c>
      <c r="C68" s="740">
        <v>2</v>
      </c>
      <c r="D68" s="741">
        <v>16</v>
      </c>
      <c r="E68" s="484">
        <f>LOOKUP(C68,'4Ф КРУГ'!A:A,'4Ф КРУГ'!B:B)</f>
        <v>0</v>
      </c>
      <c r="F68" s="701" t="e">
        <f>IF(E68="","",VLOOKUP(E68,'Списки участников'!A:K,3,FALSE))</f>
        <v>#N/A</v>
      </c>
      <c r="G68" s="494">
        <f>LOOKUP(D68,'4Ф КРУГ'!A:A,'4Ф КРУГ'!B:B)</f>
        <v>0</v>
      </c>
      <c r="H68" s="701" t="e">
        <f>IF(G68="","",VLOOKUP(G68,'Списки участников'!A:K,3,FALSE))</f>
        <v>#N/A</v>
      </c>
    </row>
  </sheetData>
  <mergeCells count="13">
    <mergeCell ref="K3:L4"/>
    <mergeCell ref="N3:N4"/>
    <mergeCell ref="P3:P4"/>
    <mergeCell ref="A1:P1"/>
    <mergeCell ref="I2:L2"/>
    <mergeCell ref="A3:A4"/>
    <mergeCell ref="B3:B4"/>
    <mergeCell ref="C3:D4"/>
    <mergeCell ref="E3:E4"/>
    <mergeCell ref="F3:F4"/>
    <mergeCell ref="H3:H4"/>
    <mergeCell ref="I3:I4"/>
    <mergeCell ref="J3:J4"/>
  </mergeCells>
  <pageMargins left="0.31496062992125984" right="0.31496062992125984" top="0.35433070866141736" bottom="0.35433070866141736" header="0.31496062992125984" footer="0.31496062992125984"/>
  <pageSetup paperSize="9" scale="68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theme="9"/>
  </sheetPr>
  <dimension ref="A1:AE34"/>
  <sheetViews>
    <sheetView view="pageBreakPreview" topLeftCell="B1" zoomScale="80" zoomScaleNormal="100" zoomScaleSheetLayoutView="80" workbookViewId="0">
      <selection activeCell="B1" sqref="B1"/>
    </sheetView>
  </sheetViews>
  <sheetFormatPr defaultRowHeight="15" outlineLevelCol="1" x14ac:dyDescent="0.25"/>
  <cols>
    <col min="1" max="1" width="7.6640625" style="128" hidden="1" customWidth="1" outlineLevel="1"/>
    <col min="2" max="2" width="47.33203125" style="128" customWidth="1" collapsed="1"/>
    <col min="3" max="3" width="20.83203125" style="128" customWidth="1"/>
    <col min="4" max="8" width="10.83203125" style="128" customWidth="1"/>
    <col min="9" max="10" width="0" style="128" hidden="1" customWidth="1"/>
    <col min="11" max="11" width="6.6640625" style="128" customWidth="1"/>
    <col min="12" max="12" width="0.6640625" style="128" hidden="1" customWidth="1"/>
    <col min="13" max="13" width="6.6640625" style="128" customWidth="1"/>
    <col min="14" max="15" width="3.1640625" style="128" customWidth="1"/>
    <col min="16" max="16" width="8.33203125" style="128" hidden="1" customWidth="1" outlineLevel="1"/>
    <col min="17" max="17" width="45.33203125" style="128" customWidth="1" collapsed="1"/>
    <col min="18" max="18" width="19.1640625" style="128" customWidth="1"/>
    <col min="19" max="23" width="10.83203125" style="128" customWidth="1"/>
    <col min="24" max="25" width="0" style="128" hidden="1" customWidth="1"/>
    <col min="26" max="26" width="10.83203125" style="128" customWidth="1"/>
    <col min="27" max="27" width="10.6640625" style="128" hidden="1" customWidth="1"/>
    <col min="28" max="28" width="2" style="128" customWidth="1"/>
    <col min="29" max="16384" width="9.33203125" style="128"/>
  </cols>
  <sheetData>
    <row r="1" spans="1:31" s="502" customFormat="1" ht="20.100000000000001" customHeight="1" thickTop="1" thickBot="1" x14ac:dyDescent="0.35">
      <c r="B1" s="748" t="str">
        <f>'Порядок встреч 1Ф'!H2</f>
        <v>1 ФИНАЛ</v>
      </c>
      <c r="C1" s="503" t="s">
        <v>1030</v>
      </c>
      <c r="D1" s="504" t="s">
        <v>762</v>
      </c>
      <c r="E1" s="505"/>
      <c r="F1" s="747">
        <f>LOOKUP(H1,'Порядок встреч 1Ф'!Q5:Q19,'Порядок встреч 1Ф'!R5:R19)</f>
        <v>113</v>
      </c>
      <c r="G1" s="506" t="s">
        <v>1031</v>
      </c>
      <c r="H1" s="781">
        <v>15</v>
      </c>
      <c r="I1" s="507">
        <v>1</v>
      </c>
      <c r="J1" s="508"/>
      <c r="K1" s="1355" t="str">
        <f>IF(H1&lt;=8,CONCATENATE(LOOKUP(F1,'Порядок встреч 2Ф'!A5:A68,'Порядок встреч 2Ф'!C5:C68),"-",LOOKUP(F1,'Порядок встреч 2Ф'!A5:A68,'Порядок встреч 2Ф'!D5:D68)),CONCATENATE(LOOKUP(F1,'Порядок встреч 2Ф'!I5:I60,'Порядок встреч 2Ф'!K5:K60),"-",LOOKUP(F1,'Порядок встреч 2Ф'!I5:I60,'Порядок встреч 2Ф'!L5:L60)))</f>
        <v>1-2</v>
      </c>
      <c r="L1" s="1356"/>
      <c r="M1" s="1357"/>
      <c r="P1" s="765"/>
      <c r="Q1" s="753" t="str">
        <f>B1</f>
        <v>1 ФИНАЛ</v>
      </c>
      <c r="R1" s="754" t="s">
        <v>1030</v>
      </c>
      <c r="S1" s="504" t="s">
        <v>762</v>
      </c>
      <c r="T1" s="505"/>
      <c r="U1" s="755">
        <f>F1+4</f>
        <v>117</v>
      </c>
      <c r="V1" s="756" t="s">
        <v>1031</v>
      </c>
      <c r="W1" s="757">
        <f>H1</f>
        <v>15</v>
      </c>
      <c r="X1" s="758">
        <v>1</v>
      </c>
      <c r="Y1" s="765"/>
      <c r="Z1" s="1355" t="str">
        <f>IF(W1&lt;=8,CONCATENATE(LOOKUP(U1,'Порядок встреч 2Ф'!A5:A68,'Порядок встреч 2Ф'!C5:C68),"-",LOOKUP(U1,'Порядок встреч 2Ф'!A5:A68,'Порядок встреч 2Ф'!D5:D68)),CONCATENATE(LOOKUP(U1,'Порядок встреч 2Ф'!I5:I60,'Порядок встреч 2Ф'!K5:K60),"-",LOOKUP(U1,'Порядок встреч 2Ф'!I5:I60,'Порядок встреч 2Ф'!L5:L60)))</f>
        <v>6-13</v>
      </c>
      <c r="AA1" s="1356"/>
      <c r="AB1" s="1356"/>
    </row>
    <row r="2" spans="1:31" ht="16.5" customHeight="1" thickTop="1" x14ac:dyDescent="0.25">
      <c r="A2" s="1358"/>
      <c r="B2" s="1360" t="s">
        <v>1032</v>
      </c>
      <c r="C2" s="1360" t="s">
        <v>44</v>
      </c>
      <c r="D2" s="1337" t="s">
        <v>965</v>
      </c>
      <c r="E2" s="1337"/>
      <c r="F2" s="1337"/>
      <c r="G2" s="1337"/>
      <c r="H2" s="1338"/>
      <c r="I2" s="1338"/>
      <c r="J2" s="1338"/>
      <c r="K2" s="1339" t="s">
        <v>1042</v>
      </c>
      <c r="L2" s="1340"/>
      <c r="M2" s="1362"/>
      <c r="N2" s="510"/>
      <c r="O2" s="511"/>
      <c r="P2" s="1358"/>
      <c r="Q2" s="1360" t="s">
        <v>1032</v>
      </c>
      <c r="R2" s="1360" t="s">
        <v>44</v>
      </c>
      <c r="S2" s="1337" t="s">
        <v>965</v>
      </c>
      <c r="T2" s="1337"/>
      <c r="U2" s="1337"/>
      <c r="V2" s="1337"/>
      <c r="W2" s="1338"/>
      <c r="X2" s="1338"/>
      <c r="Y2" s="1338"/>
      <c r="Z2" s="1339" t="s">
        <v>1033</v>
      </c>
      <c r="AA2" s="1340"/>
      <c r="AB2" s="1341"/>
    </row>
    <row r="3" spans="1:31" ht="15.75" x14ac:dyDescent="0.25">
      <c r="A3" s="1359"/>
      <c r="B3" s="1361"/>
      <c r="C3" s="1361"/>
      <c r="D3" s="512">
        <v>1</v>
      </c>
      <c r="E3" s="512">
        <v>2</v>
      </c>
      <c r="F3" s="512">
        <v>3</v>
      </c>
      <c r="G3" s="512">
        <v>4</v>
      </c>
      <c r="H3" s="512">
        <v>5</v>
      </c>
      <c r="I3" s="513"/>
      <c r="J3" s="513"/>
      <c r="K3" s="1342"/>
      <c r="L3" s="1343"/>
      <c r="M3" s="1363"/>
      <c r="N3" s="510"/>
      <c r="O3" s="511"/>
      <c r="P3" s="1359"/>
      <c r="Q3" s="1361"/>
      <c r="R3" s="1361"/>
      <c r="S3" s="512">
        <v>1</v>
      </c>
      <c r="T3" s="512">
        <v>2</v>
      </c>
      <c r="U3" s="512">
        <v>3</v>
      </c>
      <c r="V3" s="512">
        <v>4</v>
      </c>
      <c r="W3" s="512">
        <v>5</v>
      </c>
      <c r="X3" s="513"/>
      <c r="Y3" s="513"/>
      <c r="Z3" s="1342"/>
      <c r="AA3" s="1343"/>
      <c r="AB3" s="1344"/>
    </row>
    <row r="4" spans="1:31" ht="54.95" customHeight="1" x14ac:dyDescent="0.25">
      <c r="A4" s="514">
        <f>IF(H1&lt;=8,VLOOKUP(F1,'Порядок встреч 1Ф'!A:G,5,FALSE),VLOOKUP(F1,'Порядок встреч 1Ф'!I:O,5,FALSE))</f>
        <v>0</v>
      </c>
      <c r="B4" s="515" t="e">
        <f>IF(A4="","",VLOOKUP(A4,'Списки участников'!A:H,3,FALSE))</f>
        <v>#N/A</v>
      </c>
      <c r="C4" s="516" t="e">
        <f>IF(A4="","",VLOOKUP(A4,'Списки участников'!A:H,6,FALSE))</f>
        <v>#N/A</v>
      </c>
      <c r="D4" s="517"/>
      <c r="E4" s="518"/>
      <c r="F4" s="519"/>
      <c r="G4" s="519"/>
      <c r="H4" s="519"/>
      <c r="I4" s="520"/>
      <c r="J4" s="520"/>
      <c r="K4" s="1345"/>
      <c r="L4" s="1346"/>
      <c r="M4" s="1347"/>
      <c r="N4" s="510"/>
      <c r="O4" s="511"/>
      <c r="P4" s="514">
        <f>IF(W1&lt;=8,VLOOKUP(U1,'Порядок встреч 1Ф'!A:G,5,FALSE),VLOOKUP(U1,'Порядок встреч 1Ф'!I:O,5,FALSE))</f>
        <v>0</v>
      </c>
      <c r="Q4" s="515" t="e">
        <f>IF(P4="","",VLOOKUP(P4,'Списки участников'!A:H,3,FALSE))</f>
        <v>#N/A</v>
      </c>
      <c r="R4" s="516" t="e">
        <f>IF(P4="","",VLOOKUP(P4,'Списки участников'!A:H,6,FALSE))</f>
        <v>#N/A</v>
      </c>
      <c r="S4" s="517"/>
      <c r="T4" s="518"/>
      <c r="U4" s="519"/>
      <c r="V4" s="519"/>
      <c r="W4" s="519"/>
      <c r="X4" s="520"/>
      <c r="Y4" s="520"/>
      <c r="Z4" s="1348"/>
      <c r="AA4" s="1349"/>
      <c r="AB4" s="1350"/>
    </row>
    <row r="5" spans="1:31" ht="54.95" customHeight="1" thickBot="1" x14ac:dyDescent="0.3">
      <c r="A5" s="514">
        <f>IF(H1&lt;=8,VLOOKUP(F1,'Порядок встреч 1Ф'!A:G,7,FALSE),VLOOKUP(F1,'Порядок встреч 1Ф'!I:O,7,FALSE))</f>
        <v>0</v>
      </c>
      <c r="B5" s="515" t="e">
        <f>IF(A5="","",VLOOKUP(A5,'Списки участников'!A:H,3,FALSE))</f>
        <v>#N/A</v>
      </c>
      <c r="C5" s="516" t="e">
        <f>IF(A5="","",VLOOKUP(A5,'Списки участников'!A:H,6,FALSE))</f>
        <v>#N/A</v>
      </c>
      <c r="D5" s="521"/>
      <c r="E5" s="522"/>
      <c r="F5" s="523"/>
      <c r="G5" s="523"/>
      <c r="H5" s="523"/>
      <c r="I5" s="524"/>
      <c r="J5" s="525"/>
      <c r="K5" s="1351"/>
      <c r="L5" s="1352"/>
      <c r="M5" s="1353"/>
      <c r="N5" s="510"/>
      <c r="O5" s="511"/>
      <c r="P5" s="514">
        <f>IF(W1&lt;=8,VLOOKUP(U1,'Порядок встреч 1Ф'!A:G,7,FALSE),VLOOKUP(U1,'Порядок встреч 1Ф'!I:O,7,FALSE))</f>
        <v>0</v>
      </c>
      <c r="Q5" s="515" t="e">
        <f>IF(P5="","",VLOOKUP(P5,'Списки участников'!A:H,3,FALSE))</f>
        <v>#N/A</v>
      </c>
      <c r="R5" s="516" t="e">
        <f>IF(P5="","",VLOOKUP(P5,'Списки участников'!A:H,6,FALSE))</f>
        <v>#N/A</v>
      </c>
      <c r="S5" s="521"/>
      <c r="T5" s="522"/>
      <c r="U5" s="523"/>
      <c r="V5" s="523"/>
      <c r="W5" s="523"/>
      <c r="X5" s="524"/>
      <c r="Y5" s="525"/>
      <c r="Z5" s="1351"/>
      <c r="AA5" s="1352"/>
      <c r="AB5" s="1354"/>
    </row>
    <row r="6" spans="1:31" ht="20.100000000000001" customHeight="1" thickTop="1" thickBot="1" x14ac:dyDescent="0.35">
      <c r="A6" s="1371" t="s">
        <v>1034</v>
      </c>
      <c r="B6" s="1372"/>
      <c r="C6" s="1372"/>
      <c r="D6" s="1373" t="s">
        <v>1035</v>
      </c>
      <c r="E6" s="1374"/>
      <c r="F6" s="1375" t="s">
        <v>1036</v>
      </c>
      <c r="G6" s="1375"/>
      <c r="H6" s="1375"/>
      <c r="I6" s="1375"/>
      <c r="J6" s="1375"/>
      <c r="K6" s="1375"/>
      <c r="L6" s="1375"/>
      <c r="M6" s="1375"/>
      <c r="N6" s="526"/>
      <c r="P6" s="1371" t="s">
        <v>1034</v>
      </c>
      <c r="Q6" s="1372"/>
      <c r="R6" s="1372"/>
      <c r="S6" s="1373" t="s">
        <v>1035</v>
      </c>
      <c r="T6" s="1374"/>
      <c r="U6" s="1376" t="s">
        <v>1036</v>
      </c>
      <c r="V6" s="1377"/>
      <c r="W6" s="1377"/>
      <c r="X6" s="1377"/>
      <c r="Y6" s="1377"/>
      <c r="Z6" s="1377"/>
      <c r="AA6" s="1377"/>
      <c r="AB6" s="1378"/>
    </row>
    <row r="7" spans="1:31" ht="30" customHeight="1" thickTop="1" thickBot="1" x14ac:dyDescent="0.3">
      <c r="A7" s="1364"/>
      <c r="B7" s="1365"/>
      <c r="C7" s="1365"/>
      <c r="D7" s="1365"/>
      <c r="E7" s="1366"/>
      <c r="F7" s="1367"/>
      <c r="G7" s="1368"/>
      <c r="H7" s="1368"/>
      <c r="I7" s="1368"/>
      <c r="J7" s="1368"/>
      <c r="K7" s="1368"/>
      <c r="L7" s="1368"/>
      <c r="M7" s="1369"/>
      <c r="N7" s="526"/>
      <c r="P7" s="1364"/>
      <c r="Q7" s="1365"/>
      <c r="R7" s="1365"/>
      <c r="S7" s="1365"/>
      <c r="T7" s="1366"/>
      <c r="U7" s="1367"/>
      <c r="V7" s="1368"/>
      <c r="W7" s="1368"/>
      <c r="X7" s="1368"/>
      <c r="Y7" s="1368"/>
      <c r="Z7" s="1368"/>
      <c r="AA7" s="1368"/>
      <c r="AB7" s="1370"/>
      <c r="AD7" s="511"/>
      <c r="AE7" s="511"/>
    </row>
    <row r="8" spans="1:31" ht="20.100000000000001" customHeight="1" thickTop="1" thickBot="1" x14ac:dyDescent="0.3">
      <c r="A8" s="511"/>
      <c r="B8" s="511"/>
      <c r="C8" s="511"/>
      <c r="D8" s="511"/>
      <c r="E8" s="511"/>
      <c r="F8" s="511"/>
      <c r="G8" s="511"/>
      <c r="H8" s="511"/>
      <c r="I8" s="511"/>
      <c r="J8" s="511"/>
      <c r="K8" s="511"/>
      <c r="L8" s="511"/>
      <c r="M8" s="511"/>
      <c r="N8" s="528"/>
      <c r="O8" s="527"/>
      <c r="P8" s="511"/>
      <c r="Q8" s="511"/>
      <c r="R8" s="511"/>
      <c r="S8" s="511"/>
      <c r="T8" s="511"/>
      <c r="U8" s="511"/>
      <c r="V8" s="511"/>
      <c r="W8" s="511"/>
      <c r="X8" s="511"/>
      <c r="Y8" s="511"/>
      <c r="Z8" s="511"/>
      <c r="AA8" s="511"/>
      <c r="AB8" s="526"/>
      <c r="AD8" s="511"/>
      <c r="AE8" s="511"/>
    </row>
    <row r="9" spans="1:31" ht="20.100000000000001" customHeight="1" thickTop="1" thickBot="1" x14ac:dyDescent="0.35">
      <c r="A9" s="504"/>
      <c r="B9" s="753" t="str">
        <f>B1</f>
        <v>1 ФИНАЛ</v>
      </c>
      <c r="C9" s="754" t="s">
        <v>1030</v>
      </c>
      <c r="D9" s="504" t="s">
        <v>762</v>
      </c>
      <c r="E9" s="505"/>
      <c r="F9" s="755">
        <f>F1+1</f>
        <v>114</v>
      </c>
      <c r="G9" s="756" t="s">
        <v>1031</v>
      </c>
      <c r="H9" s="757">
        <f>H1</f>
        <v>15</v>
      </c>
      <c r="I9" s="758">
        <v>1</v>
      </c>
      <c r="J9" s="759"/>
      <c r="K9" s="1388" t="str">
        <f>IF(H9&lt;=8,CONCATENATE(LOOKUP(F9,'Порядок встреч 2Ф'!A5:A68,'Порядок встреч 2Ф'!C5:C68),"-",LOOKUP(F9,'Порядок встреч 2Ф'!A5:A68,'Порядок встреч 2Ф'!D5:D68)),CONCATENATE(LOOKUP(F9,'Порядок встреч 2Ф'!I5:I60,'Порядок встреч 2Ф'!K5:K60),"-",LOOKUP(F9,'Порядок встреч 2Ф'!I5:I60,'Порядок встреч 2Ф'!L5:L60)))</f>
        <v>3-16</v>
      </c>
      <c r="L9" s="1389"/>
      <c r="M9" s="1390"/>
      <c r="N9" s="502"/>
      <c r="O9" s="502"/>
      <c r="P9" s="504"/>
      <c r="Q9" s="776" t="str">
        <f>B1</f>
        <v>1 ФИНАЛ</v>
      </c>
      <c r="R9" s="777" t="s">
        <v>1030</v>
      </c>
      <c r="S9" s="504" t="s">
        <v>762</v>
      </c>
      <c r="T9" s="505"/>
      <c r="U9" s="755">
        <f>F1+5</f>
        <v>118</v>
      </c>
      <c r="V9" s="756" t="s">
        <v>1031</v>
      </c>
      <c r="W9" s="757">
        <f>H1</f>
        <v>15</v>
      </c>
      <c r="X9" s="758">
        <v>1</v>
      </c>
      <c r="Y9" s="759"/>
      <c r="Z9" s="1388" t="str">
        <f>IF(W9&lt;=8,CONCATENATE(LOOKUP(U9,'Порядок встреч 2Ф'!A5:A68,'Порядок встреч 2Ф'!C5:C68),"-",LOOKUP(U9,'Порядок встреч 2Ф'!A5:A68,'Порядок встреч 2Ф'!D5:D68)),CONCATENATE(LOOKUP(U9,'Порядок встреч 2Ф'!I5:I60,'Порядок встреч 2Ф'!K5:K60),"-",LOOKUP(U9,'Порядок встреч 2Ф'!I5:I60,'Порядок встреч 2Ф'!L5:L60)))</f>
        <v>7-12</v>
      </c>
      <c r="AA9" s="1389"/>
      <c r="AB9" s="1390"/>
      <c r="AC9" s="511"/>
      <c r="AD9" s="511"/>
      <c r="AE9" s="511"/>
    </row>
    <row r="10" spans="1:31" ht="20.100000000000001" customHeight="1" thickTop="1" x14ac:dyDescent="0.25">
      <c r="A10" s="1358"/>
      <c r="B10" s="1360" t="s">
        <v>1032</v>
      </c>
      <c r="C10" s="1360" t="s">
        <v>44</v>
      </c>
      <c r="D10" s="1337" t="s">
        <v>965</v>
      </c>
      <c r="E10" s="1337"/>
      <c r="F10" s="1337"/>
      <c r="G10" s="1337"/>
      <c r="H10" s="1338"/>
      <c r="I10" s="1338"/>
      <c r="J10" s="1338"/>
      <c r="K10" s="1339" t="s">
        <v>1042</v>
      </c>
      <c r="L10" s="1340"/>
      <c r="M10" s="1362"/>
      <c r="N10" s="510"/>
      <c r="O10" s="511"/>
      <c r="P10" s="1391"/>
      <c r="Q10" s="1392" t="s">
        <v>1032</v>
      </c>
      <c r="R10" s="1392" t="s">
        <v>44</v>
      </c>
      <c r="S10" s="1338" t="s">
        <v>965</v>
      </c>
      <c r="T10" s="1338"/>
      <c r="U10" s="1338"/>
      <c r="V10" s="1338"/>
      <c r="W10" s="1338"/>
      <c r="X10" s="1338"/>
      <c r="Y10" s="1338"/>
      <c r="Z10" s="1379" t="s">
        <v>1042</v>
      </c>
      <c r="AA10" s="1380"/>
      <c r="AB10" s="1381"/>
    </row>
    <row r="11" spans="1:31" ht="20.100000000000001" customHeight="1" x14ac:dyDescent="0.25">
      <c r="A11" s="1359"/>
      <c r="B11" s="1361"/>
      <c r="C11" s="1361"/>
      <c r="D11" s="512">
        <v>1</v>
      </c>
      <c r="E11" s="512">
        <v>2</v>
      </c>
      <c r="F11" s="512">
        <v>3</v>
      </c>
      <c r="G11" s="512">
        <v>4</v>
      </c>
      <c r="H11" s="512">
        <v>5</v>
      </c>
      <c r="I11" s="513"/>
      <c r="J11" s="513"/>
      <c r="K11" s="1342"/>
      <c r="L11" s="1343"/>
      <c r="M11" s="1363"/>
      <c r="N11" s="510"/>
      <c r="O11" s="511"/>
      <c r="P11" s="1359"/>
      <c r="Q11" s="1361"/>
      <c r="R11" s="1361"/>
      <c r="S11" s="512">
        <v>1</v>
      </c>
      <c r="T11" s="512">
        <v>2</v>
      </c>
      <c r="U11" s="512">
        <v>3</v>
      </c>
      <c r="V11" s="512">
        <v>4</v>
      </c>
      <c r="W11" s="512">
        <v>5</v>
      </c>
      <c r="X11" s="513"/>
      <c r="Y11" s="513"/>
      <c r="Z11" s="1342"/>
      <c r="AA11" s="1343"/>
      <c r="AB11" s="1363"/>
    </row>
    <row r="12" spans="1:31" ht="54.95" customHeight="1" x14ac:dyDescent="0.25">
      <c r="A12" s="514">
        <f>IF(H9&lt;=8,VLOOKUP(F9,'Порядок встреч 1Ф'!A:G,5,FALSE),VLOOKUP(F9,'Порядок встреч 1Ф'!I:O,5,FALSE))</f>
        <v>0</v>
      </c>
      <c r="B12" s="515" t="e">
        <f>IF(A12="","",VLOOKUP(A12,'Списки участников'!A:H,3,FALSE))</f>
        <v>#N/A</v>
      </c>
      <c r="C12" s="516" t="e">
        <f>IF(A12="","",VLOOKUP(A12,'Списки участников'!A:H,6,FALSE))</f>
        <v>#N/A</v>
      </c>
      <c r="D12" s="517"/>
      <c r="E12" s="518"/>
      <c r="F12" s="519"/>
      <c r="G12" s="519"/>
      <c r="H12" s="519"/>
      <c r="I12" s="520"/>
      <c r="J12" s="520"/>
      <c r="K12" s="1345"/>
      <c r="L12" s="1346"/>
      <c r="M12" s="1347"/>
      <c r="N12" s="510"/>
      <c r="O12" s="511"/>
      <c r="P12" s="514">
        <f>IF(W9&lt;=8,VLOOKUP(U9,'Порядок встреч 1Ф'!A:G,5,FALSE),VLOOKUP(U9,'Порядок встреч 1Ф'!I:O,5,FALSE))</f>
        <v>0</v>
      </c>
      <c r="Q12" s="515" t="e">
        <f>IF(P12="","",VLOOKUP(P12,'Списки участников'!A:H,3,FALSE))</f>
        <v>#N/A</v>
      </c>
      <c r="R12" s="516" t="e">
        <f>IF(P12="","",VLOOKUP(P12,'Списки участников'!A:H,6,FALSE))</f>
        <v>#N/A</v>
      </c>
      <c r="S12" s="517"/>
      <c r="T12" s="518"/>
      <c r="U12" s="519"/>
      <c r="V12" s="519"/>
      <c r="W12" s="519"/>
      <c r="X12" s="520"/>
      <c r="Y12" s="520"/>
      <c r="Z12" s="1345"/>
      <c r="AA12" s="1346"/>
      <c r="AB12" s="1382"/>
    </row>
    <row r="13" spans="1:31" ht="54.95" customHeight="1" thickBot="1" x14ac:dyDescent="0.3">
      <c r="A13" s="514">
        <f>IF(H9&lt;=8,VLOOKUP(F9,'Порядок встреч 1Ф'!A:G,7,FALSE),VLOOKUP(F9,'Порядок встреч 1Ф'!I:O,7,FALSE))</f>
        <v>0</v>
      </c>
      <c r="B13" s="515" t="e">
        <f>IF(A13="","",VLOOKUP(A13,'Списки участников'!A:H,3,FALSE))</f>
        <v>#N/A</v>
      </c>
      <c r="C13" s="516" t="e">
        <f>IF(A13="","",VLOOKUP(A13,'Списки участников'!A:H,6,FALSE))</f>
        <v>#N/A</v>
      </c>
      <c r="D13" s="521"/>
      <c r="E13" s="522"/>
      <c r="F13" s="762"/>
      <c r="G13" s="762"/>
      <c r="H13" s="762"/>
      <c r="I13" s="763"/>
      <c r="J13" s="764"/>
      <c r="K13" s="1383"/>
      <c r="L13" s="1384"/>
      <c r="M13" s="750"/>
      <c r="N13" s="510"/>
      <c r="O13" s="511"/>
      <c r="P13" s="514">
        <f>IF(W9&lt;=8,VLOOKUP(U9,'Порядок встреч 1Ф'!A:G,7,FALSE),VLOOKUP(U9,'Порядок встреч 1Ф'!I:O,7,FALSE))</f>
        <v>0</v>
      </c>
      <c r="Q13" s="515" t="e">
        <f>IF(P13="","",VLOOKUP(P13,'Списки участников'!A:H,3,FALSE))</f>
        <v>#N/A</v>
      </c>
      <c r="R13" s="516" t="e">
        <f>IF(P13="","",VLOOKUP(P13,'Списки участников'!A:H,6,FALSE))</f>
        <v>#N/A</v>
      </c>
      <c r="S13" s="521"/>
      <c r="T13" s="522"/>
      <c r="U13" s="523"/>
      <c r="V13" s="523"/>
      <c r="W13" s="523"/>
      <c r="X13" s="524"/>
      <c r="Y13" s="525"/>
      <c r="Z13" s="1385"/>
      <c r="AA13" s="1386"/>
      <c r="AB13" s="1387"/>
    </row>
    <row r="14" spans="1:31" ht="20.100000000000001" customHeight="1" thickTop="1" thickBot="1" x14ac:dyDescent="0.35">
      <c r="A14" s="1371" t="s">
        <v>1034</v>
      </c>
      <c r="B14" s="1372"/>
      <c r="C14" s="1372"/>
      <c r="D14" s="1373" t="s">
        <v>1035</v>
      </c>
      <c r="E14" s="1395"/>
      <c r="F14" s="1376" t="s">
        <v>1036</v>
      </c>
      <c r="G14" s="1377"/>
      <c r="H14" s="1377"/>
      <c r="I14" s="1377"/>
      <c r="J14" s="1377"/>
      <c r="K14" s="1377"/>
      <c r="L14" s="1377"/>
      <c r="M14" s="1396"/>
      <c r="N14" s="526"/>
      <c r="P14" s="1371" t="s">
        <v>1034</v>
      </c>
      <c r="Q14" s="1372"/>
      <c r="R14" s="1372"/>
      <c r="S14" s="1373" t="s">
        <v>1035</v>
      </c>
      <c r="T14" s="1374"/>
      <c r="U14" s="1397" t="s">
        <v>1036</v>
      </c>
      <c r="V14" s="1398"/>
      <c r="W14" s="1398"/>
      <c r="X14" s="1398"/>
      <c r="Y14" s="1398"/>
      <c r="Z14" s="1398"/>
      <c r="AA14" s="1398"/>
      <c r="AB14" s="1399"/>
    </row>
    <row r="15" spans="1:31" ht="30" customHeight="1" thickTop="1" thickBot="1" x14ac:dyDescent="0.3">
      <c r="A15" s="1364"/>
      <c r="B15" s="1365"/>
      <c r="C15" s="1365"/>
      <c r="D15" s="1365"/>
      <c r="E15" s="1366"/>
      <c r="F15" s="1393"/>
      <c r="G15" s="1393"/>
      <c r="H15" s="1393"/>
      <c r="I15" s="1393"/>
      <c r="J15" s="1393"/>
      <c r="K15" s="1393"/>
      <c r="L15" s="1393"/>
      <c r="M15" s="1394"/>
      <c r="N15" s="526"/>
      <c r="P15" s="1364"/>
      <c r="Q15" s="1365"/>
      <c r="R15" s="1365"/>
      <c r="S15" s="1365"/>
      <c r="T15" s="1366"/>
      <c r="U15" s="1367"/>
      <c r="V15" s="1368"/>
      <c r="W15" s="1368"/>
      <c r="X15" s="1368"/>
      <c r="Y15" s="1368"/>
      <c r="Z15" s="1368"/>
      <c r="AA15" s="1368"/>
      <c r="AB15" s="1370"/>
    </row>
    <row r="16" spans="1:31" ht="16.5" customHeight="1" thickTop="1" thickBot="1" x14ac:dyDescent="0.3">
      <c r="A16" s="511"/>
      <c r="B16" s="511"/>
      <c r="C16" s="511"/>
      <c r="D16" s="511"/>
      <c r="E16" s="511"/>
      <c r="F16" s="511"/>
      <c r="G16" s="511"/>
      <c r="H16" s="511"/>
      <c r="I16" s="511"/>
      <c r="J16" s="511"/>
      <c r="K16" s="511"/>
      <c r="L16" s="511"/>
      <c r="M16" s="511"/>
      <c r="N16" s="528"/>
      <c r="O16" s="527"/>
      <c r="P16" s="511"/>
      <c r="Q16" s="511"/>
      <c r="R16" s="511"/>
      <c r="S16" s="511"/>
      <c r="T16" s="511"/>
      <c r="U16" s="511"/>
      <c r="V16" s="511"/>
      <c r="W16" s="511"/>
      <c r="X16" s="511"/>
      <c r="Y16" s="511"/>
      <c r="Z16" s="511"/>
      <c r="AA16" s="511"/>
      <c r="AB16" s="526"/>
    </row>
    <row r="17" spans="1:28" ht="20.25" thickTop="1" thickBot="1" x14ac:dyDescent="0.35">
      <c r="A17" s="504"/>
      <c r="B17" s="753" t="str">
        <f>B9</f>
        <v>1 ФИНАЛ</v>
      </c>
      <c r="C17" s="754" t="s">
        <v>1030</v>
      </c>
      <c r="D17" s="504" t="s">
        <v>762</v>
      </c>
      <c r="E17" s="505"/>
      <c r="F17" s="755">
        <f>F1+2</f>
        <v>115</v>
      </c>
      <c r="G17" s="756" t="s">
        <v>1031</v>
      </c>
      <c r="H17" s="757">
        <f>H1</f>
        <v>15</v>
      </c>
      <c r="I17" s="758">
        <v>1</v>
      </c>
      <c r="J17" s="765"/>
      <c r="K17" s="1401" t="str">
        <f>IF(H17&lt;=8,CONCATENATE(LOOKUP(F17,'Порядок встреч 2Ф'!A5:A68,'Порядок встреч 2Ф'!C5:C68),"-",LOOKUP(F17,'Порядок встреч 2Ф'!A5:A68,'Порядок встреч 2Ф'!D5:D68)),CONCATENATE(LOOKUP(F17,'Порядок встреч 2Ф'!I5:I60,'Порядок встреч 2Ф'!K5:K60),"-",LOOKUP(F17,'Порядок встреч 2Ф'!I5:I60,'Порядок встреч 2Ф'!L5:L60)))</f>
        <v>4-15</v>
      </c>
      <c r="L17" s="1389"/>
      <c r="M17" s="1390"/>
      <c r="N17" s="502"/>
      <c r="O17" s="502"/>
      <c r="P17" s="504"/>
      <c r="Q17" s="776" t="str">
        <f>B1</f>
        <v>1 ФИНАЛ</v>
      </c>
      <c r="R17" s="754" t="s">
        <v>1030</v>
      </c>
      <c r="S17" s="504" t="s">
        <v>762</v>
      </c>
      <c r="T17" s="505"/>
      <c r="U17" s="755">
        <f>F1+6</f>
        <v>119</v>
      </c>
      <c r="V17" s="756" t="s">
        <v>1031</v>
      </c>
      <c r="W17" s="757">
        <f>H1</f>
        <v>15</v>
      </c>
      <c r="X17" s="758">
        <v>1</v>
      </c>
      <c r="Y17" s="759"/>
      <c r="Z17" s="1388" t="str">
        <f>IF(W17&lt;=8,CONCATENATE(LOOKUP(U17,'Порядок встреч 2Ф'!A5:A68,'Порядок встреч 2Ф'!C5:C68),"-",LOOKUP(U17,'Порядок встреч 2Ф'!A5:A68,'Порядок встреч 2Ф'!D5:D68)),CONCATENATE(LOOKUP(U17,'Порядок встреч 2Ф'!I5:I60,'Порядок встреч 2Ф'!K5:K60),"-",LOOKUP(U17,'Порядок встреч 2Ф'!I5:I60,'Порядок встреч 2Ф'!L5:L60)))</f>
        <v>8-11</v>
      </c>
      <c r="AA17" s="1389"/>
      <c r="AB17" s="1390"/>
    </row>
    <row r="18" spans="1:28" ht="20.100000000000001" customHeight="1" thickTop="1" x14ac:dyDescent="0.25">
      <c r="A18" s="1391"/>
      <c r="B18" s="1392" t="s">
        <v>1032</v>
      </c>
      <c r="C18" s="1392" t="s">
        <v>44</v>
      </c>
      <c r="D18" s="1338" t="s">
        <v>965</v>
      </c>
      <c r="E18" s="1338"/>
      <c r="F18" s="1338"/>
      <c r="G18" s="1338"/>
      <c r="H18" s="1338"/>
      <c r="I18" s="1338"/>
      <c r="J18" s="1338"/>
      <c r="K18" s="1339" t="s">
        <v>1042</v>
      </c>
      <c r="L18" s="1340"/>
      <c r="M18" s="1362"/>
      <c r="N18" s="510"/>
      <c r="O18" s="511"/>
      <c r="P18" s="1391"/>
      <c r="Q18" s="1392" t="s">
        <v>1032</v>
      </c>
      <c r="R18" s="1392" t="s">
        <v>44</v>
      </c>
      <c r="S18" s="1338" t="s">
        <v>965</v>
      </c>
      <c r="T18" s="1338"/>
      <c r="U18" s="1338"/>
      <c r="V18" s="1338"/>
      <c r="W18" s="1338"/>
      <c r="X18" s="1338"/>
      <c r="Y18" s="1338"/>
      <c r="Z18" s="1339" t="s">
        <v>1042</v>
      </c>
      <c r="AA18" s="1340"/>
      <c r="AB18" s="1341"/>
    </row>
    <row r="19" spans="1:28" ht="20.100000000000001" customHeight="1" x14ac:dyDescent="0.25">
      <c r="A19" s="1359"/>
      <c r="B19" s="1361"/>
      <c r="C19" s="1361"/>
      <c r="D19" s="512">
        <v>1</v>
      </c>
      <c r="E19" s="512">
        <v>2</v>
      </c>
      <c r="F19" s="512">
        <v>3</v>
      </c>
      <c r="G19" s="512">
        <v>4</v>
      </c>
      <c r="H19" s="512">
        <v>5</v>
      </c>
      <c r="I19" s="513"/>
      <c r="J19" s="513"/>
      <c r="K19" s="1342"/>
      <c r="L19" s="1343"/>
      <c r="M19" s="1363"/>
      <c r="N19" s="510"/>
      <c r="O19" s="511"/>
      <c r="P19" s="1359"/>
      <c r="Q19" s="1361"/>
      <c r="R19" s="1361"/>
      <c r="S19" s="512">
        <v>1</v>
      </c>
      <c r="T19" s="512">
        <v>2</v>
      </c>
      <c r="U19" s="512">
        <v>3</v>
      </c>
      <c r="V19" s="512">
        <v>4</v>
      </c>
      <c r="W19" s="512">
        <v>5</v>
      </c>
      <c r="X19" s="513"/>
      <c r="Y19" s="513"/>
      <c r="Z19" s="1342"/>
      <c r="AA19" s="1343"/>
      <c r="AB19" s="1344"/>
    </row>
    <row r="20" spans="1:28" ht="54.95" customHeight="1" x14ac:dyDescent="0.25">
      <c r="A20" s="514">
        <f>IF(H17&lt;=8,VLOOKUP(F17,'Порядок встреч 1Ф'!A:G,5,FALSE),VLOOKUP(F17,'Порядок встреч 1Ф'!I:O,5,FALSE))</f>
        <v>0</v>
      </c>
      <c r="B20" s="515" t="e">
        <f>IF(A20="","",VLOOKUP(A20,'Списки участников'!A:H,3,FALSE))</f>
        <v>#N/A</v>
      </c>
      <c r="C20" s="516" t="e">
        <f>IF(A20="","",VLOOKUP(A20,'Списки участников'!A:H,6,FALSE))</f>
        <v>#N/A</v>
      </c>
      <c r="D20" s="517"/>
      <c r="E20" s="518"/>
      <c r="F20" s="519"/>
      <c r="G20" s="519"/>
      <c r="H20" s="519"/>
      <c r="I20" s="520"/>
      <c r="J20" s="520"/>
      <c r="K20" s="1348"/>
      <c r="L20" s="1349"/>
      <c r="M20" s="1400"/>
      <c r="N20" s="510"/>
      <c r="O20" s="511"/>
      <c r="P20" s="514">
        <f>IF(W17&lt;=8,VLOOKUP(U17,'Порядок встреч 1Ф'!A:G,5,FALSE),VLOOKUP(U17,'Порядок встреч 1Ф'!I:O,5,FALSE))</f>
        <v>0</v>
      </c>
      <c r="Q20" s="515" t="e">
        <f>IF(P20="","",VLOOKUP(P20,'Списки участников'!A:H,3,FALSE))</f>
        <v>#N/A</v>
      </c>
      <c r="R20" s="516" t="e">
        <f>IF(P20="","",VLOOKUP(P20,'Списки участников'!A:H,6,FALSE))</f>
        <v>#N/A</v>
      </c>
      <c r="S20" s="517"/>
      <c r="T20" s="518"/>
      <c r="U20" s="519"/>
      <c r="V20" s="519"/>
      <c r="W20" s="519"/>
      <c r="X20" s="520"/>
      <c r="Y20" s="520"/>
      <c r="Z20" s="1348"/>
      <c r="AA20" s="1349"/>
      <c r="AB20" s="1350"/>
    </row>
    <row r="21" spans="1:28" ht="54.95" customHeight="1" thickBot="1" x14ac:dyDescent="0.3">
      <c r="A21" s="514">
        <f>IF(H17&lt;=8,VLOOKUP(F17,'Порядок встреч 1Ф'!A:G,7,FALSE),VLOOKUP(F17,'Порядок встреч 1Ф'!I:O,7,FALSE))</f>
        <v>0</v>
      </c>
      <c r="B21" s="515" t="e">
        <f>IF(A21="","",VLOOKUP(A21,'Списки участников'!A:H,3,FALSE))</f>
        <v>#N/A</v>
      </c>
      <c r="C21" s="516" t="e">
        <f>IF(A21="","",VLOOKUP(A21,'Списки участников'!A:H,6,FALSE))</f>
        <v>#N/A</v>
      </c>
      <c r="D21" s="521"/>
      <c r="E21" s="522"/>
      <c r="F21" s="523"/>
      <c r="G21" s="523"/>
      <c r="H21" s="523"/>
      <c r="I21" s="760"/>
      <c r="J21" s="761"/>
      <c r="K21" s="1351"/>
      <c r="L21" s="1352"/>
      <c r="M21" s="1353"/>
      <c r="N21" s="510"/>
      <c r="O21" s="511"/>
      <c r="P21" s="775">
        <f>IF(W17&lt;=8,VLOOKUP(U17,'Порядок встреч 1Ф'!A:G,7,FALSE),VLOOKUP(U17,'Порядок встреч 1Ф'!I:O,7,FALSE))</f>
        <v>0</v>
      </c>
      <c r="Q21" s="778" t="e">
        <f>IF(P21="","",VLOOKUP(P21,'Списки участников'!A:H,3,FALSE))</f>
        <v>#N/A</v>
      </c>
      <c r="R21" s="779" t="e">
        <f>IF(P21="","",VLOOKUP(P21,'Списки участников'!A:H,6,FALSE))</f>
        <v>#N/A</v>
      </c>
      <c r="S21" s="521"/>
      <c r="T21" s="522"/>
      <c r="U21" s="523"/>
      <c r="V21" s="523"/>
      <c r="W21" s="523"/>
      <c r="X21" s="760"/>
      <c r="Y21" s="761"/>
      <c r="Z21" s="1351"/>
      <c r="AA21" s="1352"/>
      <c r="AB21" s="1354"/>
    </row>
    <row r="22" spans="1:28" ht="20.100000000000001" customHeight="1" thickTop="1" thickBot="1" x14ac:dyDescent="0.35">
      <c r="A22" s="1371" t="s">
        <v>1034</v>
      </c>
      <c r="B22" s="1372"/>
      <c r="C22" s="1372"/>
      <c r="D22" s="1373" t="s">
        <v>1035</v>
      </c>
      <c r="E22" s="1374"/>
      <c r="F22" s="1376" t="s">
        <v>1036</v>
      </c>
      <c r="G22" s="1377"/>
      <c r="H22" s="1377"/>
      <c r="I22" s="1377"/>
      <c r="J22" s="1377"/>
      <c r="K22" s="1377"/>
      <c r="L22" s="1377"/>
      <c r="M22" s="1396"/>
      <c r="N22" s="526"/>
      <c r="P22" s="1404" t="s">
        <v>1034</v>
      </c>
      <c r="Q22" s="1405"/>
      <c r="R22" s="1405"/>
      <c r="S22" s="1373" t="s">
        <v>1035</v>
      </c>
      <c r="T22" s="1374"/>
      <c r="U22" s="1397" t="s">
        <v>1036</v>
      </c>
      <c r="V22" s="1398"/>
      <c r="W22" s="1398"/>
      <c r="X22" s="1398"/>
      <c r="Y22" s="1398"/>
      <c r="Z22" s="1398"/>
      <c r="AA22" s="1398"/>
      <c r="AB22" s="1399"/>
    </row>
    <row r="23" spans="1:28" ht="30" customHeight="1" thickTop="1" thickBot="1" x14ac:dyDescent="0.3">
      <c r="A23" s="1364"/>
      <c r="B23" s="1365"/>
      <c r="C23" s="1365"/>
      <c r="D23" s="1365"/>
      <c r="E23" s="1366"/>
      <c r="F23" s="1367"/>
      <c r="G23" s="1368"/>
      <c r="H23" s="1368"/>
      <c r="I23" s="1368"/>
      <c r="J23" s="1368"/>
      <c r="K23" s="1368"/>
      <c r="L23" s="1368"/>
      <c r="M23" s="1369"/>
      <c r="N23" s="526"/>
      <c r="P23" s="1402"/>
      <c r="Q23" s="1403"/>
      <c r="R23" s="1403"/>
      <c r="S23" s="1365"/>
      <c r="T23" s="1366"/>
      <c r="U23" s="1367"/>
      <c r="V23" s="1368"/>
      <c r="W23" s="1368"/>
      <c r="X23" s="1368"/>
      <c r="Y23" s="1368"/>
      <c r="Z23" s="1368"/>
      <c r="AA23" s="1368"/>
      <c r="AB23" s="1370"/>
    </row>
    <row r="24" spans="1:28" ht="16.5" thickTop="1" thickBot="1" x14ac:dyDescent="0.3">
      <c r="A24" s="771"/>
      <c r="B24" s="771"/>
      <c r="C24" s="771"/>
      <c r="D24" s="771"/>
      <c r="E24" s="771"/>
      <c r="F24" s="771"/>
      <c r="G24" s="771"/>
      <c r="H24" s="771"/>
      <c r="I24" s="771"/>
      <c r="J24" s="771"/>
      <c r="K24" s="771"/>
      <c r="L24" s="771"/>
      <c r="M24" s="771"/>
      <c r="N24" s="528"/>
      <c r="O24" s="527"/>
      <c r="P24" s="511"/>
      <c r="Q24" s="771"/>
      <c r="R24" s="771"/>
      <c r="S24" s="511"/>
      <c r="T24" s="511"/>
      <c r="U24" s="511"/>
      <c r="V24" s="511"/>
      <c r="W24" s="511"/>
      <c r="X24" s="511"/>
      <c r="Y24" s="511"/>
      <c r="Z24" s="511"/>
      <c r="AA24" s="511"/>
      <c r="AB24" s="526"/>
    </row>
    <row r="25" spans="1:28" ht="20.25" thickTop="1" thickBot="1" x14ac:dyDescent="0.35">
      <c r="A25" s="502"/>
      <c r="B25" s="748" t="str">
        <f>B17</f>
        <v>1 ФИНАЛ</v>
      </c>
      <c r="C25" s="767" t="s">
        <v>1030</v>
      </c>
      <c r="D25" s="768" t="s">
        <v>762</v>
      </c>
      <c r="E25" s="769"/>
      <c r="F25" s="509">
        <f>F1+3</f>
        <v>116</v>
      </c>
      <c r="G25" s="506" t="s">
        <v>1031</v>
      </c>
      <c r="H25" s="770">
        <f>H1</f>
        <v>15</v>
      </c>
      <c r="I25" s="758">
        <v>1</v>
      </c>
      <c r="J25" s="765"/>
      <c r="K25" s="1401" t="str">
        <f>IF(H25&lt;=8,CONCATENATE(LOOKUP(F25,'Порядок встреч 2Ф'!A5:A68,'Порядок встреч 2Ф'!C5:C68),"-",LOOKUP(F25,'Порядок встреч 2Ф'!A5:A68,'Порядок встреч 2Ф'!D5:D68)),CONCATENATE(LOOKUP(F25,'Порядок встреч 2Ф'!I5:I60,'Порядок встреч 2Ф'!K5:K60),"-",LOOKUP(F25,'Порядок встреч 2Ф'!I5:I60,'Порядок встреч 2Ф'!L5:L60)))</f>
        <v>5-14</v>
      </c>
      <c r="L25" s="1389"/>
      <c r="M25" s="1390"/>
      <c r="N25" s="502"/>
      <c r="O25" s="502"/>
      <c r="P25" s="504"/>
      <c r="Q25" s="776" t="str">
        <f>B1</f>
        <v>1 ФИНАЛ</v>
      </c>
      <c r="R25" s="754" t="s">
        <v>1030</v>
      </c>
      <c r="S25" s="504" t="s">
        <v>762</v>
      </c>
      <c r="T25" s="505"/>
      <c r="U25" s="755">
        <f>F1+7</f>
        <v>120</v>
      </c>
      <c r="V25" s="756" t="s">
        <v>1031</v>
      </c>
      <c r="W25" s="757">
        <f>H1</f>
        <v>15</v>
      </c>
      <c r="X25" s="758">
        <v>1</v>
      </c>
      <c r="Y25" s="759"/>
      <c r="Z25" s="1388" t="str">
        <f>IF(W25&lt;=8,CONCATENATE(LOOKUP(U25,'Порядок встреч 2Ф'!A5:A68,'Порядок встреч 2Ф'!C5:C68),"-",LOOKUP(U25,'Порядок встреч 2Ф'!A5:A68,'Порядок встреч 2Ф'!D5:D68)),CONCATENATE(LOOKUP(U25,'Порядок встреч 2Ф'!I5:I60,'Порядок встреч 2Ф'!K5:K60),"-",LOOKUP(U25,'Порядок встреч 2Ф'!I5:I60,'Порядок встреч 2Ф'!L5:L60)))</f>
        <v>9-10</v>
      </c>
      <c r="AA25" s="1389"/>
      <c r="AB25" s="1390"/>
    </row>
    <row r="26" spans="1:28" ht="20.100000000000001" customHeight="1" thickTop="1" x14ac:dyDescent="0.25">
      <c r="A26" s="1358"/>
      <c r="B26" s="1360" t="s">
        <v>1032</v>
      </c>
      <c r="C26" s="1360" t="s">
        <v>44</v>
      </c>
      <c r="D26" s="1337" t="s">
        <v>965</v>
      </c>
      <c r="E26" s="1337"/>
      <c r="F26" s="1337"/>
      <c r="G26" s="1337"/>
      <c r="H26" s="1338"/>
      <c r="I26" s="1338"/>
      <c r="J26" s="1338"/>
      <c r="K26" s="1339" t="s">
        <v>1042</v>
      </c>
      <c r="L26" s="1340"/>
      <c r="M26" s="1362"/>
      <c r="N26" s="510"/>
      <c r="O26" s="511"/>
      <c r="P26" s="1391"/>
      <c r="Q26" s="1392" t="s">
        <v>1032</v>
      </c>
      <c r="R26" s="1392" t="s">
        <v>44</v>
      </c>
      <c r="S26" s="1338" t="s">
        <v>965</v>
      </c>
      <c r="T26" s="1338"/>
      <c r="U26" s="1338"/>
      <c r="V26" s="1338"/>
      <c r="W26" s="1338"/>
      <c r="X26" s="1338"/>
      <c r="Y26" s="1338"/>
      <c r="Z26" s="1339" t="s">
        <v>1042</v>
      </c>
      <c r="AA26" s="1340"/>
      <c r="AB26" s="1341"/>
    </row>
    <row r="27" spans="1:28" ht="20.100000000000001" customHeight="1" x14ac:dyDescent="0.25">
      <c r="A27" s="1359"/>
      <c r="B27" s="1361"/>
      <c r="C27" s="1361"/>
      <c r="D27" s="512">
        <v>1</v>
      </c>
      <c r="E27" s="512">
        <v>2</v>
      </c>
      <c r="F27" s="512">
        <v>3</v>
      </c>
      <c r="G27" s="512">
        <v>4</v>
      </c>
      <c r="H27" s="512">
        <v>5</v>
      </c>
      <c r="I27" s="513"/>
      <c r="J27" s="513"/>
      <c r="K27" s="1342"/>
      <c r="L27" s="1343"/>
      <c r="M27" s="1363"/>
      <c r="N27" s="510"/>
      <c r="O27" s="511"/>
      <c r="P27" s="1359"/>
      <c r="Q27" s="1361"/>
      <c r="R27" s="1361"/>
      <c r="S27" s="512">
        <v>1</v>
      </c>
      <c r="T27" s="512">
        <v>2</v>
      </c>
      <c r="U27" s="512">
        <v>3</v>
      </c>
      <c r="V27" s="512">
        <v>4</v>
      </c>
      <c r="W27" s="512">
        <v>5</v>
      </c>
      <c r="X27" s="513"/>
      <c r="Y27" s="513"/>
      <c r="Z27" s="1342"/>
      <c r="AA27" s="1343"/>
      <c r="AB27" s="1344"/>
    </row>
    <row r="28" spans="1:28" ht="54.95" customHeight="1" x14ac:dyDescent="0.25">
      <c r="A28" s="514">
        <f>IF(H25&lt;=8,VLOOKUP(F25,'Порядок встреч 1Ф'!A:G,5,FALSE),VLOOKUP(F25,'Порядок встреч 1Ф'!I:O,5,FALSE))</f>
        <v>0</v>
      </c>
      <c r="B28" s="515" t="e">
        <f>IF(A28="","",VLOOKUP(A28,'Списки участников'!A:H,3,FALSE))</f>
        <v>#N/A</v>
      </c>
      <c r="C28" s="516" t="e">
        <f>IF(A28="","",VLOOKUP(A28,'Списки участников'!A:H,6,FALSE))</f>
        <v>#N/A</v>
      </c>
      <c r="D28" s="517"/>
      <c r="E28" s="518"/>
      <c r="F28" s="519"/>
      <c r="G28" s="519"/>
      <c r="H28" s="519"/>
      <c r="I28" s="520"/>
      <c r="J28" s="520"/>
      <c r="K28" s="1348"/>
      <c r="L28" s="1349"/>
      <c r="M28" s="1400"/>
      <c r="N28" s="510"/>
      <c r="O28" s="511"/>
      <c r="P28" s="514">
        <f>IF(W25&lt;=8,VLOOKUP(U25,'Порядок встреч 1Ф'!A:G,5,FALSE),VLOOKUP(U25,'Порядок встреч 1Ф'!I:O,5,FALSE))</f>
        <v>0</v>
      </c>
      <c r="Q28" s="515" t="e">
        <f>IF(P28="","",VLOOKUP(P28,'Списки участников'!A:H,3,FALSE))</f>
        <v>#N/A</v>
      </c>
      <c r="R28" s="516" t="e">
        <f>IF(P28="","",VLOOKUP(P28,'Списки участников'!A:H,6,FALSE))</f>
        <v>#N/A</v>
      </c>
      <c r="S28" s="517"/>
      <c r="T28" s="518"/>
      <c r="U28" s="519"/>
      <c r="V28" s="519"/>
      <c r="W28" s="519"/>
      <c r="X28" s="520"/>
      <c r="Y28" s="520"/>
      <c r="Z28" s="1348"/>
      <c r="AA28" s="1349"/>
      <c r="AB28" s="1350"/>
    </row>
    <row r="29" spans="1:28" ht="54.95" customHeight="1" thickBot="1" x14ac:dyDescent="0.3">
      <c r="A29" s="514">
        <f>IF(H25&lt;=8,VLOOKUP(F25,'Порядок встреч 1Ф'!A:G,7,FALSE),VLOOKUP(F25,'Порядок встреч 1Ф'!I:O,7,FALSE))</f>
        <v>0</v>
      </c>
      <c r="B29" s="515" t="e">
        <f>IF(A29="","",VLOOKUP(A29,'Списки участников'!A:H,3,FALSE))</f>
        <v>#N/A</v>
      </c>
      <c r="C29" s="516" t="e">
        <f>IF(A29="","",VLOOKUP(A29,'Списки участников'!A:H,6,FALSE))</f>
        <v>#N/A</v>
      </c>
      <c r="D29" s="521"/>
      <c r="E29" s="522"/>
      <c r="F29" s="772"/>
      <c r="G29" s="772"/>
      <c r="H29" s="772"/>
      <c r="I29" s="773"/>
      <c r="J29" s="774"/>
      <c r="K29" s="1384"/>
      <c r="L29" s="1406"/>
      <c r="M29" s="1407"/>
      <c r="N29" s="510"/>
      <c r="O29" s="511"/>
      <c r="P29" s="775">
        <f>IF(W25&lt;=8,VLOOKUP(U25,'Порядок встреч 1Ф'!A:G,7,FALSE),VLOOKUP(U25,'Порядок встреч 1Ф'!I:O,7,FALSE))</f>
        <v>0</v>
      </c>
      <c r="Q29" s="778" t="e">
        <f>IF(P29="","",VLOOKUP(P29,'Списки участников'!A:H,3,FALSE))</f>
        <v>#N/A</v>
      </c>
      <c r="R29" s="779" t="e">
        <f>IF(P29="","",VLOOKUP(P29,'Списки участников'!A:H,6,FALSE))</f>
        <v>#N/A</v>
      </c>
      <c r="S29" s="521"/>
      <c r="T29" s="522"/>
      <c r="U29" s="523"/>
      <c r="V29" s="523"/>
      <c r="W29" s="523"/>
      <c r="X29" s="524"/>
      <c r="Y29" s="525"/>
      <c r="Z29" s="1351"/>
      <c r="AA29" s="1352"/>
      <c r="AB29" s="1354"/>
    </row>
    <row r="30" spans="1:28" ht="20.100000000000001" customHeight="1" thickTop="1" thickBot="1" x14ac:dyDescent="0.35">
      <c r="A30" s="1371" t="s">
        <v>1034</v>
      </c>
      <c r="B30" s="1372"/>
      <c r="C30" s="1372"/>
      <c r="D30" s="1373" t="s">
        <v>1035</v>
      </c>
      <c r="E30" s="1374"/>
      <c r="F30" s="1408" t="s">
        <v>1036</v>
      </c>
      <c r="G30" s="1409"/>
      <c r="H30" s="1409"/>
      <c r="I30" s="1409"/>
      <c r="J30" s="1409"/>
      <c r="K30" s="1409"/>
      <c r="L30" s="1409"/>
      <c r="M30" s="1410"/>
      <c r="N30" s="526"/>
      <c r="P30" s="1404" t="s">
        <v>1034</v>
      </c>
      <c r="Q30" s="1405"/>
      <c r="R30" s="1405"/>
      <c r="S30" s="1373" t="s">
        <v>1035</v>
      </c>
      <c r="T30" s="1374"/>
      <c r="U30" s="1411" t="s">
        <v>1036</v>
      </c>
      <c r="V30" s="1412"/>
      <c r="W30" s="1412"/>
      <c r="X30" s="1412"/>
      <c r="Y30" s="1412"/>
      <c r="Z30" s="1412"/>
      <c r="AA30" s="1412"/>
      <c r="AB30" s="1413"/>
    </row>
    <row r="31" spans="1:28" ht="30" customHeight="1" thickTop="1" thickBot="1" x14ac:dyDescent="0.3">
      <c r="A31" s="1364"/>
      <c r="B31" s="1365"/>
      <c r="C31" s="1365"/>
      <c r="D31" s="1365"/>
      <c r="E31" s="1366"/>
      <c r="F31" s="1367"/>
      <c r="G31" s="1368"/>
      <c r="H31" s="1368"/>
      <c r="I31" s="1368"/>
      <c r="J31" s="1368"/>
      <c r="K31" s="1368"/>
      <c r="L31" s="1368"/>
      <c r="M31" s="1369"/>
      <c r="N31" s="526"/>
      <c r="P31" s="1402"/>
      <c r="Q31" s="1403"/>
      <c r="R31" s="1403"/>
      <c r="S31" s="1403"/>
      <c r="T31" s="1366"/>
      <c r="U31" s="751"/>
      <c r="V31" s="752"/>
      <c r="W31" s="752"/>
      <c r="X31" s="752"/>
      <c r="Y31" s="752"/>
      <c r="Z31" s="1368"/>
      <c r="AA31" s="1368"/>
      <c r="AB31" s="1370"/>
    </row>
    <row r="32" spans="1:28" ht="15.75" thickTop="1" x14ac:dyDescent="0.25">
      <c r="A32" s="527"/>
      <c r="B32" s="527"/>
      <c r="C32" s="527"/>
      <c r="D32" s="527"/>
      <c r="E32" s="527"/>
      <c r="F32" s="527"/>
      <c r="G32" s="511"/>
      <c r="H32" s="511"/>
      <c r="I32" s="527"/>
      <c r="J32" s="527"/>
      <c r="K32" s="527"/>
      <c r="L32" s="527"/>
      <c r="M32" s="527"/>
      <c r="N32" s="528"/>
      <c r="O32" s="527"/>
      <c r="P32" s="527"/>
      <c r="Q32" s="780"/>
      <c r="R32" s="780"/>
      <c r="S32" s="780"/>
      <c r="T32" s="527"/>
      <c r="U32" s="527"/>
      <c r="V32" s="511"/>
      <c r="W32" s="511"/>
      <c r="X32" s="527"/>
      <c r="Y32" s="527"/>
      <c r="Z32" s="527"/>
      <c r="AA32" s="527"/>
      <c r="AB32" s="528"/>
    </row>
    <row r="34" spans="3:3" x14ac:dyDescent="0.25">
      <c r="C34" s="766"/>
    </row>
  </sheetData>
  <mergeCells count="112">
    <mergeCell ref="A31:C31"/>
    <mergeCell ref="D31:E31"/>
    <mergeCell ref="F31:M31"/>
    <mergeCell ref="P31:R31"/>
    <mergeCell ref="S31:T31"/>
    <mergeCell ref="Z31:AB31"/>
    <mergeCell ref="A30:C30"/>
    <mergeCell ref="D30:E30"/>
    <mergeCell ref="F30:M30"/>
    <mergeCell ref="P30:R30"/>
    <mergeCell ref="S30:T30"/>
    <mergeCell ref="U30:AB30"/>
    <mergeCell ref="S26:Y26"/>
    <mergeCell ref="Z26:AB27"/>
    <mergeCell ref="K28:M28"/>
    <mergeCell ref="Z28:AB28"/>
    <mergeCell ref="K29:M29"/>
    <mergeCell ref="Z29:AB29"/>
    <mergeCell ref="K25:M25"/>
    <mergeCell ref="Z25:AB25"/>
    <mergeCell ref="A26:A27"/>
    <mergeCell ref="B26:B27"/>
    <mergeCell ref="C26:C27"/>
    <mergeCell ref="D26:J26"/>
    <mergeCell ref="K26:M27"/>
    <mergeCell ref="P26:P27"/>
    <mergeCell ref="Q26:Q27"/>
    <mergeCell ref="R26:R27"/>
    <mergeCell ref="A23:C23"/>
    <mergeCell ref="D23:E23"/>
    <mergeCell ref="F23:M23"/>
    <mergeCell ref="P23:R23"/>
    <mergeCell ref="S23:T23"/>
    <mergeCell ref="U23:AB23"/>
    <mergeCell ref="A22:C22"/>
    <mergeCell ref="D22:E22"/>
    <mergeCell ref="F22:M22"/>
    <mergeCell ref="P22:R22"/>
    <mergeCell ref="S22:T22"/>
    <mergeCell ref="U22:AB22"/>
    <mergeCell ref="S18:Y18"/>
    <mergeCell ref="Z18:AB19"/>
    <mergeCell ref="K20:M20"/>
    <mergeCell ref="Z20:AB20"/>
    <mergeCell ref="K21:M21"/>
    <mergeCell ref="Z21:AB21"/>
    <mergeCell ref="K17:M17"/>
    <mergeCell ref="Z17:AB17"/>
    <mergeCell ref="A18:A19"/>
    <mergeCell ref="B18:B19"/>
    <mergeCell ref="C18:C19"/>
    <mergeCell ref="D18:J18"/>
    <mergeCell ref="K18:M19"/>
    <mergeCell ref="P18:P19"/>
    <mergeCell ref="Q18:Q19"/>
    <mergeCell ref="R18:R19"/>
    <mergeCell ref="A15:C15"/>
    <mergeCell ref="D15:E15"/>
    <mergeCell ref="F15:M15"/>
    <mergeCell ref="P15:R15"/>
    <mergeCell ref="S15:T15"/>
    <mergeCell ref="U15:AB15"/>
    <mergeCell ref="A14:C14"/>
    <mergeCell ref="D14:E14"/>
    <mergeCell ref="F14:M14"/>
    <mergeCell ref="P14:R14"/>
    <mergeCell ref="S14:T14"/>
    <mergeCell ref="U14:AB14"/>
    <mergeCell ref="S10:Y10"/>
    <mergeCell ref="Z10:AB11"/>
    <mergeCell ref="K12:M12"/>
    <mergeCell ref="Z12:AB12"/>
    <mergeCell ref="K13:L13"/>
    <mergeCell ref="Z13:AB13"/>
    <mergeCell ref="K9:M9"/>
    <mergeCell ref="Z9:AB9"/>
    <mergeCell ref="A10:A11"/>
    <mergeCell ref="B10:B11"/>
    <mergeCell ref="C10:C11"/>
    <mergeCell ref="D10:J10"/>
    <mergeCell ref="K10:M11"/>
    <mergeCell ref="P10:P11"/>
    <mergeCell ref="Q10:Q11"/>
    <mergeCell ref="R10:R11"/>
    <mergeCell ref="A7:C7"/>
    <mergeCell ref="D7:E7"/>
    <mergeCell ref="F7:M7"/>
    <mergeCell ref="P7:R7"/>
    <mergeCell ref="S7:T7"/>
    <mergeCell ref="U7:AB7"/>
    <mergeCell ref="A6:C6"/>
    <mergeCell ref="D6:E6"/>
    <mergeCell ref="F6:M6"/>
    <mergeCell ref="P6:R6"/>
    <mergeCell ref="S6:T6"/>
    <mergeCell ref="U6:AB6"/>
    <mergeCell ref="S2:Y2"/>
    <mergeCell ref="Z2:AB3"/>
    <mergeCell ref="K4:M4"/>
    <mergeCell ref="Z4:AB4"/>
    <mergeCell ref="K5:M5"/>
    <mergeCell ref="Z5:AB5"/>
    <mergeCell ref="K1:M1"/>
    <mergeCell ref="Z1:AB1"/>
    <mergeCell ref="A2:A3"/>
    <mergeCell ref="B2:B3"/>
    <mergeCell ref="C2:C3"/>
    <mergeCell ref="D2:J2"/>
    <mergeCell ref="K2:M3"/>
    <mergeCell ref="P2:P3"/>
    <mergeCell ref="Q2:Q3"/>
    <mergeCell ref="R2:R3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5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Y60"/>
  <sheetViews>
    <sheetView view="pageBreakPreview" zoomScale="110" zoomScaleNormal="100" zoomScaleSheetLayoutView="110" workbookViewId="0">
      <selection activeCell="BA7" sqref="BA7"/>
    </sheetView>
  </sheetViews>
  <sheetFormatPr defaultRowHeight="12.75" outlineLevelCol="1" x14ac:dyDescent="0.2"/>
  <cols>
    <col min="1" max="1" width="5.6640625" style="91" customWidth="1"/>
    <col min="2" max="2" width="5" style="91" hidden="1" customWidth="1" outlineLevel="1"/>
    <col min="3" max="3" width="30" style="91" customWidth="1" collapsed="1"/>
    <col min="4" max="21" width="2.83203125" style="91" customWidth="1"/>
    <col min="22" max="23" width="3.33203125" style="91" customWidth="1"/>
    <col min="24" max="25" width="5.83203125" style="91" customWidth="1"/>
    <col min="26" max="26" width="3.5" style="91" customWidth="1"/>
    <col min="27" max="27" width="5.6640625" style="91" customWidth="1"/>
    <col min="28" max="28" width="5" style="91" hidden="1" customWidth="1" outlineLevel="1"/>
    <col min="29" max="29" width="30" style="91" customWidth="1" collapsed="1"/>
    <col min="30" max="47" width="2.83203125" style="91" customWidth="1"/>
    <col min="48" max="49" width="3.33203125" style="91" customWidth="1"/>
    <col min="50" max="51" width="5.83203125" style="91" customWidth="1"/>
    <col min="52" max="16384" width="9.33203125" style="91"/>
  </cols>
  <sheetData>
    <row r="1" spans="1:51" ht="19.5" x14ac:dyDescent="0.35">
      <c r="C1" s="1101" t="str">
        <f>'Списки участников'!A1</f>
        <v xml:space="preserve">X Спартакиада
среди предприятий Нижегородской области ФСК "Профсоюзов",
под девизом "Будь спортивным - будь успешным!"
</v>
      </c>
      <c r="D1" s="1101"/>
      <c r="E1" s="1101"/>
      <c r="F1" s="1101"/>
      <c r="G1" s="1101"/>
      <c r="H1" s="1101"/>
      <c r="I1" s="1101"/>
      <c r="J1" s="1101"/>
      <c r="K1" s="1101"/>
      <c r="L1" s="1101"/>
      <c r="M1" s="1101"/>
      <c r="N1" s="1101"/>
      <c r="O1" s="1101"/>
      <c r="P1" s="1101"/>
      <c r="Q1" s="1101"/>
      <c r="R1" s="1101"/>
      <c r="S1" s="1101"/>
      <c r="T1" s="1101"/>
      <c r="U1" s="1101"/>
      <c r="V1" s="1101"/>
      <c r="W1" s="1101"/>
      <c r="X1" s="1101"/>
      <c r="Y1" s="1101"/>
      <c r="Z1" s="1101"/>
      <c r="AA1" s="1101"/>
      <c r="AB1" s="1101"/>
      <c r="AC1" s="1101"/>
      <c r="AD1" s="1101"/>
      <c r="AE1" s="1101"/>
      <c r="AF1" s="1101"/>
      <c r="AG1" s="1101"/>
      <c r="AH1" s="1101"/>
      <c r="AI1" s="1101"/>
      <c r="AJ1" s="1101"/>
      <c r="AK1" s="1101"/>
      <c r="AL1" s="1101"/>
      <c r="AM1" s="1101"/>
      <c r="AN1" s="1101"/>
      <c r="AO1" s="1101"/>
      <c r="AP1" s="1101"/>
      <c r="AQ1" s="1101"/>
      <c r="AR1" s="1101"/>
      <c r="AS1" s="1101"/>
      <c r="AT1" s="1101"/>
      <c r="AU1" s="1039"/>
      <c r="AV1" s="1039"/>
    </row>
    <row r="2" spans="1:51" ht="19.5" x14ac:dyDescent="0.35">
      <c r="C2" s="1040" t="str">
        <f>'Списки участников'!C3</f>
        <v>22 октября 2016 г.</v>
      </c>
      <c r="D2" s="1101" t="str">
        <f>'Списки участников'!A2</f>
        <v>Соревнования по настольному теннису</v>
      </c>
      <c r="E2" s="1101"/>
      <c r="F2" s="1101"/>
      <c r="G2" s="1101"/>
      <c r="H2" s="1101"/>
      <c r="I2" s="1101"/>
      <c r="J2" s="1101"/>
      <c r="K2" s="1101"/>
      <c r="L2" s="1101"/>
      <c r="M2" s="1101"/>
      <c r="N2" s="1101"/>
      <c r="O2" s="1101"/>
      <c r="P2" s="1101"/>
      <c r="Q2" s="1101"/>
      <c r="R2" s="1101"/>
      <c r="S2" s="1101"/>
      <c r="T2" s="1101"/>
      <c r="U2" s="1101"/>
      <c r="V2" s="1101"/>
      <c r="W2" s="1101"/>
      <c r="X2" s="1101"/>
      <c r="Y2" s="1101"/>
      <c r="Z2" s="1101"/>
      <c r="AA2" s="1101"/>
      <c r="AB2" s="1101"/>
      <c r="AC2" s="1101"/>
      <c r="AD2" s="1101"/>
      <c r="AE2" s="1101"/>
      <c r="AF2" s="1101"/>
      <c r="AG2" s="1101"/>
      <c r="AH2" s="1101"/>
      <c r="AI2" s="1101"/>
      <c r="AJ2" s="1101"/>
      <c r="AK2" s="1101"/>
      <c r="AL2" s="1101"/>
      <c r="AM2" s="1133" t="str">
        <f>'Списки участников'!F3</f>
        <v xml:space="preserve">                                               г. Н. Новгород</v>
      </c>
      <c r="AN2" s="1133"/>
      <c r="AO2" s="1133"/>
      <c r="AP2" s="1133"/>
      <c r="AQ2" s="1133"/>
      <c r="AR2" s="1133"/>
      <c r="AS2" s="1133"/>
      <c r="AT2" s="1133"/>
      <c r="AU2" s="1133"/>
      <c r="AV2" s="1133"/>
      <c r="AW2" s="1133"/>
      <c r="AX2" s="1045"/>
      <c r="AY2" s="1045"/>
    </row>
    <row r="3" spans="1:51" ht="15.75" x14ac:dyDescent="0.25">
      <c r="A3" s="1024"/>
      <c r="B3" s="1024"/>
      <c r="C3" s="1025">
        <f>'Списки участников'!F6</f>
        <v>0</v>
      </c>
      <c r="D3" s="1024"/>
      <c r="E3" s="1024"/>
      <c r="F3" s="1024"/>
      <c r="G3" s="1102" t="s">
        <v>2799</v>
      </c>
      <c r="H3" s="1102"/>
      <c r="I3" s="1102"/>
      <c r="J3" s="1102"/>
      <c r="K3" s="1102"/>
      <c r="L3" s="1102"/>
      <c r="M3" s="1102"/>
      <c r="N3" s="1102"/>
      <c r="O3" s="1102"/>
      <c r="P3" s="1102"/>
      <c r="Q3" s="1102"/>
      <c r="R3" s="1102"/>
      <c r="S3" s="1041"/>
      <c r="T3" s="1041"/>
      <c r="U3" s="1041"/>
      <c r="V3" s="1024"/>
      <c r="W3" s="1024"/>
      <c r="X3" s="1024"/>
      <c r="Y3" s="1024"/>
      <c r="AA3" s="1024"/>
      <c r="AB3" s="1024"/>
      <c r="AC3" s="1025">
        <f>'Списки участников'!F6</f>
        <v>0</v>
      </c>
      <c r="AD3" s="1024"/>
      <c r="AE3" s="1024"/>
      <c r="AF3" s="1024"/>
      <c r="AG3" s="1102" t="s">
        <v>2806</v>
      </c>
      <c r="AH3" s="1102"/>
      <c r="AI3" s="1102"/>
      <c r="AJ3" s="1102"/>
      <c r="AK3" s="1102"/>
      <c r="AL3" s="1102"/>
      <c r="AM3" s="1102"/>
      <c r="AN3" s="1102"/>
      <c r="AO3" s="1102"/>
      <c r="AP3" s="1102"/>
      <c r="AQ3" s="1102"/>
      <c r="AR3" s="1102"/>
      <c r="AS3" s="1041"/>
      <c r="AT3" s="1041"/>
      <c r="AU3" s="1041"/>
      <c r="AV3" s="1024"/>
      <c r="AW3" s="1024"/>
      <c r="AX3" s="1024"/>
      <c r="AY3" s="1024"/>
    </row>
    <row r="4" spans="1:51" ht="12" customHeight="1" x14ac:dyDescent="0.2">
      <c r="A4" s="1026" t="s">
        <v>3</v>
      </c>
      <c r="B4" s="1027"/>
      <c r="C4" s="1028" t="s">
        <v>757</v>
      </c>
      <c r="D4" s="1103">
        <v>1</v>
      </c>
      <c r="E4" s="1104"/>
      <c r="F4" s="1105"/>
      <c r="G4" s="1103">
        <v>2</v>
      </c>
      <c r="H4" s="1104"/>
      <c r="I4" s="1105"/>
      <c r="J4" s="1103">
        <v>3</v>
      </c>
      <c r="K4" s="1104"/>
      <c r="L4" s="1105"/>
      <c r="M4" s="1103">
        <v>4</v>
      </c>
      <c r="N4" s="1104"/>
      <c r="O4" s="1105"/>
      <c r="P4" s="1103">
        <v>5</v>
      </c>
      <c r="Q4" s="1104"/>
      <c r="R4" s="1105"/>
      <c r="S4" s="1103">
        <v>6</v>
      </c>
      <c r="T4" s="1104"/>
      <c r="U4" s="1105"/>
      <c r="V4" s="1106" t="s">
        <v>758</v>
      </c>
      <c r="W4" s="1107"/>
      <c r="X4" s="1029" t="s">
        <v>759</v>
      </c>
      <c r="Y4" s="1042" t="s">
        <v>2803</v>
      </c>
      <c r="AA4" s="1026" t="s">
        <v>3</v>
      </c>
      <c r="AB4" s="1027"/>
      <c r="AC4" s="1028" t="s">
        <v>757</v>
      </c>
      <c r="AD4" s="1103">
        <v>1</v>
      </c>
      <c r="AE4" s="1104"/>
      <c r="AF4" s="1105"/>
      <c r="AG4" s="1103">
        <v>2</v>
      </c>
      <c r="AH4" s="1104"/>
      <c r="AI4" s="1105"/>
      <c r="AJ4" s="1103">
        <v>3</v>
      </c>
      <c r="AK4" s="1104"/>
      <c r="AL4" s="1105"/>
      <c r="AM4" s="1103">
        <v>4</v>
      </c>
      <c r="AN4" s="1104"/>
      <c r="AO4" s="1105"/>
      <c r="AP4" s="1103">
        <v>5</v>
      </c>
      <c r="AQ4" s="1104"/>
      <c r="AR4" s="1105"/>
      <c r="AS4" s="1103">
        <v>6</v>
      </c>
      <c r="AT4" s="1104"/>
      <c r="AU4" s="1105"/>
      <c r="AV4" s="1106" t="s">
        <v>758</v>
      </c>
      <c r="AW4" s="1107"/>
      <c r="AX4" s="1029" t="s">
        <v>759</v>
      </c>
      <c r="AY4" s="1042" t="s">
        <v>2803</v>
      </c>
    </row>
    <row r="5" spans="1:51" ht="12" customHeight="1" x14ac:dyDescent="0.2">
      <c r="A5" s="1108">
        <v>1</v>
      </c>
      <c r="B5" s="1110">
        <v>18</v>
      </c>
      <c r="C5" s="1030" t="str">
        <f>IF(B5="","",VLOOKUP(B5,'Списки участников'!$A:$L,3,FALSE))</f>
        <v>ВОЛКОВ Валерий</v>
      </c>
      <c r="D5" s="1112"/>
      <c r="E5" s="1112"/>
      <c r="F5" s="1113"/>
      <c r="G5" s="1116">
        <v>2</v>
      </c>
      <c r="H5" s="1117"/>
      <c r="I5" s="1118"/>
      <c r="J5" s="1116">
        <v>2</v>
      </c>
      <c r="K5" s="1117"/>
      <c r="L5" s="1118"/>
      <c r="M5" s="1116"/>
      <c r="N5" s="1117"/>
      <c r="O5" s="1118"/>
      <c r="P5" s="1116"/>
      <c r="Q5" s="1117"/>
      <c r="R5" s="1118"/>
      <c r="S5" s="1116"/>
      <c r="T5" s="1117"/>
      <c r="U5" s="1118"/>
      <c r="V5" s="1119">
        <f>IF(B5="","",SUM(G5,J5,M5,P5,D5,S5))</f>
        <v>4</v>
      </c>
      <c r="W5" s="1120"/>
      <c r="X5" s="1123"/>
      <c r="Y5" s="1125">
        <f>IF(B5="","",RANK(V5,$V$5:$W$16))</f>
        <v>1</v>
      </c>
      <c r="AA5" s="1108">
        <v>1</v>
      </c>
      <c r="AB5" s="1110"/>
      <c r="AC5" s="1030" t="str">
        <f>IF(AB5="","",VLOOKUP(AB5,'Списки участников'!$A:$L,3,FALSE))</f>
        <v/>
      </c>
      <c r="AD5" s="1112"/>
      <c r="AE5" s="1112"/>
      <c r="AF5" s="1113"/>
      <c r="AG5" s="1116"/>
      <c r="AH5" s="1117"/>
      <c r="AI5" s="1118"/>
      <c r="AJ5" s="1116"/>
      <c r="AK5" s="1117"/>
      <c r="AL5" s="1118"/>
      <c r="AM5" s="1116"/>
      <c r="AN5" s="1117"/>
      <c r="AO5" s="1118"/>
      <c r="AP5" s="1116"/>
      <c r="AQ5" s="1117"/>
      <c r="AR5" s="1118"/>
      <c r="AS5" s="1116"/>
      <c r="AT5" s="1117"/>
      <c r="AU5" s="1118"/>
      <c r="AV5" s="1119" t="str">
        <f>IF(AB5="","",SUM(AG5,AJ5,AM5,AP5,AD5,AS5))</f>
        <v/>
      </c>
      <c r="AW5" s="1120"/>
      <c r="AX5" s="1123"/>
      <c r="AY5" s="1125" t="str">
        <f>IF(AB5="","",RANK(AV5,$AV$5:$AW$16))</f>
        <v/>
      </c>
    </row>
    <row r="6" spans="1:51" ht="12" customHeight="1" x14ac:dyDescent="0.2">
      <c r="A6" s="1109"/>
      <c r="B6" s="1111"/>
      <c r="C6" s="1031" t="str">
        <f>IF(B5="","",VLOOKUP(B5,'Списки участников'!$A:$L,6,FALSE))</f>
        <v>НПАП №1</v>
      </c>
      <c r="D6" s="1114"/>
      <c r="E6" s="1114"/>
      <c r="F6" s="1115"/>
      <c r="G6" s="1032">
        <v>2</v>
      </c>
      <c r="H6" s="1033" t="str">
        <f>IF(G5="","",":")</f>
        <v>:</v>
      </c>
      <c r="I6" s="1034">
        <v>0</v>
      </c>
      <c r="J6" s="1032">
        <v>2</v>
      </c>
      <c r="K6" s="1033" t="str">
        <f>IF(J5="","",":")</f>
        <v>:</v>
      </c>
      <c r="L6" s="1034">
        <v>0</v>
      </c>
      <c r="M6" s="1032"/>
      <c r="N6" s="1033" t="str">
        <f>IF(M6="","",":")</f>
        <v/>
      </c>
      <c r="O6" s="1034"/>
      <c r="P6" s="1032"/>
      <c r="Q6" s="1033" t="str">
        <f>IF(P6="","",":")</f>
        <v/>
      </c>
      <c r="R6" s="1034"/>
      <c r="S6" s="1043"/>
      <c r="T6" s="1043"/>
      <c r="U6" s="1043"/>
      <c r="V6" s="1121"/>
      <c r="W6" s="1122"/>
      <c r="X6" s="1124"/>
      <c r="Y6" s="1125"/>
      <c r="AA6" s="1109"/>
      <c r="AB6" s="1111"/>
      <c r="AC6" s="1031" t="str">
        <f>IF(AB5="","",VLOOKUP(AB5,'Списки участников'!$A:$L,6,FALSE))</f>
        <v/>
      </c>
      <c r="AD6" s="1114"/>
      <c r="AE6" s="1114"/>
      <c r="AF6" s="1115"/>
      <c r="AG6" s="1032"/>
      <c r="AH6" s="1033" t="str">
        <f>IF(AG5="","",":")</f>
        <v/>
      </c>
      <c r="AI6" s="1034"/>
      <c r="AJ6" s="1032"/>
      <c r="AK6" s="1033" t="str">
        <f>IF(AJ5="","",":")</f>
        <v/>
      </c>
      <c r="AL6" s="1034"/>
      <c r="AM6" s="1032"/>
      <c r="AN6" s="1033" t="str">
        <f>IF(AM6="","",":")</f>
        <v/>
      </c>
      <c r="AO6" s="1034"/>
      <c r="AP6" s="1032"/>
      <c r="AQ6" s="1033" t="str">
        <f>IF(AP6="","",":")</f>
        <v/>
      </c>
      <c r="AR6" s="1034"/>
      <c r="AS6" s="1043"/>
      <c r="AT6" s="1043"/>
      <c r="AU6" s="1043"/>
      <c r="AV6" s="1121"/>
      <c r="AW6" s="1122"/>
      <c r="AX6" s="1124"/>
      <c r="AY6" s="1125"/>
    </row>
    <row r="7" spans="1:51" ht="12" customHeight="1" x14ac:dyDescent="0.2">
      <c r="A7" s="1108">
        <v>2</v>
      </c>
      <c r="B7" s="1110">
        <v>21</v>
      </c>
      <c r="C7" s="1030" t="str">
        <f>IF(B7="","",VLOOKUP(B7,'Списки участников'!$A:$L,3,FALSE))</f>
        <v>КОПНОВ Павел</v>
      </c>
      <c r="D7" s="1116">
        <f>IF(G5="","",IF(G6="W",0,IF(G5=2,1,IF(G5=1,2,IF(G5=0,2)))))</f>
        <v>1</v>
      </c>
      <c r="E7" s="1117"/>
      <c r="F7" s="1118"/>
      <c r="G7" s="1126"/>
      <c r="H7" s="1127"/>
      <c r="I7" s="1128"/>
      <c r="J7" s="1116">
        <v>2</v>
      </c>
      <c r="K7" s="1117"/>
      <c r="L7" s="1118"/>
      <c r="M7" s="1116"/>
      <c r="N7" s="1117"/>
      <c r="O7" s="1118"/>
      <c r="P7" s="1116"/>
      <c r="Q7" s="1117"/>
      <c r="R7" s="1118"/>
      <c r="S7" s="1116"/>
      <c r="T7" s="1117"/>
      <c r="U7" s="1118"/>
      <c r="V7" s="1119">
        <f t="shared" ref="V7" si="0">IF(B7="","",SUM(G7,J7,M7,P7,D7,S7))</f>
        <v>3</v>
      </c>
      <c r="W7" s="1120"/>
      <c r="X7" s="1123"/>
      <c r="Y7" s="1125">
        <f t="shared" ref="Y7" si="1">IF(B7="","",RANK(V7,$V$5:$W$16))</f>
        <v>2</v>
      </c>
      <c r="AA7" s="1108">
        <v>2</v>
      </c>
      <c r="AB7" s="1110"/>
      <c r="AC7" s="1030" t="str">
        <f>IF(AB7="","",VLOOKUP(AB7,'Списки участников'!$A:$L,3,FALSE))</f>
        <v/>
      </c>
      <c r="AD7" s="1116" t="str">
        <f>IF(AG5="","",IF(AG6="W",0,IF(AG5=2,1,IF(AG5=1,2,IF(AG5=0,2)))))</f>
        <v/>
      </c>
      <c r="AE7" s="1117"/>
      <c r="AF7" s="1118"/>
      <c r="AG7" s="1126"/>
      <c r="AH7" s="1127"/>
      <c r="AI7" s="1128"/>
      <c r="AJ7" s="1116"/>
      <c r="AK7" s="1117"/>
      <c r="AL7" s="1118"/>
      <c r="AM7" s="1116"/>
      <c r="AN7" s="1117"/>
      <c r="AO7" s="1118"/>
      <c r="AP7" s="1116"/>
      <c r="AQ7" s="1117"/>
      <c r="AR7" s="1118"/>
      <c r="AS7" s="1116"/>
      <c r="AT7" s="1117"/>
      <c r="AU7" s="1118"/>
      <c r="AV7" s="1119" t="str">
        <f t="shared" ref="AV7" si="2">IF(AB7="","",SUM(AG7,AJ7,AM7,AP7,AD7,AS7))</f>
        <v/>
      </c>
      <c r="AW7" s="1120"/>
      <c r="AX7" s="1123"/>
      <c r="AY7" s="1125" t="str">
        <f t="shared" ref="AY7" si="3">IF(AB7="","",RANK(AV7,$AV$5:$AW$16))</f>
        <v/>
      </c>
    </row>
    <row r="8" spans="1:51" ht="12" customHeight="1" x14ac:dyDescent="0.2">
      <c r="A8" s="1109"/>
      <c r="B8" s="1111"/>
      <c r="C8" s="1031" t="str">
        <f>IF(B7="","",VLOOKUP(B7,'Списки участников'!$A:$L,6,FALSE))</f>
        <v>НИИИС</v>
      </c>
      <c r="D8" s="1035">
        <f>IF(G6="","",IF(I6="l","W",I6))</f>
        <v>0</v>
      </c>
      <c r="E8" s="1036" t="str">
        <f>IF(G5="","",":")</f>
        <v>:</v>
      </c>
      <c r="F8" s="1037">
        <f>IF(I6="","",IF(G6="W","L",G6))</f>
        <v>2</v>
      </c>
      <c r="G8" s="1129"/>
      <c r="H8" s="1114"/>
      <c r="I8" s="1115"/>
      <c r="J8" s="1032">
        <v>2</v>
      </c>
      <c r="K8" s="1033" t="str">
        <f>IF(J7="","",":")</f>
        <v>:</v>
      </c>
      <c r="L8" s="1034">
        <v>0</v>
      </c>
      <c r="M8" s="1032"/>
      <c r="N8" s="1033" t="str">
        <f>IF(M7="","",":")</f>
        <v/>
      </c>
      <c r="O8" s="1034"/>
      <c r="P8" s="1032"/>
      <c r="Q8" s="1033" t="str">
        <f>IF(P7="","",":")</f>
        <v/>
      </c>
      <c r="R8" s="1034"/>
      <c r="S8" s="1043"/>
      <c r="T8" s="1043"/>
      <c r="U8" s="1043"/>
      <c r="V8" s="1121"/>
      <c r="W8" s="1122"/>
      <c r="X8" s="1124"/>
      <c r="Y8" s="1125"/>
      <c r="AA8" s="1109"/>
      <c r="AB8" s="1111"/>
      <c r="AC8" s="1031" t="str">
        <f>IF(AB7="","",VLOOKUP(AB7,'Списки участников'!$A:$L,6,FALSE))</f>
        <v/>
      </c>
      <c r="AD8" s="1035" t="str">
        <f>IF(AG6="","",IF(AI6="l","W",AI6))</f>
        <v/>
      </c>
      <c r="AE8" s="1036" t="str">
        <f>IF(AG5="","",":")</f>
        <v/>
      </c>
      <c r="AF8" s="1037" t="str">
        <f>IF(AI6="","",IF(AG6="W","L",AG6))</f>
        <v/>
      </c>
      <c r="AG8" s="1129"/>
      <c r="AH8" s="1114"/>
      <c r="AI8" s="1115"/>
      <c r="AJ8" s="1032"/>
      <c r="AK8" s="1033" t="str">
        <f>IF(AJ7="","",":")</f>
        <v/>
      </c>
      <c r="AL8" s="1034"/>
      <c r="AM8" s="1032"/>
      <c r="AN8" s="1033" t="str">
        <f>IF(AM7="","",":")</f>
        <v/>
      </c>
      <c r="AO8" s="1034"/>
      <c r="AP8" s="1032"/>
      <c r="AQ8" s="1033" t="str">
        <f>IF(AP7="","",":")</f>
        <v/>
      </c>
      <c r="AR8" s="1034"/>
      <c r="AS8" s="1043"/>
      <c r="AT8" s="1043"/>
      <c r="AU8" s="1043"/>
      <c r="AV8" s="1121"/>
      <c r="AW8" s="1122"/>
      <c r="AX8" s="1124"/>
      <c r="AY8" s="1125"/>
    </row>
    <row r="9" spans="1:51" ht="12" customHeight="1" x14ac:dyDescent="0.2">
      <c r="A9" s="1108">
        <v>3</v>
      </c>
      <c r="B9" s="1110">
        <v>41</v>
      </c>
      <c r="C9" s="1030" t="str">
        <f>IF(B9="","",VLOOKUP(B9,'Списки участников'!$A:$L,3,FALSE))</f>
        <v>ГЛЕБОВ Игорь</v>
      </c>
      <c r="D9" s="1116">
        <f>IF(J5="","",IF(J6="W",0,IF(J5=2,1,IF(J5=1,2,IF(J5=0,2)))))</f>
        <v>1</v>
      </c>
      <c r="E9" s="1117"/>
      <c r="F9" s="1118"/>
      <c r="G9" s="1116">
        <f>IF(J7="","",IF(J8="W",0,IF(J7=2,1,IF(J7=1,2,IF(J7=0,2)))))</f>
        <v>1</v>
      </c>
      <c r="H9" s="1117"/>
      <c r="I9" s="1118"/>
      <c r="J9" s="1126"/>
      <c r="K9" s="1127"/>
      <c r="L9" s="1128"/>
      <c r="M9" s="1116"/>
      <c r="N9" s="1117"/>
      <c r="O9" s="1118"/>
      <c r="P9" s="1116"/>
      <c r="Q9" s="1117"/>
      <c r="R9" s="1118"/>
      <c r="S9" s="1116"/>
      <c r="T9" s="1117"/>
      <c r="U9" s="1118"/>
      <c r="V9" s="1119">
        <f t="shared" ref="V9" si="4">IF(B9="","",SUM(G9,J9,M9,P9,D9,S9))</f>
        <v>2</v>
      </c>
      <c r="W9" s="1120"/>
      <c r="X9" s="1130"/>
      <c r="Y9" s="1125">
        <f t="shared" ref="Y9" si="5">IF(B9="","",RANK(V9,$V$5:$W$16))</f>
        <v>3</v>
      </c>
      <c r="AA9" s="1108">
        <v>3</v>
      </c>
      <c r="AB9" s="1110"/>
      <c r="AC9" s="1030" t="str">
        <f>IF(AB9="","",VLOOKUP(AB9,'Списки участников'!$A:$L,3,FALSE))</f>
        <v/>
      </c>
      <c r="AD9" s="1116" t="str">
        <f>IF(AJ5="","",IF(AJ6="W",0,IF(AJ5=2,1,IF(AJ5=1,2,IF(AJ5=0,2)))))</f>
        <v/>
      </c>
      <c r="AE9" s="1117"/>
      <c r="AF9" s="1118"/>
      <c r="AG9" s="1116" t="str">
        <f>IF(AJ7="","",IF(AJ8="W",0,IF(AJ7=2,1,IF(AJ7=1,2,IF(AJ7=0,2)))))</f>
        <v/>
      </c>
      <c r="AH9" s="1117"/>
      <c r="AI9" s="1118"/>
      <c r="AJ9" s="1126"/>
      <c r="AK9" s="1127"/>
      <c r="AL9" s="1128"/>
      <c r="AM9" s="1116"/>
      <c r="AN9" s="1117"/>
      <c r="AO9" s="1118"/>
      <c r="AP9" s="1116"/>
      <c r="AQ9" s="1117"/>
      <c r="AR9" s="1118"/>
      <c r="AS9" s="1116"/>
      <c r="AT9" s="1117"/>
      <c r="AU9" s="1118"/>
      <c r="AV9" s="1119" t="str">
        <f t="shared" ref="AV9" si="6">IF(AB9="","",SUM(AG9,AJ9,AM9,AP9,AD9,AS9))</f>
        <v/>
      </c>
      <c r="AW9" s="1120"/>
      <c r="AX9" s="1130"/>
      <c r="AY9" s="1125" t="str">
        <f t="shared" ref="AY9" si="7">IF(AB9="","",RANK(AV9,$AV$5:$AW$16))</f>
        <v/>
      </c>
    </row>
    <row r="10" spans="1:51" ht="12" customHeight="1" x14ac:dyDescent="0.2">
      <c r="A10" s="1109"/>
      <c r="B10" s="1111"/>
      <c r="C10" s="1031" t="str">
        <f>IF(B9="","",VLOOKUP(B9,'Списки участников'!$A:$L,6,FALSE))</f>
        <v>ЗАО "НПП "Салют-27"</v>
      </c>
      <c r="D10" s="1032">
        <f>IF(J6="","",IF(L6="l","W",L6))</f>
        <v>0</v>
      </c>
      <c r="E10" s="1033" t="str">
        <f>IF(K6="","",":")</f>
        <v>:</v>
      </c>
      <c r="F10" s="1038">
        <f>IF(L6="","",IF(J6="W","L",J6))</f>
        <v>2</v>
      </c>
      <c r="G10" s="1032">
        <f>IF(J8="","",IF(L8="l","W",L8))</f>
        <v>0</v>
      </c>
      <c r="H10" s="1033" t="str">
        <f>IF(K8="","",":")</f>
        <v>:</v>
      </c>
      <c r="I10" s="1038">
        <f>IF(L8="","",IF(J8="W","L",J8))</f>
        <v>2</v>
      </c>
      <c r="J10" s="1129"/>
      <c r="K10" s="1114"/>
      <c r="L10" s="1115"/>
      <c r="M10" s="1032"/>
      <c r="N10" s="1033" t="str">
        <f>IF(M9="","",":")</f>
        <v/>
      </c>
      <c r="O10" s="1034"/>
      <c r="P10" s="1032"/>
      <c r="Q10" s="1033" t="str">
        <f>IF(P9="","",":")</f>
        <v/>
      </c>
      <c r="R10" s="1034"/>
      <c r="S10" s="1043"/>
      <c r="T10" s="1043"/>
      <c r="U10" s="1043"/>
      <c r="V10" s="1121"/>
      <c r="W10" s="1122"/>
      <c r="X10" s="1131"/>
      <c r="Y10" s="1125"/>
      <c r="AA10" s="1109"/>
      <c r="AB10" s="1111"/>
      <c r="AC10" s="1031" t="str">
        <f>IF(AB9="","",VLOOKUP(AB9,'Списки участников'!$A:$L,6,FALSE))</f>
        <v/>
      </c>
      <c r="AD10" s="1032" t="str">
        <f>IF(AJ6="","",IF(AL6="l","W",AL6))</f>
        <v/>
      </c>
      <c r="AE10" s="1033" t="str">
        <f>IF(AK6="","",":")</f>
        <v/>
      </c>
      <c r="AF10" s="1038" t="str">
        <f>IF(AL6="","",IF(AJ6="W","L",AJ6))</f>
        <v/>
      </c>
      <c r="AG10" s="1032" t="str">
        <f>IF(AJ8="","",IF(AL8="l","W",AL8))</f>
        <v/>
      </c>
      <c r="AH10" s="1033" t="str">
        <f>IF(AK8="","",":")</f>
        <v/>
      </c>
      <c r="AI10" s="1038" t="str">
        <f>IF(AL8="","",IF(AJ8="W","L",AJ8))</f>
        <v/>
      </c>
      <c r="AJ10" s="1129"/>
      <c r="AK10" s="1114"/>
      <c r="AL10" s="1115"/>
      <c r="AM10" s="1032"/>
      <c r="AN10" s="1033" t="str">
        <f>IF(AM9="","",":")</f>
        <v/>
      </c>
      <c r="AO10" s="1034"/>
      <c r="AP10" s="1032"/>
      <c r="AQ10" s="1033" t="str">
        <f>IF(AP9="","",":")</f>
        <v/>
      </c>
      <c r="AR10" s="1034"/>
      <c r="AS10" s="1043"/>
      <c r="AT10" s="1043"/>
      <c r="AU10" s="1043"/>
      <c r="AV10" s="1121"/>
      <c r="AW10" s="1122"/>
      <c r="AX10" s="1131"/>
      <c r="AY10" s="1125"/>
    </row>
    <row r="11" spans="1:51" ht="12" customHeight="1" x14ac:dyDescent="0.2">
      <c r="A11" s="1108">
        <v>4</v>
      </c>
      <c r="B11" s="1110"/>
      <c r="C11" s="1030" t="str">
        <f>IF(B11="","",VLOOKUP(B11,'Списки участников'!$A:$L,3,FALSE))</f>
        <v/>
      </c>
      <c r="D11" s="1116" t="str">
        <f>IF(M5="","",IF(M6="W",0,IF(M5=2,1,IF(M5=1,2,IF(M5=0,2)))))</f>
        <v/>
      </c>
      <c r="E11" s="1117"/>
      <c r="F11" s="1118"/>
      <c r="G11" s="1116" t="str">
        <f>IF(M7="","",IF(M8="W",0,IF(M7=2,1,IF(M7=1,2,IF(M7=0,2)))))</f>
        <v/>
      </c>
      <c r="H11" s="1117"/>
      <c r="I11" s="1118"/>
      <c r="J11" s="1116" t="str">
        <f>IF(M9="","",IF(M10="W",0,IF(M9=2,1,IF(M9=1,2,IF(M9=0,2)))))</f>
        <v/>
      </c>
      <c r="K11" s="1117"/>
      <c r="L11" s="1118"/>
      <c r="M11" s="1127"/>
      <c r="N11" s="1127"/>
      <c r="O11" s="1127"/>
      <c r="P11" s="1116"/>
      <c r="Q11" s="1117"/>
      <c r="R11" s="1118"/>
      <c r="S11" s="1116"/>
      <c r="T11" s="1117"/>
      <c r="U11" s="1118"/>
      <c r="V11" s="1119" t="str">
        <f t="shared" ref="V11" si="8">IF(B11="","",SUM(G11,J11,M11,P11,D11,S11))</f>
        <v/>
      </c>
      <c r="W11" s="1120"/>
      <c r="X11" s="1130"/>
      <c r="Y11" s="1125" t="str">
        <f t="shared" ref="Y11" si="9">IF(B11="","",RANK(V11,$V$5:$W$16))</f>
        <v/>
      </c>
      <c r="AA11" s="1108">
        <v>4</v>
      </c>
      <c r="AB11" s="1110"/>
      <c r="AC11" s="1030" t="str">
        <f>IF(AB11="","",VLOOKUP(AB11,'Списки участников'!$A:$L,3,FALSE))</f>
        <v/>
      </c>
      <c r="AD11" s="1116" t="str">
        <f>IF(AM5="","",IF(AM6="W",0,IF(AM5=2,1,IF(AM5=1,2,IF(AM5=0,2)))))</f>
        <v/>
      </c>
      <c r="AE11" s="1117"/>
      <c r="AF11" s="1118"/>
      <c r="AG11" s="1116" t="str">
        <f>IF(AM7="","",IF(AM8="W",0,IF(AM7=2,1,IF(AM7=1,2,IF(AM7=0,2)))))</f>
        <v/>
      </c>
      <c r="AH11" s="1117"/>
      <c r="AI11" s="1118"/>
      <c r="AJ11" s="1116" t="str">
        <f>IF(AM9="","",IF(AM10="W",0,IF(AM9=2,1,IF(AM9=1,2,IF(AM9=0,2)))))</f>
        <v/>
      </c>
      <c r="AK11" s="1117"/>
      <c r="AL11" s="1118"/>
      <c r="AM11" s="1127"/>
      <c r="AN11" s="1127"/>
      <c r="AO11" s="1127"/>
      <c r="AP11" s="1116"/>
      <c r="AQ11" s="1117"/>
      <c r="AR11" s="1118"/>
      <c r="AS11" s="1116"/>
      <c r="AT11" s="1117"/>
      <c r="AU11" s="1118"/>
      <c r="AV11" s="1119" t="str">
        <f t="shared" ref="AV11" si="10">IF(AB11="","",SUM(AG11,AJ11,AM11,AP11,AD11,AS11))</f>
        <v/>
      </c>
      <c r="AW11" s="1120"/>
      <c r="AX11" s="1130"/>
      <c r="AY11" s="1125" t="str">
        <f t="shared" ref="AY11" si="11">IF(AB11="","",RANK(AV11,$AV$5:$AW$16))</f>
        <v/>
      </c>
    </row>
    <row r="12" spans="1:51" ht="12" customHeight="1" x14ac:dyDescent="0.2">
      <c r="A12" s="1109"/>
      <c r="B12" s="1111"/>
      <c r="C12" s="1031" t="str">
        <f>IF(B11="","",VLOOKUP(B11,'Списки участников'!$A:$L,6,FALSE))</f>
        <v/>
      </c>
      <c r="D12" s="1032" t="str">
        <f>IF(M6="","",IF(O6="l","W",O6))</f>
        <v/>
      </c>
      <c r="E12" s="1033" t="str">
        <f>IF(N6="","",":")</f>
        <v/>
      </c>
      <c r="F12" s="1038" t="str">
        <f>IF(O6="","",IF(M6="W","L",M6))</f>
        <v/>
      </c>
      <c r="G12" s="1032" t="str">
        <f>IF(M8="","",IF(O8="l","W",O8))</f>
        <v/>
      </c>
      <c r="H12" s="1033" t="str">
        <f>IF(N8="","",":")</f>
        <v/>
      </c>
      <c r="I12" s="1038" t="str">
        <f>IF(O8="","",IF(M8="W","L",M8))</f>
        <v/>
      </c>
      <c r="J12" s="1032" t="str">
        <f>IF(M10="","",IF(O10="l","W",O10))</f>
        <v/>
      </c>
      <c r="K12" s="1033" t="str">
        <f>IF(N10="","",":")</f>
        <v/>
      </c>
      <c r="L12" s="1038" t="str">
        <f>IF(O10="","",IF(M10="W","L",M10))</f>
        <v/>
      </c>
      <c r="M12" s="1132"/>
      <c r="N12" s="1132"/>
      <c r="O12" s="1132"/>
      <c r="P12" s="1032"/>
      <c r="Q12" s="1033" t="str">
        <f>IF(P11="","",":")</f>
        <v/>
      </c>
      <c r="R12" s="1034"/>
      <c r="S12" s="1043"/>
      <c r="T12" s="1043"/>
      <c r="U12" s="1043"/>
      <c r="V12" s="1121"/>
      <c r="W12" s="1122"/>
      <c r="X12" s="1131"/>
      <c r="Y12" s="1125"/>
      <c r="AA12" s="1109"/>
      <c r="AB12" s="1111"/>
      <c r="AC12" s="1031" t="str">
        <f>IF(AB11="","",VLOOKUP(AB11,'Списки участников'!$A:$L,6,FALSE))</f>
        <v/>
      </c>
      <c r="AD12" s="1032" t="str">
        <f>IF(AM6="","",IF(AO6="l","W",AO6))</f>
        <v/>
      </c>
      <c r="AE12" s="1033" t="str">
        <f>IF(AN6="","",":")</f>
        <v/>
      </c>
      <c r="AF12" s="1038" t="str">
        <f>IF(AO6="","",IF(AM6="W","L",AM6))</f>
        <v/>
      </c>
      <c r="AG12" s="1032" t="str">
        <f>IF(AM8="","",IF(AO8="l","W",AO8))</f>
        <v/>
      </c>
      <c r="AH12" s="1033" t="str">
        <f>IF(AN8="","",":")</f>
        <v/>
      </c>
      <c r="AI12" s="1038" t="str">
        <f>IF(AO8="","",IF(AM8="W","L",AM8))</f>
        <v/>
      </c>
      <c r="AJ12" s="1032" t="str">
        <f>IF(AM10="","",IF(AO10="l","W",AO10))</f>
        <v/>
      </c>
      <c r="AK12" s="1033" t="str">
        <f>IF(AN10="","",":")</f>
        <v/>
      </c>
      <c r="AL12" s="1038" t="str">
        <f>IF(AO10="","",IF(AM10="W","L",AM10))</f>
        <v/>
      </c>
      <c r="AM12" s="1132"/>
      <c r="AN12" s="1132"/>
      <c r="AO12" s="1132"/>
      <c r="AP12" s="1032"/>
      <c r="AQ12" s="1033" t="str">
        <f>IF(AP11="","",":")</f>
        <v/>
      </c>
      <c r="AR12" s="1034"/>
      <c r="AS12" s="1043"/>
      <c r="AT12" s="1043"/>
      <c r="AU12" s="1043"/>
      <c r="AV12" s="1121"/>
      <c r="AW12" s="1122"/>
      <c r="AX12" s="1131"/>
      <c r="AY12" s="1125"/>
    </row>
    <row r="13" spans="1:51" ht="12" customHeight="1" x14ac:dyDescent="0.2">
      <c r="A13" s="1108">
        <v>5</v>
      </c>
      <c r="B13" s="1110"/>
      <c r="C13" s="1030" t="str">
        <f>IF(B13="","",VLOOKUP(B13,'Списки участников'!$A:$L,3,FALSE))</f>
        <v/>
      </c>
      <c r="D13" s="1116" t="str">
        <f>IF(P5="","",IF(P6="W",0,IF(P5=2,1,IF(P5=1,2,IF(P5=0,2)))))</f>
        <v/>
      </c>
      <c r="E13" s="1117"/>
      <c r="F13" s="1118"/>
      <c r="G13" s="1116" t="str">
        <f>IF(P7="","",IF(P8="W",0,IF(P7=2,1,IF(P7=1,2,IF(P7=0,2)))))</f>
        <v/>
      </c>
      <c r="H13" s="1117"/>
      <c r="I13" s="1118"/>
      <c r="J13" s="1116" t="str">
        <f>IF(P9="","",IF(P10="W",0,IF(P9=2,1,IF(P9=1,2,IF(P9=0,2)))))</f>
        <v/>
      </c>
      <c r="K13" s="1117"/>
      <c r="L13" s="1118"/>
      <c r="M13" s="1116" t="str">
        <f>IF(P11="","",IF(P12="W",0,IF(P11=2,1,IF(P11=1,2,IF(P11=0,2)))))</f>
        <v/>
      </c>
      <c r="N13" s="1117"/>
      <c r="O13" s="1118"/>
      <c r="P13" s="1126"/>
      <c r="Q13" s="1127"/>
      <c r="R13" s="1128"/>
      <c r="S13" s="1116"/>
      <c r="T13" s="1117"/>
      <c r="U13" s="1118"/>
      <c r="V13" s="1119" t="str">
        <f t="shared" ref="V13" si="12">IF(B13="","",SUM(G13,J13,M13,P13,D13,S13))</f>
        <v/>
      </c>
      <c r="W13" s="1120"/>
      <c r="X13" s="1130"/>
      <c r="Y13" s="1125" t="str">
        <f t="shared" ref="Y13" si="13">IF(B13="","",RANK(V13,$V$5:$W$16))</f>
        <v/>
      </c>
      <c r="AA13" s="1108">
        <v>5</v>
      </c>
      <c r="AB13" s="1110"/>
      <c r="AC13" s="1030" t="str">
        <f>IF(AB13="","",VLOOKUP(AB13,'Списки участников'!$A:$L,3,FALSE))</f>
        <v/>
      </c>
      <c r="AD13" s="1116" t="str">
        <f>IF(AP5="","",IF(AP6="W",0,IF(AP5=2,1,IF(AP5=1,2,IF(AP5=0,2)))))</f>
        <v/>
      </c>
      <c r="AE13" s="1117"/>
      <c r="AF13" s="1118"/>
      <c r="AG13" s="1116" t="str">
        <f>IF(AP7="","",IF(AP8="W",0,IF(AP7=2,1,IF(AP7=1,2,IF(AP7=0,2)))))</f>
        <v/>
      </c>
      <c r="AH13" s="1117"/>
      <c r="AI13" s="1118"/>
      <c r="AJ13" s="1116" t="str">
        <f>IF(AP9="","",IF(AP10="W",0,IF(AP9=2,1,IF(AP9=1,2,IF(AP9=0,2)))))</f>
        <v/>
      </c>
      <c r="AK13" s="1117"/>
      <c r="AL13" s="1118"/>
      <c r="AM13" s="1116" t="str">
        <f>IF(AP11="","",IF(AP12="W",0,IF(AP11=2,1,IF(AP11=1,2,IF(AP11=0,2)))))</f>
        <v/>
      </c>
      <c r="AN13" s="1117"/>
      <c r="AO13" s="1118"/>
      <c r="AP13" s="1126"/>
      <c r="AQ13" s="1127"/>
      <c r="AR13" s="1128"/>
      <c r="AS13" s="1116"/>
      <c r="AT13" s="1117"/>
      <c r="AU13" s="1118"/>
      <c r="AV13" s="1119" t="str">
        <f t="shared" ref="AV13" si="14">IF(AB13="","",SUM(AG13,AJ13,AM13,AP13,AD13,AS13))</f>
        <v/>
      </c>
      <c r="AW13" s="1120"/>
      <c r="AX13" s="1130"/>
      <c r="AY13" s="1125" t="str">
        <f t="shared" ref="AY13" si="15">IF(AB13="","",RANK(AV13,$AV$5:$AW$16))</f>
        <v/>
      </c>
    </row>
    <row r="14" spans="1:51" ht="12" customHeight="1" x14ac:dyDescent="0.2">
      <c r="A14" s="1109"/>
      <c r="B14" s="1111"/>
      <c r="C14" s="1031" t="str">
        <f>IF(B13="","",VLOOKUP(B13,'Списки участников'!$A:$L,6,FALSE))</f>
        <v/>
      </c>
      <c r="D14" s="1032" t="str">
        <f>IF(P6="","",IF(R6="l","W",R6))</f>
        <v/>
      </c>
      <c r="E14" s="1033" t="str">
        <f>IF(Q6="","",":")</f>
        <v/>
      </c>
      <c r="F14" s="1038" t="str">
        <f>IF(R6="","",IF(P6="W","L",P6))</f>
        <v/>
      </c>
      <c r="G14" s="1032" t="str">
        <f>IF(P8="","",IF(R8="l","W",R8))</f>
        <v/>
      </c>
      <c r="H14" s="1033" t="str">
        <f>IF(Q8="","",":")</f>
        <v/>
      </c>
      <c r="I14" s="1038" t="str">
        <f>IF(R8="","",IF(P8="W","L",P8))</f>
        <v/>
      </c>
      <c r="J14" s="1032" t="str">
        <f>IF(P10="","",IF(R10="l","W",R10))</f>
        <v/>
      </c>
      <c r="K14" s="1033" t="str">
        <f>IF(Q10="","",":")</f>
        <v/>
      </c>
      <c r="L14" s="1038" t="str">
        <f>IF(R10="","",IF(P10="W","L",P10))</f>
        <v/>
      </c>
      <c r="M14" s="1032" t="str">
        <f>IF(P12="","",IF(R12="l","W",R12))</f>
        <v/>
      </c>
      <c r="N14" s="1033" t="str">
        <f>IF(Q12="","",":")</f>
        <v/>
      </c>
      <c r="O14" s="1038" t="str">
        <f>IF(R12="","",IF(P12="W","L",P12))</f>
        <v/>
      </c>
      <c r="P14" s="1129"/>
      <c r="Q14" s="1114"/>
      <c r="R14" s="1115"/>
      <c r="S14" s="1044"/>
      <c r="T14" s="1044"/>
      <c r="U14" s="1044"/>
      <c r="V14" s="1121"/>
      <c r="W14" s="1122"/>
      <c r="X14" s="1131"/>
      <c r="Y14" s="1125"/>
      <c r="AA14" s="1109"/>
      <c r="AB14" s="1111"/>
      <c r="AC14" s="1031" t="str">
        <f>IF(AB13="","",VLOOKUP(AB13,'Списки участников'!$A:$L,6,FALSE))</f>
        <v/>
      </c>
      <c r="AD14" s="1032" t="str">
        <f>IF(AP6="","",IF(AR6="l","W",AR6))</f>
        <v/>
      </c>
      <c r="AE14" s="1033" t="str">
        <f>IF(AQ6="","",":")</f>
        <v/>
      </c>
      <c r="AF14" s="1038" t="str">
        <f>IF(AR6="","",IF(AP6="W","L",AP6))</f>
        <v/>
      </c>
      <c r="AG14" s="1032" t="str">
        <f>IF(AP8="","",IF(AR8="l","W",AR8))</f>
        <v/>
      </c>
      <c r="AH14" s="1033" t="str">
        <f>IF(AQ8="","",":")</f>
        <v/>
      </c>
      <c r="AI14" s="1038" t="str">
        <f>IF(AR8="","",IF(AP8="W","L",AP8))</f>
        <v/>
      </c>
      <c r="AJ14" s="1032" t="str">
        <f>IF(AP10="","",IF(AR10="l","W",AR10))</f>
        <v/>
      </c>
      <c r="AK14" s="1033" t="str">
        <f>IF(AQ10="","",":")</f>
        <v/>
      </c>
      <c r="AL14" s="1038" t="str">
        <f>IF(AR10="","",IF(AP10="W","L",AP10))</f>
        <v/>
      </c>
      <c r="AM14" s="1032" t="str">
        <f>IF(AP12="","",IF(AR12="l","W",AR12))</f>
        <v/>
      </c>
      <c r="AN14" s="1033" t="str">
        <f>IF(AQ12="","",":")</f>
        <v/>
      </c>
      <c r="AO14" s="1038" t="str">
        <f>IF(AR12="","",IF(AP12="W","L",AP12))</f>
        <v/>
      </c>
      <c r="AP14" s="1129"/>
      <c r="AQ14" s="1114"/>
      <c r="AR14" s="1115"/>
      <c r="AS14" s="1044"/>
      <c r="AT14" s="1044"/>
      <c r="AU14" s="1044"/>
      <c r="AV14" s="1121"/>
      <c r="AW14" s="1122"/>
      <c r="AX14" s="1131"/>
      <c r="AY14" s="1125"/>
    </row>
    <row r="15" spans="1:51" ht="12" customHeight="1" x14ac:dyDescent="0.2">
      <c r="A15" s="1108">
        <v>6</v>
      </c>
      <c r="B15" s="1110"/>
      <c r="C15" s="1030" t="str">
        <f>IF(B15="","",VLOOKUP(B15,'Списки участников'!$A:$L,3,FALSE))</f>
        <v/>
      </c>
      <c r="D15" s="1116" t="str">
        <f>IF(S5="","",IF(S6="W",0,IF(S5=2,1,IF(S5=1,2,IF(S5=0,2)))))</f>
        <v/>
      </c>
      <c r="E15" s="1117"/>
      <c r="F15" s="1118"/>
      <c r="G15" s="1116" t="str">
        <f>IF(S7="","",IF(S8="W",0,IF(S7=2,1,IF(S7=1,2,IF(S7=0,2)))))</f>
        <v/>
      </c>
      <c r="H15" s="1117"/>
      <c r="I15" s="1118"/>
      <c r="J15" s="1116" t="str">
        <f>IF(S9="","",IF(S10="W",0,IF(S9=2,1,IF(S9=1,2,IF(S9=0,2)))))</f>
        <v/>
      </c>
      <c r="K15" s="1117"/>
      <c r="L15" s="1118"/>
      <c r="M15" s="1116" t="str">
        <f>IF(S11="","",IF(S12="W",0,IF(S11=2,1,IF(S11=1,2,IF(S11=0,2)))))</f>
        <v/>
      </c>
      <c r="N15" s="1117"/>
      <c r="O15" s="1118"/>
      <c r="P15" s="1116" t="str">
        <f>IF(S13="","",IF(S14="W",0,IF(S13=2,1,IF(S13=1,2,IF(S13=0,2)))))</f>
        <v/>
      </c>
      <c r="Q15" s="1117"/>
      <c r="R15" s="1118"/>
      <c r="S15" s="1126"/>
      <c r="T15" s="1127"/>
      <c r="U15" s="1128"/>
      <c r="V15" s="1119" t="str">
        <f t="shared" ref="V15" si="16">IF(B15="","",SUM(G15,J15,M15,P15,D15,S15))</f>
        <v/>
      </c>
      <c r="W15" s="1120"/>
      <c r="X15" s="1130"/>
      <c r="Y15" s="1125" t="str">
        <f t="shared" ref="Y15" si="17">IF(B15="","",RANK(V15,$V$5:$W$16))</f>
        <v/>
      </c>
      <c r="AA15" s="1108">
        <v>6</v>
      </c>
      <c r="AB15" s="1110"/>
      <c r="AC15" s="1030" t="str">
        <f>IF(AB15="","",VLOOKUP(AB15,'Списки участников'!$A:$L,3,FALSE))</f>
        <v/>
      </c>
      <c r="AD15" s="1116" t="str">
        <f>IF(AS5="","",IF(AS6="W",0,IF(AS5=2,1,IF(AS5=1,2,IF(AS5=0,2)))))</f>
        <v/>
      </c>
      <c r="AE15" s="1117"/>
      <c r="AF15" s="1118"/>
      <c r="AG15" s="1116" t="str">
        <f>IF(AS7="","",IF(AS8="W",0,IF(AS7=2,1,IF(AS7=1,2,IF(AS7=0,2)))))</f>
        <v/>
      </c>
      <c r="AH15" s="1117"/>
      <c r="AI15" s="1118"/>
      <c r="AJ15" s="1116" t="str">
        <f>IF(AS9="","",IF(AS10="W",0,IF(AS9=2,1,IF(AS9=1,2,IF(AS9=0,2)))))</f>
        <v/>
      </c>
      <c r="AK15" s="1117"/>
      <c r="AL15" s="1118"/>
      <c r="AM15" s="1116" t="str">
        <f>IF(AS11="","",IF(AS12="W",0,IF(AS11=2,1,IF(AS11=1,2,IF(AS11=0,2)))))</f>
        <v/>
      </c>
      <c r="AN15" s="1117"/>
      <c r="AO15" s="1118"/>
      <c r="AP15" s="1116" t="str">
        <f>IF(AS13="","",IF(AS14="W",0,IF(AS13=2,1,IF(AS13=1,2,IF(AS13=0,2)))))</f>
        <v/>
      </c>
      <c r="AQ15" s="1117"/>
      <c r="AR15" s="1118"/>
      <c r="AS15" s="1126"/>
      <c r="AT15" s="1127"/>
      <c r="AU15" s="1128"/>
      <c r="AV15" s="1119" t="str">
        <f t="shared" ref="AV15" si="18">IF(AB15="","",SUM(AG15,AJ15,AM15,AP15,AD15,AS15))</f>
        <v/>
      </c>
      <c r="AW15" s="1120"/>
      <c r="AX15" s="1130"/>
      <c r="AY15" s="1125" t="str">
        <f t="shared" ref="AY15" si="19">IF(AB15="","",RANK(AV15,$AV$5:$AW$16))</f>
        <v/>
      </c>
    </row>
    <row r="16" spans="1:51" ht="12" customHeight="1" x14ac:dyDescent="0.2">
      <c r="A16" s="1109"/>
      <c r="B16" s="1111"/>
      <c r="C16" s="1031" t="str">
        <f>IF(B15="","",VLOOKUP(B15,'Списки участников'!$A:$L,6,FALSE))</f>
        <v/>
      </c>
      <c r="D16" s="1032" t="str">
        <f>IF(S6="","",IF(U6="l","W",U6))</f>
        <v/>
      </c>
      <c r="E16" s="1033" t="str">
        <f>IF(T6="","",":")</f>
        <v/>
      </c>
      <c r="F16" s="1038" t="str">
        <f>IF(U6="","",IF(S6="W","L",S6))</f>
        <v/>
      </c>
      <c r="G16" s="1032" t="str">
        <f>IF(S8="","",IF(U8="l","W",U8))</f>
        <v/>
      </c>
      <c r="H16" s="1033" t="str">
        <f>IF(T8="","",":")</f>
        <v/>
      </c>
      <c r="I16" s="1038" t="str">
        <f>IF(U8="","",IF(S8="W","L",S8))</f>
        <v/>
      </c>
      <c r="J16" s="1032" t="str">
        <f>IF(S10="","",IF(U10="l","W",U10))</f>
        <v/>
      </c>
      <c r="K16" s="1033" t="str">
        <f>IF(T10="","",":")</f>
        <v/>
      </c>
      <c r="L16" s="1038" t="str">
        <f>IF(U10="","",IF(S10="W","L",S10))</f>
        <v/>
      </c>
      <c r="M16" s="1032" t="str">
        <f>IF(S12="","",IF(U12="l","W",U12))</f>
        <v/>
      </c>
      <c r="N16" s="1033" t="str">
        <f>IF(T12="","",":")</f>
        <v/>
      </c>
      <c r="O16" s="1038" t="str">
        <f>IF(U12="","",IF(S12="W","L",S12))</f>
        <v/>
      </c>
      <c r="P16" s="1032" t="str">
        <f>IF(S14="","",IF(U14="l","W",U14))</f>
        <v/>
      </c>
      <c r="Q16" s="1033" t="str">
        <f>IF(T14="","",":")</f>
        <v/>
      </c>
      <c r="R16" s="1038" t="str">
        <f>IF(U14="","",IF(S14="W","L",S14))</f>
        <v/>
      </c>
      <c r="S16" s="1129"/>
      <c r="T16" s="1114"/>
      <c r="U16" s="1115"/>
      <c r="V16" s="1121"/>
      <c r="W16" s="1122"/>
      <c r="X16" s="1131"/>
      <c r="Y16" s="1125"/>
      <c r="AA16" s="1109"/>
      <c r="AB16" s="1111"/>
      <c r="AC16" s="1031" t="str">
        <f>IF(AB15="","",VLOOKUP(AB15,'Списки участников'!$A:$L,6,FALSE))</f>
        <v/>
      </c>
      <c r="AD16" s="1032" t="str">
        <f>IF(AS6="","",IF(AU6="l","W",AU6))</f>
        <v/>
      </c>
      <c r="AE16" s="1033" t="str">
        <f>IF(AT6="","",":")</f>
        <v/>
      </c>
      <c r="AF16" s="1038" t="str">
        <f>IF(AU6="","",IF(AS6="W","L",AS6))</f>
        <v/>
      </c>
      <c r="AG16" s="1032" t="str">
        <f>IF(AS8="","",IF(AU8="l","W",AU8))</f>
        <v/>
      </c>
      <c r="AH16" s="1033" t="str">
        <f>IF(AT8="","",":")</f>
        <v/>
      </c>
      <c r="AI16" s="1038" t="str">
        <f>IF(AU8="","",IF(AS8="W","L",AS8))</f>
        <v/>
      </c>
      <c r="AJ16" s="1032" t="str">
        <f>IF(AS10="","",IF(AU10="l","W",AU10))</f>
        <v/>
      </c>
      <c r="AK16" s="1033" t="str">
        <f>IF(AT10="","",":")</f>
        <v/>
      </c>
      <c r="AL16" s="1038" t="str">
        <f>IF(AU10="","",IF(AS10="W","L",AS10))</f>
        <v/>
      </c>
      <c r="AM16" s="1032" t="str">
        <f>IF(AS12="","",IF(AU12="l","W",AU12))</f>
        <v/>
      </c>
      <c r="AN16" s="1033" t="str">
        <f>IF(AT12="","",":")</f>
        <v/>
      </c>
      <c r="AO16" s="1038" t="str">
        <f>IF(AU12="","",IF(AS12="W","L",AS12))</f>
        <v/>
      </c>
      <c r="AP16" s="1032" t="str">
        <f>IF(AS14="","",IF(AU14="l","W",AU14))</f>
        <v/>
      </c>
      <c r="AQ16" s="1033" t="str">
        <f>IF(AT14="","",":")</f>
        <v/>
      </c>
      <c r="AR16" s="1038" t="str">
        <f>IF(AU14="","",IF(AS14="W","L",AS14))</f>
        <v/>
      </c>
      <c r="AS16" s="1129"/>
      <c r="AT16" s="1114"/>
      <c r="AU16" s="1115"/>
      <c r="AV16" s="1121"/>
      <c r="AW16" s="1122"/>
      <c r="AX16" s="1131"/>
      <c r="AY16" s="1125"/>
    </row>
    <row r="17" spans="1:51" ht="12" customHeight="1" x14ac:dyDescent="0.25">
      <c r="A17" s="1024"/>
      <c r="B17" s="1024"/>
      <c r="C17" s="1025"/>
      <c r="D17" s="1024"/>
      <c r="E17" s="1024"/>
      <c r="F17" s="1024"/>
      <c r="G17" s="1102" t="s">
        <v>2800</v>
      </c>
      <c r="H17" s="1102"/>
      <c r="I17" s="1102"/>
      <c r="J17" s="1102"/>
      <c r="K17" s="1102"/>
      <c r="L17" s="1102"/>
      <c r="M17" s="1102"/>
      <c r="N17" s="1102"/>
      <c r="O17" s="1102"/>
      <c r="P17" s="1102"/>
      <c r="Q17" s="1102"/>
      <c r="R17" s="1102"/>
      <c r="S17" s="1041"/>
      <c r="T17" s="1041"/>
      <c r="U17" s="1041"/>
      <c r="V17" s="1024"/>
      <c r="W17" s="1024"/>
      <c r="X17" s="1024"/>
      <c r="Y17" s="1024"/>
      <c r="Z17" s="463"/>
      <c r="AA17" s="1024"/>
      <c r="AB17" s="1024"/>
      <c r="AC17" s="1025"/>
      <c r="AD17" s="1024"/>
      <c r="AE17" s="1024"/>
      <c r="AF17" s="1024"/>
      <c r="AG17" s="1102" t="s">
        <v>2615</v>
      </c>
      <c r="AH17" s="1102"/>
      <c r="AI17" s="1102"/>
      <c r="AJ17" s="1102"/>
      <c r="AK17" s="1102"/>
      <c r="AL17" s="1102"/>
      <c r="AM17" s="1102"/>
      <c r="AN17" s="1102"/>
      <c r="AO17" s="1102"/>
      <c r="AP17" s="1102"/>
      <c r="AQ17" s="1102"/>
      <c r="AR17" s="1102"/>
      <c r="AS17" s="1041"/>
      <c r="AT17" s="1041"/>
      <c r="AU17" s="1041"/>
      <c r="AV17" s="1024"/>
      <c r="AW17" s="1024"/>
      <c r="AX17" s="1024"/>
      <c r="AY17" s="1024"/>
    </row>
    <row r="18" spans="1:51" ht="12" customHeight="1" x14ac:dyDescent="0.2">
      <c r="A18" s="1026" t="s">
        <v>3</v>
      </c>
      <c r="B18" s="1027"/>
      <c r="C18" s="1028" t="s">
        <v>757</v>
      </c>
      <c r="D18" s="1103">
        <v>1</v>
      </c>
      <c r="E18" s="1104"/>
      <c r="F18" s="1105"/>
      <c r="G18" s="1103">
        <v>2</v>
      </c>
      <c r="H18" s="1104"/>
      <c r="I18" s="1105"/>
      <c r="J18" s="1103">
        <v>3</v>
      </c>
      <c r="K18" s="1104"/>
      <c r="L18" s="1105"/>
      <c r="M18" s="1103">
        <v>4</v>
      </c>
      <c r="N18" s="1104"/>
      <c r="O18" s="1105"/>
      <c r="P18" s="1103">
        <v>5</v>
      </c>
      <c r="Q18" s="1104"/>
      <c r="R18" s="1105"/>
      <c r="S18" s="1103">
        <v>6</v>
      </c>
      <c r="T18" s="1104"/>
      <c r="U18" s="1105"/>
      <c r="V18" s="1106" t="s">
        <v>758</v>
      </c>
      <c r="W18" s="1107"/>
      <c r="X18" s="1029" t="s">
        <v>759</v>
      </c>
      <c r="Y18" s="1042" t="s">
        <v>2803</v>
      </c>
      <c r="Z18" s="463"/>
      <c r="AA18" s="1026" t="s">
        <v>3</v>
      </c>
      <c r="AB18" s="1027"/>
      <c r="AC18" s="1028" t="s">
        <v>757</v>
      </c>
      <c r="AD18" s="1103">
        <v>1</v>
      </c>
      <c r="AE18" s="1104"/>
      <c r="AF18" s="1105"/>
      <c r="AG18" s="1103">
        <v>2</v>
      </c>
      <c r="AH18" s="1104"/>
      <c r="AI18" s="1105"/>
      <c r="AJ18" s="1103">
        <v>3</v>
      </c>
      <c r="AK18" s="1104"/>
      <c r="AL18" s="1105"/>
      <c r="AM18" s="1103">
        <v>4</v>
      </c>
      <c r="AN18" s="1104"/>
      <c r="AO18" s="1105"/>
      <c r="AP18" s="1103">
        <v>5</v>
      </c>
      <c r="AQ18" s="1104"/>
      <c r="AR18" s="1105"/>
      <c r="AS18" s="1103">
        <v>6</v>
      </c>
      <c r="AT18" s="1104"/>
      <c r="AU18" s="1105"/>
      <c r="AV18" s="1106" t="s">
        <v>758</v>
      </c>
      <c r="AW18" s="1107"/>
      <c r="AX18" s="1029" t="s">
        <v>759</v>
      </c>
      <c r="AY18" s="1042" t="s">
        <v>2803</v>
      </c>
    </row>
    <row r="19" spans="1:51" ht="12" customHeight="1" x14ac:dyDescent="0.2">
      <c r="A19" s="1108">
        <v>1</v>
      </c>
      <c r="B19" s="1110">
        <v>15</v>
      </c>
      <c r="C19" s="1030" t="str">
        <f>IF(B19="","",VLOOKUP(B19,'Списки участников'!A:L,3,FALSE))</f>
        <v>ГРАЧЕВ Дмитрий</v>
      </c>
      <c r="D19" s="1112"/>
      <c r="E19" s="1112"/>
      <c r="F19" s="1113"/>
      <c r="G19" s="1116">
        <v>1</v>
      </c>
      <c r="H19" s="1117"/>
      <c r="I19" s="1118"/>
      <c r="J19" s="1116">
        <v>1</v>
      </c>
      <c r="K19" s="1117"/>
      <c r="L19" s="1118"/>
      <c r="M19" s="1116"/>
      <c r="N19" s="1117"/>
      <c r="O19" s="1118"/>
      <c r="P19" s="1116"/>
      <c r="Q19" s="1117"/>
      <c r="R19" s="1118"/>
      <c r="S19" s="1116"/>
      <c r="T19" s="1117"/>
      <c r="U19" s="1118"/>
      <c r="V19" s="1119">
        <f>IF(B19="","",SUM(G19,J19,M19,P19,D19,S19))</f>
        <v>2</v>
      </c>
      <c r="W19" s="1120"/>
      <c r="X19" s="1123"/>
      <c r="Y19" s="1125">
        <f>IF(B19="","",RANK(V19,$V$19:$W$30))</f>
        <v>3</v>
      </c>
      <c r="Z19" s="463"/>
      <c r="AA19" s="1108">
        <v>1</v>
      </c>
      <c r="AB19" s="1110"/>
      <c r="AC19" s="1030" t="str">
        <f>IF(AB19="","",VLOOKUP(AB19,'Списки участников'!$A:$L,3,FALSE))</f>
        <v/>
      </c>
      <c r="AD19" s="1112"/>
      <c r="AE19" s="1112"/>
      <c r="AF19" s="1113"/>
      <c r="AG19" s="1116"/>
      <c r="AH19" s="1117"/>
      <c r="AI19" s="1118"/>
      <c r="AJ19" s="1116"/>
      <c r="AK19" s="1117"/>
      <c r="AL19" s="1118"/>
      <c r="AM19" s="1116"/>
      <c r="AN19" s="1117"/>
      <c r="AO19" s="1118"/>
      <c r="AP19" s="1116"/>
      <c r="AQ19" s="1117"/>
      <c r="AR19" s="1118"/>
      <c r="AS19" s="1116"/>
      <c r="AT19" s="1117"/>
      <c r="AU19" s="1118"/>
      <c r="AV19" s="1119" t="str">
        <f>IF(AB19="","",SUM(AG19,AJ19,AM19,AP19,AD19,AS19))</f>
        <v/>
      </c>
      <c r="AW19" s="1120"/>
      <c r="AX19" s="1123"/>
      <c r="AY19" s="1125" t="str">
        <f>IF(AB19="","",RANK(AV19,$AV$19:$AW$30))</f>
        <v/>
      </c>
    </row>
    <row r="20" spans="1:51" ht="12" customHeight="1" x14ac:dyDescent="0.2">
      <c r="A20" s="1109"/>
      <c r="B20" s="1111"/>
      <c r="C20" s="1031" t="str">
        <f>IF(B19="","",VLOOKUP(B19,'Списки участников'!$A:$L,6,FALSE))</f>
        <v>ТПП</v>
      </c>
      <c r="D20" s="1114"/>
      <c r="E20" s="1114"/>
      <c r="F20" s="1115"/>
      <c r="G20" s="1032">
        <v>0</v>
      </c>
      <c r="H20" s="1033" t="str">
        <f>IF(G19="","",":")</f>
        <v>:</v>
      </c>
      <c r="I20" s="1034">
        <v>2</v>
      </c>
      <c r="J20" s="1032">
        <v>1</v>
      </c>
      <c r="K20" s="1033" t="str">
        <f>IF(J19="","",":")</f>
        <v>:</v>
      </c>
      <c r="L20" s="1034">
        <v>2</v>
      </c>
      <c r="M20" s="1032"/>
      <c r="N20" s="1033" t="str">
        <f>IF(M20="","",":")</f>
        <v/>
      </c>
      <c r="O20" s="1034"/>
      <c r="P20" s="1032"/>
      <c r="Q20" s="1033" t="str">
        <f>IF(P20="","",":")</f>
        <v/>
      </c>
      <c r="R20" s="1034"/>
      <c r="S20" s="1043"/>
      <c r="T20" s="1043"/>
      <c r="U20" s="1043"/>
      <c r="V20" s="1121"/>
      <c r="W20" s="1122"/>
      <c r="X20" s="1124"/>
      <c r="Y20" s="1125"/>
      <c r="Z20" s="463"/>
      <c r="AA20" s="1109"/>
      <c r="AB20" s="1111"/>
      <c r="AC20" s="1031" t="str">
        <f>IF(AB19="","",VLOOKUP(AB19,'Списки участников'!$A:$L,6,FALSE))</f>
        <v/>
      </c>
      <c r="AD20" s="1114"/>
      <c r="AE20" s="1114"/>
      <c r="AF20" s="1115"/>
      <c r="AG20" s="1032"/>
      <c r="AH20" s="1033" t="str">
        <f>IF(AG19="","",":")</f>
        <v/>
      </c>
      <c r="AI20" s="1034"/>
      <c r="AJ20" s="1032"/>
      <c r="AK20" s="1033" t="str">
        <f>IF(AJ19="","",":")</f>
        <v/>
      </c>
      <c r="AL20" s="1034"/>
      <c r="AM20" s="1032"/>
      <c r="AN20" s="1033" t="str">
        <f>IF(AM20="","",":")</f>
        <v/>
      </c>
      <c r="AO20" s="1034"/>
      <c r="AP20" s="1032"/>
      <c r="AQ20" s="1033" t="str">
        <f>IF(AP20="","",":")</f>
        <v/>
      </c>
      <c r="AR20" s="1034"/>
      <c r="AS20" s="1043"/>
      <c r="AT20" s="1043"/>
      <c r="AU20" s="1043"/>
      <c r="AV20" s="1121"/>
      <c r="AW20" s="1122"/>
      <c r="AX20" s="1124"/>
      <c r="AY20" s="1125"/>
    </row>
    <row r="21" spans="1:51" ht="12" customHeight="1" x14ac:dyDescent="0.2">
      <c r="A21" s="1108">
        <v>2</v>
      </c>
      <c r="B21" s="1110">
        <v>6</v>
      </c>
      <c r="C21" s="1030" t="str">
        <f>IF(B21="","",VLOOKUP(B21,'Списки участников'!A:L,3,FALSE))</f>
        <v>ЯШУНИН Андрей</v>
      </c>
      <c r="D21" s="1116">
        <f>IF(G19="","",IF(G20="W",0,IF(G19=2,1,IF(G19=1,2,IF(G19=0,2)))))</f>
        <v>2</v>
      </c>
      <c r="E21" s="1117"/>
      <c r="F21" s="1118"/>
      <c r="G21" s="1126"/>
      <c r="H21" s="1127"/>
      <c r="I21" s="1128"/>
      <c r="J21" s="1116">
        <v>2</v>
      </c>
      <c r="K21" s="1117"/>
      <c r="L21" s="1118"/>
      <c r="M21" s="1116"/>
      <c r="N21" s="1117"/>
      <c r="O21" s="1118"/>
      <c r="P21" s="1116"/>
      <c r="Q21" s="1117"/>
      <c r="R21" s="1118"/>
      <c r="S21" s="1116"/>
      <c r="T21" s="1117"/>
      <c r="U21" s="1118"/>
      <c r="V21" s="1119">
        <f t="shared" ref="V21" si="20">IF(B21="","",SUM(G21,J21,M21,P21,D21,S21))</f>
        <v>4</v>
      </c>
      <c r="W21" s="1120"/>
      <c r="X21" s="1123"/>
      <c r="Y21" s="1125">
        <f t="shared" ref="Y21" si="21">IF(B21="","",RANK(V21,$V$19:$W$30))</f>
        <v>1</v>
      </c>
      <c r="Z21" s="463"/>
      <c r="AA21" s="1108">
        <v>2</v>
      </c>
      <c r="AB21" s="1110"/>
      <c r="AC21" s="1030" t="str">
        <f>IF(AB21="","",VLOOKUP(AB21,'Списки участников'!$A:$L,3,FALSE))</f>
        <v/>
      </c>
      <c r="AD21" s="1116" t="str">
        <f>IF(AG19="","",IF(AG20="W",0,IF(AG19=2,1,IF(AG19=1,2,IF(AG19=0,2)))))</f>
        <v/>
      </c>
      <c r="AE21" s="1117"/>
      <c r="AF21" s="1118"/>
      <c r="AG21" s="1126"/>
      <c r="AH21" s="1127"/>
      <c r="AI21" s="1128"/>
      <c r="AJ21" s="1116"/>
      <c r="AK21" s="1117"/>
      <c r="AL21" s="1118"/>
      <c r="AM21" s="1116"/>
      <c r="AN21" s="1117"/>
      <c r="AO21" s="1118"/>
      <c r="AP21" s="1116"/>
      <c r="AQ21" s="1117"/>
      <c r="AR21" s="1118"/>
      <c r="AS21" s="1116"/>
      <c r="AT21" s="1117"/>
      <c r="AU21" s="1118"/>
      <c r="AV21" s="1119" t="str">
        <f t="shared" ref="AV21" si="22">IF(AB21="","",SUM(AG21,AJ21,AM21,AP21,AD21,AS21))</f>
        <v/>
      </c>
      <c r="AW21" s="1120"/>
      <c r="AX21" s="1123"/>
      <c r="AY21" s="1125" t="str">
        <f t="shared" ref="AY21" si="23">IF(AB21="","",RANK(AV21,$AV$19:$AW$30))</f>
        <v/>
      </c>
    </row>
    <row r="22" spans="1:51" ht="12" customHeight="1" x14ac:dyDescent="0.2">
      <c r="A22" s="1109"/>
      <c r="B22" s="1111"/>
      <c r="C22" s="1031" t="str">
        <f>IF(B21="","",VLOOKUP(B21,'Списки участников'!$A:$L,6,FALSE))</f>
        <v>ОАО АНПП "ТЕМП-АВИА"</v>
      </c>
      <c r="D22" s="1035">
        <f>IF(G20="","",IF(I20="l","W",I20))</f>
        <v>2</v>
      </c>
      <c r="E22" s="1036" t="str">
        <f>IF(G19="","",":")</f>
        <v>:</v>
      </c>
      <c r="F22" s="1037">
        <f>IF(I20="","",IF(G20="W","L",G20))</f>
        <v>0</v>
      </c>
      <c r="G22" s="1129"/>
      <c r="H22" s="1114"/>
      <c r="I22" s="1115"/>
      <c r="J22" s="1032">
        <v>2</v>
      </c>
      <c r="K22" s="1033" t="str">
        <f>IF(J21="","",":")</f>
        <v>:</v>
      </c>
      <c r="L22" s="1034">
        <v>0</v>
      </c>
      <c r="M22" s="1032"/>
      <c r="N22" s="1033" t="str">
        <f>IF(M21="","",":")</f>
        <v/>
      </c>
      <c r="O22" s="1034"/>
      <c r="P22" s="1032"/>
      <c r="Q22" s="1033" t="str">
        <f>IF(P21="","",":")</f>
        <v/>
      </c>
      <c r="R22" s="1034"/>
      <c r="S22" s="1043"/>
      <c r="T22" s="1043"/>
      <c r="U22" s="1043"/>
      <c r="V22" s="1121"/>
      <c r="W22" s="1122"/>
      <c r="X22" s="1124"/>
      <c r="Y22" s="1125"/>
      <c r="Z22" s="463"/>
      <c r="AA22" s="1109"/>
      <c r="AB22" s="1111"/>
      <c r="AC22" s="1031" t="str">
        <f>IF(AB21="","",VLOOKUP(AB21,'Списки участников'!$A:$L,6,FALSE))</f>
        <v/>
      </c>
      <c r="AD22" s="1035" t="str">
        <f>IF(AG20="","",IF(AI20="l","W",AI20))</f>
        <v/>
      </c>
      <c r="AE22" s="1036" t="str">
        <f>IF(AG19="","",":")</f>
        <v/>
      </c>
      <c r="AF22" s="1037" t="str">
        <f>IF(AI20="","",IF(AG20="W","L",AG20))</f>
        <v/>
      </c>
      <c r="AG22" s="1129"/>
      <c r="AH22" s="1114"/>
      <c r="AI22" s="1115"/>
      <c r="AJ22" s="1032"/>
      <c r="AK22" s="1033" t="str">
        <f>IF(AJ21="","",":")</f>
        <v/>
      </c>
      <c r="AL22" s="1034"/>
      <c r="AM22" s="1032"/>
      <c r="AN22" s="1033" t="str">
        <f>IF(AM21="","",":")</f>
        <v/>
      </c>
      <c r="AO22" s="1034"/>
      <c r="AP22" s="1032"/>
      <c r="AQ22" s="1033" t="str">
        <f>IF(AP21="","",":")</f>
        <v/>
      </c>
      <c r="AR22" s="1034"/>
      <c r="AS22" s="1043"/>
      <c r="AT22" s="1043"/>
      <c r="AU22" s="1043"/>
      <c r="AV22" s="1121"/>
      <c r="AW22" s="1122"/>
      <c r="AX22" s="1124"/>
      <c r="AY22" s="1125"/>
    </row>
    <row r="23" spans="1:51" ht="12" customHeight="1" x14ac:dyDescent="0.2">
      <c r="A23" s="1108">
        <v>3</v>
      </c>
      <c r="B23" s="1110">
        <v>42</v>
      </c>
      <c r="C23" s="1030" t="str">
        <f>IF(B23="","",VLOOKUP(B23,'Списки участников'!A:L,3,FALSE))</f>
        <v>ПАНИН Сергей</v>
      </c>
      <c r="D23" s="1116">
        <f>IF(J19="","",IF(J20="W",0,IF(J19=2,1,IF(J19=1,2,IF(J19=0,2)))))</f>
        <v>2</v>
      </c>
      <c r="E23" s="1117"/>
      <c r="F23" s="1118"/>
      <c r="G23" s="1116">
        <f>IF(J21="","",IF(J22="W",0,IF(J21=2,1,IF(J21=1,2,IF(J21=0,2)))))</f>
        <v>1</v>
      </c>
      <c r="H23" s="1117"/>
      <c r="I23" s="1118"/>
      <c r="J23" s="1126"/>
      <c r="K23" s="1127"/>
      <c r="L23" s="1128"/>
      <c r="M23" s="1116"/>
      <c r="N23" s="1117"/>
      <c r="O23" s="1118"/>
      <c r="P23" s="1116"/>
      <c r="Q23" s="1117"/>
      <c r="R23" s="1118"/>
      <c r="S23" s="1116"/>
      <c r="T23" s="1117"/>
      <c r="U23" s="1118"/>
      <c r="V23" s="1119">
        <f t="shared" ref="V23" si="24">IF(B23="","",SUM(G23,J23,M23,P23,D23,S23))</f>
        <v>3</v>
      </c>
      <c r="W23" s="1120"/>
      <c r="X23" s="1130"/>
      <c r="Y23" s="1125">
        <f t="shared" ref="Y23" si="25">IF(B23="","",RANK(V23,$V$19:$W$30))</f>
        <v>2</v>
      </c>
      <c r="Z23" s="463"/>
      <c r="AA23" s="1108">
        <v>3</v>
      </c>
      <c r="AB23" s="1110"/>
      <c r="AC23" s="1030" t="str">
        <f>IF(AB23="","",VLOOKUP(AB23,'Списки участников'!$A:$L,3,FALSE))</f>
        <v/>
      </c>
      <c r="AD23" s="1116" t="str">
        <f>IF(AJ19="","",IF(AJ20="W",0,IF(AJ19=2,1,IF(AJ19=1,2,IF(AJ19=0,2)))))</f>
        <v/>
      </c>
      <c r="AE23" s="1117"/>
      <c r="AF23" s="1118"/>
      <c r="AG23" s="1116" t="str">
        <f>IF(AJ21="","",IF(AJ22="W",0,IF(AJ21=2,1,IF(AJ21=1,2,IF(AJ21=0,2)))))</f>
        <v/>
      </c>
      <c r="AH23" s="1117"/>
      <c r="AI23" s="1118"/>
      <c r="AJ23" s="1126"/>
      <c r="AK23" s="1127"/>
      <c r="AL23" s="1128"/>
      <c r="AM23" s="1116"/>
      <c r="AN23" s="1117"/>
      <c r="AO23" s="1118"/>
      <c r="AP23" s="1116"/>
      <c r="AQ23" s="1117"/>
      <c r="AR23" s="1118"/>
      <c r="AS23" s="1116"/>
      <c r="AT23" s="1117"/>
      <c r="AU23" s="1118"/>
      <c r="AV23" s="1119" t="str">
        <f t="shared" ref="AV23" si="26">IF(AB23="","",SUM(AG23,AJ23,AM23,AP23,AD23,AS23))</f>
        <v/>
      </c>
      <c r="AW23" s="1120"/>
      <c r="AX23" s="1130"/>
      <c r="AY23" s="1125" t="str">
        <f t="shared" ref="AY23" si="27">IF(AB23="","",RANK(AV23,$AV$19:$AW$30))</f>
        <v/>
      </c>
    </row>
    <row r="24" spans="1:51" ht="12" customHeight="1" x14ac:dyDescent="0.2">
      <c r="A24" s="1109"/>
      <c r="B24" s="1111"/>
      <c r="C24" s="1031" t="str">
        <f>IF(B23="","",VLOOKUP(B23,'Списки участников'!$A:$L,6,FALSE))</f>
        <v>ЗАО "НПП "Салют-27"</v>
      </c>
      <c r="D24" s="1032">
        <f>IF(J20="","",IF(L20="l","W",L20))</f>
        <v>2</v>
      </c>
      <c r="E24" s="1033" t="str">
        <f>IF(K20="","",":")</f>
        <v>:</v>
      </c>
      <c r="F24" s="1038">
        <f>IF(L20="","",IF(J20="W","L",J20))</f>
        <v>1</v>
      </c>
      <c r="G24" s="1032">
        <f>IF(J22="","",IF(L22="l","W",L22))</f>
        <v>0</v>
      </c>
      <c r="H24" s="1033" t="str">
        <f>IF(K22="","",":")</f>
        <v>:</v>
      </c>
      <c r="I24" s="1038">
        <f>IF(L22="","",IF(J22="W","L",J22))</f>
        <v>2</v>
      </c>
      <c r="J24" s="1129"/>
      <c r="K24" s="1114"/>
      <c r="L24" s="1115"/>
      <c r="M24" s="1032"/>
      <c r="N24" s="1033" t="str">
        <f>IF(M23="","",":")</f>
        <v/>
      </c>
      <c r="O24" s="1034"/>
      <c r="P24" s="1032"/>
      <c r="Q24" s="1033" t="str">
        <f>IF(P23="","",":")</f>
        <v/>
      </c>
      <c r="R24" s="1034"/>
      <c r="S24" s="1043"/>
      <c r="T24" s="1043"/>
      <c r="U24" s="1043"/>
      <c r="V24" s="1121"/>
      <c r="W24" s="1122"/>
      <c r="X24" s="1131"/>
      <c r="Y24" s="1125"/>
      <c r="Z24" s="463"/>
      <c r="AA24" s="1109"/>
      <c r="AB24" s="1111"/>
      <c r="AC24" s="1031" t="str">
        <f>IF(AB23="","",VLOOKUP(AB23,'Списки участников'!$A:$L,6,FALSE))</f>
        <v/>
      </c>
      <c r="AD24" s="1032" t="str">
        <f>IF(AJ20="","",IF(AL20="l","W",AL20))</f>
        <v/>
      </c>
      <c r="AE24" s="1033" t="str">
        <f>IF(AK20="","",":")</f>
        <v/>
      </c>
      <c r="AF24" s="1038" t="str">
        <f>IF(AL20="","",IF(AJ20="W","L",AJ20))</f>
        <v/>
      </c>
      <c r="AG24" s="1032" t="str">
        <f>IF(AJ22="","",IF(AL22="l","W",AL22))</f>
        <v/>
      </c>
      <c r="AH24" s="1033" t="str">
        <f>IF(AK22="","",":")</f>
        <v/>
      </c>
      <c r="AI24" s="1038" t="str">
        <f>IF(AL22="","",IF(AJ22="W","L",AJ22))</f>
        <v/>
      </c>
      <c r="AJ24" s="1129"/>
      <c r="AK24" s="1114"/>
      <c r="AL24" s="1115"/>
      <c r="AM24" s="1032"/>
      <c r="AN24" s="1033" t="str">
        <f>IF(AM23="","",":")</f>
        <v/>
      </c>
      <c r="AO24" s="1034"/>
      <c r="AP24" s="1032"/>
      <c r="AQ24" s="1033" t="str">
        <f>IF(AP23="","",":")</f>
        <v/>
      </c>
      <c r="AR24" s="1034"/>
      <c r="AS24" s="1043"/>
      <c r="AT24" s="1043"/>
      <c r="AU24" s="1043"/>
      <c r="AV24" s="1121"/>
      <c r="AW24" s="1122"/>
      <c r="AX24" s="1131"/>
      <c r="AY24" s="1125"/>
    </row>
    <row r="25" spans="1:51" ht="12" customHeight="1" x14ac:dyDescent="0.2">
      <c r="A25" s="1108">
        <v>4</v>
      </c>
      <c r="B25" s="1110"/>
      <c r="C25" s="1030" t="str">
        <f>IF(B25="","",VLOOKUP(B25,'Списки участников'!A:L,3,FALSE))</f>
        <v/>
      </c>
      <c r="D25" s="1116" t="str">
        <f>IF(M19="","",IF(M20="W",0,IF(M19=2,1,IF(M19=1,2,IF(M19=0,2)))))</f>
        <v/>
      </c>
      <c r="E25" s="1117"/>
      <c r="F25" s="1118"/>
      <c r="G25" s="1116" t="str">
        <f>IF(M21="","",IF(M22="W",0,IF(M21=2,1,IF(M21=1,2,IF(M21=0,2)))))</f>
        <v/>
      </c>
      <c r="H25" s="1117"/>
      <c r="I25" s="1118"/>
      <c r="J25" s="1116" t="str">
        <f>IF(M23="","",IF(M24="W",0,IF(M23=2,1,IF(M23=1,2,IF(M23=0,2)))))</f>
        <v/>
      </c>
      <c r="K25" s="1117"/>
      <c r="L25" s="1118"/>
      <c r="M25" s="1127"/>
      <c r="N25" s="1127"/>
      <c r="O25" s="1127"/>
      <c r="P25" s="1116"/>
      <c r="Q25" s="1117"/>
      <c r="R25" s="1118"/>
      <c r="S25" s="1116"/>
      <c r="T25" s="1117"/>
      <c r="U25" s="1118"/>
      <c r="V25" s="1119" t="str">
        <f t="shared" ref="V25" si="28">IF(B25="","",SUM(G25,J25,M25,P25,D25,S25))</f>
        <v/>
      </c>
      <c r="W25" s="1120"/>
      <c r="X25" s="1130"/>
      <c r="Y25" s="1125" t="str">
        <f t="shared" ref="Y25" si="29">IF(B25="","",RANK(V25,$V$19:$W$30))</f>
        <v/>
      </c>
      <c r="Z25" s="463"/>
      <c r="AA25" s="1108">
        <v>4</v>
      </c>
      <c r="AB25" s="1110"/>
      <c r="AC25" s="1030" t="str">
        <f>IF(AB25="","",VLOOKUP(AB25,'Списки участников'!$A:$L,3,FALSE))</f>
        <v/>
      </c>
      <c r="AD25" s="1116" t="str">
        <f>IF(AM19="","",IF(AM20="W",0,IF(AM19=2,1,IF(AM19=1,2,IF(AM19=0,2)))))</f>
        <v/>
      </c>
      <c r="AE25" s="1117"/>
      <c r="AF25" s="1118"/>
      <c r="AG25" s="1116" t="str">
        <f>IF(AM21="","",IF(AM22="W",0,IF(AM21=2,1,IF(AM21=1,2,IF(AM21=0,2)))))</f>
        <v/>
      </c>
      <c r="AH25" s="1117"/>
      <c r="AI25" s="1118"/>
      <c r="AJ25" s="1116" t="str">
        <f>IF(AM23="","",IF(AM24="W",0,IF(AM23=2,1,IF(AM23=1,2,IF(AM23=0,2)))))</f>
        <v/>
      </c>
      <c r="AK25" s="1117"/>
      <c r="AL25" s="1118"/>
      <c r="AM25" s="1127"/>
      <c r="AN25" s="1127"/>
      <c r="AO25" s="1127"/>
      <c r="AP25" s="1116"/>
      <c r="AQ25" s="1117"/>
      <c r="AR25" s="1118"/>
      <c r="AS25" s="1116"/>
      <c r="AT25" s="1117"/>
      <c r="AU25" s="1118"/>
      <c r="AV25" s="1119" t="str">
        <f t="shared" ref="AV25" si="30">IF(AB25="","",SUM(AG25,AJ25,AM25,AP25,AD25,AS25))</f>
        <v/>
      </c>
      <c r="AW25" s="1120"/>
      <c r="AX25" s="1130"/>
      <c r="AY25" s="1125" t="str">
        <f t="shared" ref="AY25" si="31">IF(AB25="","",RANK(AV25,$AV$19:$AW$30))</f>
        <v/>
      </c>
    </row>
    <row r="26" spans="1:51" ht="12" customHeight="1" x14ac:dyDescent="0.2">
      <c r="A26" s="1109"/>
      <c r="B26" s="1111"/>
      <c r="C26" s="1031" t="str">
        <f>IF(B25="","",VLOOKUP(B25,'Списки участников'!$A:$L,6,FALSE))</f>
        <v/>
      </c>
      <c r="D26" s="1032" t="str">
        <f>IF(M20="","",IF(O20="l","W",O20))</f>
        <v/>
      </c>
      <c r="E26" s="1033" t="str">
        <f>IF(N20="","",":")</f>
        <v/>
      </c>
      <c r="F26" s="1038" t="str">
        <f>IF(O20="","",IF(M20="W","L",M20))</f>
        <v/>
      </c>
      <c r="G26" s="1032" t="str">
        <f>IF(M22="","",IF(O22="l","W",O22))</f>
        <v/>
      </c>
      <c r="H26" s="1033" t="str">
        <f>IF(N22="","",":")</f>
        <v/>
      </c>
      <c r="I26" s="1038" t="str">
        <f>IF(O22="","",IF(M22="W","L",M22))</f>
        <v/>
      </c>
      <c r="J26" s="1032" t="str">
        <f>IF(M24="","",IF(O24="l","W",O24))</f>
        <v/>
      </c>
      <c r="K26" s="1033" t="str">
        <f>IF(N24="","",":")</f>
        <v/>
      </c>
      <c r="L26" s="1038" t="str">
        <f>IF(O24="","",IF(M24="W","L",M24))</f>
        <v/>
      </c>
      <c r="M26" s="1132"/>
      <c r="N26" s="1132"/>
      <c r="O26" s="1132"/>
      <c r="P26" s="1032"/>
      <c r="Q26" s="1033" t="str">
        <f>IF(P25="","",":")</f>
        <v/>
      </c>
      <c r="R26" s="1034"/>
      <c r="S26" s="1043"/>
      <c r="T26" s="1043"/>
      <c r="U26" s="1043"/>
      <c r="V26" s="1121"/>
      <c r="W26" s="1122"/>
      <c r="X26" s="1131"/>
      <c r="Y26" s="1125"/>
      <c r="Z26" s="463"/>
      <c r="AA26" s="1109"/>
      <c r="AB26" s="1111"/>
      <c r="AC26" s="1031" t="str">
        <f>IF(AB25="","",VLOOKUP(AB25,'Списки участников'!$A:$L,6,FALSE))</f>
        <v/>
      </c>
      <c r="AD26" s="1032" t="str">
        <f>IF(AM20="","",IF(AO20="l","W",AO20))</f>
        <v/>
      </c>
      <c r="AE26" s="1033" t="str">
        <f>IF(AN20="","",":")</f>
        <v/>
      </c>
      <c r="AF26" s="1038" t="str">
        <f>IF(AO20="","",IF(AM20="W","L",AM20))</f>
        <v/>
      </c>
      <c r="AG26" s="1032" t="str">
        <f>IF(AM22="","",IF(AO22="l","W",AO22))</f>
        <v/>
      </c>
      <c r="AH26" s="1033" t="str">
        <f>IF(AN22="","",":")</f>
        <v/>
      </c>
      <c r="AI26" s="1038" t="str">
        <f>IF(AO22="","",IF(AM22="W","L",AM22))</f>
        <v/>
      </c>
      <c r="AJ26" s="1032" t="str">
        <f>IF(AM24="","",IF(AO24="l","W",AO24))</f>
        <v/>
      </c>
      <c r="AK26" s="1033" t="str">
        <f>IF(AN24="","",":")</f>
        <v/>
      </c>
      <c r="AL26" s="1038" t="str">
        <f>IF(AO24="","",IF(AM24="W","L",AM24))</f>
        <v/>
      </c>
      <c r="AM26" s="1132"/>
      <c r="AN26" s="1132"/>
      <c r="AO26" s="1132"/>
      <c r="AP26" s="1032"/>
      <c r="AQ26" s="1033" t="str">
        <f>IF(AP25="","",":")</f>
        <v/>
      </c>
      <c r="AR26" s="1034"/>
      <c r="AS26" s="1043"/>
      <c r="AT26" s="1043"/>
      <c r="AU26" s="1043"/>
      <c r="AV26" s="1121"/>
      <c r="AW26" s="1122"/>
      <c r="AX26" s="1131"/>
      <c r="AY26" s="1125"/>
    </row>
    <row r="27" spans="1:51" ht="12" customHeight="1" x14ac:dyDescent="0.2">
      <c r="A27" s="1108">
        <v>5</v>
      </c>
      <c r="B27" s="1110"/>
      <c r="C27" s="1030" t="str">
        <f>IF(B27="","",VLOOKUP(B27,'Списки участников'!A:L,3,FALSE))</f>
        <v/>
      </c>
      <c r="D27" s="1116" t="str">
        <f>IF(P19="","",IF(P20="W",0,IF(P19=2,1,IF(P19=1,2,IF(P19=0,2)))))</f>
        <v/>
      </c>
      <c r="E27" s="1117"/>
      <c r="F27" s="1118"/>
      <c r="G27" s="1116" t="str">
        <f>IF(P21="","",IF(P22="W",0,IF(P21=2,1,IF(P21=1,2,IF(P21=0,2)))))</f>
        <v/>
      </c>
      <c r="H27" s="1117"/>
      <c r="I27" s="1118"/>
      <c r="J27" s="1116" t="str">
        <f>IF(P23="","",IF(P24="W",0,IF(P23=2,1,IF(P23=1,2,IF(P23=0,2)))))</f>
        <v/>
      </c>
      <c r="K27" s="1117"/>
      <c r="L27" s="1118"/>
      <c r="M27" s="1116" t="str">
        <f>IF(P25="","",IF(P26="W",0,IF(P25=2,1,IF(P25=1,2,IF(P25=0,2)))))</f>
        <v/>
      </c>
      <c r="N27" s="1117"/>
      <c r="O27" s="1118"/>
      <c r="P27" s="1126"/>
      <c r="Q27" s="1127"/>
      <c r="R27" s="1128"/>
      <c r="S27" s="1116"/>
      <c r="T27" s="1117"/>
      <c r="U27" s="1118"/>
      <c r="V27" s="1119" t="str">
        <f t="shared" ref="V27" si="32">IF(B27="","",SUM(G27,J27,M27,P27,D27,S27))</f>
        <v/>
      </c>
      <c r="W27" s="1120"/>
      <c r="X27" s="1130"/>
      <c r="Y27" s="1125" t="str">
        <f t="shared" ref="Y27" si="33">IF(B27="","",RANK(V27,$V$19:$W$30))</f>
        <v/>
      </c>
      <c r="Z27" s="463"/>
      <c r="AA27" s="1108">
        <v>5</v>
      </c>
      <c r="AB27" s="1110"/>
      <c r="AC27" s="1030" t="str">
        <f>IF(AB27="","",VLOOKUP(AB27,'Списки участников'!$A:$L,3,FALSE))</f>
        <v/>
      </c>
      <c r="AD27" s="1116" t="str">
        <f>IF(AP19="","",IF(AP20="W",0,IF(AP19=2,1,IF(AP19=1,2,IF(AP19=0,2)))))</f>
        <v/>
      </c>
      <c r="AE27" s="1117"/>
      <c r="AF27" s="1118"/>
      <c r="AG27" s="1116" t="str">
        <f>IF(AP21="","",IF(AP22="W",0,IF(AP21=2,1,IF(AP21=1,2,IF(AP21=0,2)))))</f>
        <v/>
      </c>
      <c r="AH27" s="1117"/>
      <c r="AI27" s="1118"/>
      <c r="AJ27" s="1116" t="str">
        <f>IF(AP23="","",IF(AP24="W",0,IF(AP23=2,1,IF(AP23=1,2,IF(AP23=0,2)))))</f>
        <v/>
      </c>
      <c r="AK27" s="1117"/>
      <c r="AL27" s="1118"/>
      <c r="AM27" s="1116" t="str">
        <f>IF(AP25="","",IF(AP26="W",0,IF(AP25=2,1,IF(AP25=1,2,IF(AP25=0,2)))))</f>
        <v/>
      </c>
      <c r="AN27" s="1117"/>
      <c r="AO27" s="1118"/>
      <c r="AP27" s="1126"/>
      <c r="AQ27" s="1127"/>
      <c r="AR27" s="1128"/>
      <c r="AS27" s="1116"/>
      <c r="AT27" s="1117"/>
      <c r="AU27" s="1118"/>
      <c r="AV27" s="1119" t="str">
        <f t="shared" ref="AV27" si="34">IF(AB27="","",SUM(AG27,AJ27,AM27,AP27,AD27,AS27))</f>
        <v/>
      </c>
      <c r="AW27" s="1120"/>
      <c r="AX27" s="1130"/>
      <c r="AY27" s="1125" t="str">
        <f t="shared" ref="AY27" si="35">IF(AB27="","",RANK(AV27,$AV$19:$AW$30))</f>
        <v/>
      </c>
    </row>
    <row r="28" spans="1:51" ht="12" customHeight="1" x14ac:dyDescent="0.2">
      <c r="A28" s="1109"/>
      <c r="B28" s="1111"/>
      <c r="C28" s="1031" t="str">
        <f>IF(B27="","",VLOOKUP(B27,'Списки участников'!$A:$L,6,FALSE))</f>
        <v/>
      </c>
      <c r="D28" s="1032" t="str">
        <f>IF(P20="","",IF(R20="l","W",R20))</f>
        <v/>
      </c>
      <c r="E28" s="1033" t="str">
        <f>IF(Q20="","",":")</f>
        <v/>
      </c>
      <c r="F28" s="1038" t="str">
        <f>IF(R20="","",IF(P20="W","L",P20))</f>
        <v/>
      </c>
      <c r="G28" s="1032" t="str">
        <f>IF(P22="","",IF(R22="l","W",R22))</f>
        <v/>
      </c>
      <c r="H28" s="1033" t="str">
        <f>IF(Q22="","",":")</f>
        <v/>
      </c>
      <c r="I28" s="1038" t="str">
        <f>IF(R22="","",IF(P22="W","L",P22))</f>
        <v/>
      </c>
      <c r="J28" s="1032" t="str">
        <f>IF(P24="","",IF(R24="l","W",R24))</f>
        <v/>
      </c>
      <c r="K28" s="1033" t="str">
        <f>IF(Q24="","",":")</f>
        <v/>
      </c>
      <c r="L28" s="1038" t="str">
        <f>IF(R24="","",IF(P24="W","L",P24))</f>
        <v/>
      </c>
      <c r="M28" s="1032" t="str">
        <f>IF(P26="","",IF(R26="l","W",R26))</f>
        <v/>
      </c>
      <c r="N28" s="1033" t="str">
        <f>IF(Q26="","",":")</f>
        <v/>
      </c>
      <c r="O28" s="1038" t="str">
        <f>IF(R26="","",IF(P26="W","L",P26))</f>
        <v/>
      </c>
      <c r="P28" s="1129"/>
      <c r="Q28" s="1114"/>
      <c r="R28" s="1115"/>
      <c r="S28" s="1044"/>
      <c r="T28" s="1044"/>
      <c r="U28" s="1044"/>
      <c r="V28" s="1121"/>
      <c r="W28" s="1122"/>
      <c r="X28" s="1131"/>
      <c r="Y28" s="1125"/>
      <c r="Z28" s="463"/>
      <c r="AA28" s="1109"/>
      <c r="AB28" s="1111"/>
      <c r="AC28" s="1031" t="str">
        <f>IF(AB27="","",VLOOKUP(AB27,'Списки участников'!$A:$L,6,FALSE))</f>
        <v/>
      </c>
      <c r="AD28" s="1032" t="str">
        <f>IF(AP20="","",IF(AR20="l","W",AR20))</f>
        <v/>
      </c>
      <c r="AE28" s="1033" t="str">
        <f>IF(AQ20="","",":")</f>
        <v/>
      </c>
      <c r="AF28" s="1038" t="str">
        <f>IF(AR20="","",IF(AP20="W","L",AP20))</f>
        <v/>
      </c>
      <c r="AG28" s="1032" t="str">
        <f>IF(AP22="","",IF(AR22="l","W",AR22))</f>
        <v/>
      </c>
      <c r="AH28" s="1033" t="str">
        <f>IF(AQ22="","",":")</f>
        <v/>
      </c>
      <c r="AI28" s="1038" t="str">
        <f>IF(AR22="","",IF(AP22="W","L",AP22))</f>
        <v/>
      </c>
      <c r="AJ28" s="1032" t="str">
        <f>IF(AP24="","",IF(AR24="l","W",AR24))</f>
        <v/>
      </c>
      <c r="AK28" s="1033" t="str">
        <f>IF(AQ24="","",":")</f>
        <v/>
      </c>
      <c r="AL28" s="1038" t="str">
        <f>IF(AR24="","",IF(AP24="W","L",AP24))</f>
        <v/>
      </c>
      <c r="AM28" s="1032" t="str">
        <f>IF(AP26="","",IF(AR26="l","W",AR26))</f>
        <v/>
      </c>
      <c r="AN28" s="1033" t="str">
        <f>IF(AQ26="","",":")</f>
        <v/>
      </c>
      <c r="AO28" s="1038" t="str">
        <f>IF(AR26="","",IF(AP26="W","L",AP26))</f>
        <v/>
      </c>
      <c r="AP28" s="1129"/>
      <c r="AQ28" s="1114"/>
      <c r="AR28" s="1115"/>
      <c r="AS28" s="1044"/>
      <c r="AT28" s="1044"/>
      <c r="AU28" s="1044"/>
      <c r="AV28" s="1121"/>
      <c r="AW28" s="1122"/>
      <c r="AX28" s="1131"/>
      <c r="AY28" s="1125"/>
    </row>
    <row r="29" spans="1:51" ht="12" customHeight="1" x14ac:dyDescent="0.2">
      <c r="A29" s="1108">
        <v>6</v>
      </c>
      <c r="B29" s="1110"/>
      <c r="C29" s="1030" t="str">
        <f>IF(B29="","",VLOOKUP(B29,'Списки участников'!A:L,3,FALSE))</f>
        <v/>
      </c>
      <c r="D29" s="1116" t="str">
        <f>IF(S19="","",IF(S20="W",0,IF(S19=2,1,IF(S19=1,2,IF(S19=0,2)))))</f>
        <v/>
      </c>
      <c r="E29" s="1117"/>
      <c r="F29" s="1118"/>
      <c r="G29" s="1116" t="str">
        <f>IF(S21="","",IF(S22="W",0,IF(S21=2,1,IF(S21=1,2,IF(S21=0,2)))))</f>
        <v/>
      </c>
      <c r="H29" s="1117"/>
      <c r="I29" s="1118"/>
      <c r="J29" s="1116" t="str">
        <f>IF(S23="","",IF(S24="W",0,IF(S23=2,1,IF(S23=1,2,IF(S23=0,2)))))</f>
        <v/>
      </c>
      <c r="K29" s="1117"/>
      <c r="L29" s="1118"/>
      <c r="M29" s="1116" t="str">
        <f>IF(S25="","",IF(S26="W",0,IF(S25=2,1,IF(S25=1,2,IF(S25=0,2)))))</f>
        <v/>
      </c>
      <c r="N29" s="1117"/>
      <c r="O29" s="1118"/>
      <c r="P29" s="1116" t="str">
        <f>IF(S27="","",IF(S28="W",0,IF(S27=2,1,IF(S27=1,2,IF(S27=0,2)))))</f>
        <v/>
      </c>
      <c r="Q29" s="1117"/>
      <c r="R29" s="1118"/>
      <c r="S29" s="1126"/>
      <c r="T29" s="1127"/>
      <c r="U29" s="1128"/>
      <c r="V29" s="1119" t="str">
        <f t="shared" ref="V29" si="36">IF(B29="","",SUM(G29,J29,M29,P29,D29,S29))</f>
        <v/>
      </c>
      <c r="W29" s="1120"/>
      <c r="X29" s="1130"/>
      <c r="Y29" s="1125" t="str">
        <f t="shared" ref="Y29" si="37">IF(B29="","",RANK(V29,$V$19:$W$30))</f>
        <v/>
      </c>
      <c r="Z29" s="463"/>
      <c r="AA29" s="1108">
        <v>6</v>
      </c>
      <c r="AB29" s="1110"/>
      <c r="AC29" s="1030" t="str">
        <f>IF(AB29="","",VLOOKUP(AB29,'Списки участников'!$A:$L,3,FALSE))</f>
        <v/>
      </c>
      <c r="AD29" s="1116" t="str">
        <f>IF(AS19="","",IF(AS20="W",0,IF(AS19=2,1,IF(AS19=1,2,IF(AS19=0,2)))))</f>
        <v/>
      </c>
      <c r="AE29" s="1117"/>
      <c r="AF29" s="1118"/>
      <c r="AG29" s="1116" t="str">
        <f>IF(AS21="","",IF(AS22="W",0,IF(AS21=2,1,IF(AS21=1,2,IF(AS21=0,2)))))</f>
        <v/>
      </c>
      <c r="AH29" s="1117"/>
      <c r="AI29" s="1118"/>
      <c r="AJ29" s="1116" t="str">
        <f>IF(AS23="","",IF(AS24="W",0,IF(AS23=2,1,IF(AS23=1,2,IF(AS23=0,2)))))</f>
        <v/>
      </c>
      <c r="AK29" s="1117"/>
      <c r="AL29" s="1118"/>
      <c r="AM29" s="1116" t="str">
        <f>IF(AS25="","",IF(AS26="W",0,IF(AS25=2,1,IF(AS25=1,2,IF(AS25=0,2)))))</f>
        <v/>
      </c>
      <c r="AN29" s="1117"/>
      <c r="AO29" s="1118"/>
      <c r="AP29" s="1116" t="str">
        <f>IF(AS27="","",IF(AS28="W",0,IF(AS27=2,1,IF(AS27=1,2,IF(AS27=0,2)))))</f>
        <v/>
      </c>
      <c r="AQ29" s="1117"/>
      <c r="AR29" s="1118"/>
      <c r="AS29" s="1126"/>
      <c r="AT29" s="1127"/>
      <c r="AU29" s="1128"/>
      <c r="AV29" s="1119" t="str">
        <f t="shared" ref="AV29" si="38">IF(AB29="","",SUM(AG29,AJ29,AM29,AP29,AD29,AS29))</f>
        <v/>
      </c>
      <c r="AW29" s="1120"/>
      <c r="AX29" s="1130"/>
      <c r="AY29" s="1125" t="str">
        <f t="shared" ref="AY29" si="39">IF(AB29="","",RANK(AV29,$AV$19:$AW$30))</f>
        <v/>
      </c>
    </row>
    <row r="30" spans="1:51" ht="12" customHeight="1" x14ac:dyDescent="0.2">
      <c r="A30" s="1109"/>
      <c r="B30" s="1111"/>
      <c r="C30" s="1031" t="str">
        <f>IF(B29="","",VLOOKUP(B29,'Списки участников'!$A:$L,6,FALSE))</f>
        <v/>
      </c>
      <c r="D30" s="1032" t="str">
        <f>IF(S20="","",IF(U20="l","W",U20))</f>
        <v/>
      </c>
      <c r="E30" s="1033" t="str">
        <f>IF(T20="","",":")</f>
        <v/>
      </c>
      <c r="F30" s="1038" t="str">
        <f>IF(U20="","",IF(S20="W","L",S20))</f>
        <v/>
      </c>
      <c r="G30" s="1032" t="str">
        <f>IF(S22="","",IF(U22="l","W",U22))</f>
        <v/>
      </c>
      <c r="H30" s="1033" t="str">
        <f>IF(T22="","",":")</f>
        <v/>
      </c>
      <c r="I30" s="1038" t="str">
        <f>IF(U22="","",IF(S22="W","L",S22))</f>
        <v/>
      </c>
      <c r="J30" s="1032" t="str">
        <f>IF(S24="","",IF(U24="l","W",U24))</f>
        <v/>
      </c>
      <c r="K30" s="1033" t="str">
        <f>IF(T24="","",":")</f>
        <v/>
      </c>
      <c r="L30" s="1038" t="str">
        <f>IF(U24="","",IF(S24="W","L",S24))</f>
        <v/>
      </c>
      <c r="M30" s="1032" t="str">
        <f>IF(S26="","",IF(U26="l","W",U26))</f>
        <v/>
      </c>
      <c r="N30" s="1033" t="str">
        <f>IF(T26="","",":")</f>
        <v/>
      </c>
      <c r="O30" s="1038" t="str">
        <f>IF(U26="","",IF(S26="W","L",S26))</f>
        <v/>
      </c>
      <c r="P30" s="1032" t="str">
        <f>IF(S28="","",IF(U28="l","W",U28))</f>
        <v/>
      </c>
      <c r="Q30" s="1033" t="str">
        <f>IF(T28="","",":")</f>
        <v/>
      </c>
      <c r="R30" s="1038" t="str">
        <f>IF(U28="","",IF(S28="W","L",S28))</f>
        <v/>
      </c>
      <c r="S30" s="1129"/>
      <c r="T30" s="1114"/>
      <c r="U30" s="1115"/>
      <c r="V30" s="1121"/>
      <c r="W30" s="1122"/>
      <c r="X30" s="1131"/>
      <c r="Y30" s="1125"/>
      <c r="Z30" s="463"/>
      <c r="AA30" s="1109"/>
      <c r="AB30" s="1111"/>
      <c r="AC30" s="1031" t="str">
        <f>IF(AB29="","",VLOOKUP(AB29,'Списки участников'!$A:$L,6,FALSE))</f>
        <v/>
      </c>
      <c r="AD30" s="1032" t="str">
        <f>IF(AS20="","",IF(AU20="l","W",AU20))</f>
        <v/>
      </c>
      <c r="AE30" s="1033" t="str">
        <f>IF(AT20="","",":")</f>
        <v/>
      </c>
      <c r="AF30" s="1038" t="str">
        <f>IF(AU20="","",IF(AS20="W","L",AS20))</f>
        <v/>
      </c>
      <c r="AG30" s="1032" t="str">
        <f>IF(AS22="","",IF(AU22="l","W",AU22))</f>
        <v/>
      </c>
      <c r="AH30" s="1033" t="str">
        <f>IF(AT22="","",":")</f>
        <v/>
      </c>
      <c r="AI30" s="1038" t="str">
        <f>IF(AU22="","",IF(AS22="W","L",AS22))</f>
        <v/>
      </c>
      <c r="AJ30" s="1032" t="str">
        <f>IF(AS24="","",IF(AU24="l","W",AU24))</f>
        <v/>
      </c>
      <c r="AK30" s="1033" t="str">
        <f>IF(AT24="","",":")</f>
        <v/>
      </c>
      <c r="AL30" s="1038" t="str">
        <f>IF(AU24="","",IF(AS24="W","L",AS24))</f>
        <v/>
      </c>
      <c r="AM30" s="1032" t="str">
        <f>IF(AS26="","",IF(AU26="l","W",AU26))</f>
        <v/>
      </c>
      <c r="AN30" s="1033" t="str">
        <f>IF(AT26="","",":")</f>
        <v/>
      </c>
      <c r="AO30" s="1038" t="str">
        <f>IF(AU26="","",IF(AS26="W","L",AS26))</f>
        <v/>
      </c>
      <c r="AP30" s="1032" t="str">
        <f>IF(AS28="","",IF(AU28="l","W",AU28))</f>
        <v/>
      </c>
      <c r="AQ30" s="1033" t="str">
        <f>IF(AT28="","",":")</f>
        <v/>
      </c>
      <c r="AR30" s="1038" t="str">
        <f>IF(AU28="","",IF(AS28="W","L",AS28))</f>
        <v/>
      </c>
      <c r="AS30" s="1129"/>
      <c r="AT30" s="1114"/>
      <c r="AU30" s="1115"/>
      <c r="AV30" s="1121"/>
      <c r="AW30" s="1122"/>
      <c r="AX30" s="1131"/>
      <c r="AY30" s="1125"/>
    </row>
    <row r="31" spans="1:51" ht="12" customHeight="1" x14ac:dyDescent="0.25">
      <c r="A31" s="1024"/>
      <c r="B31" s="1024"/>
      <c r="C31" s="1025"/>
      <c r="D31" s="1024"/>
      <c r="E31" s="1024"/>
      <c r="F31" s="1024"/>
      <c r="G31" s="1102" t="s">
        <v>2801</v>
      </c>
      <c r="H31" s="1102"/>
      <c r="I31" s="1102"/>
      <c r="J31" s="1102"/>
      <c r="K31" s="1102"/>
      <c r="L31" s="1102"/>
      <c r="M31" s="1102"/>
      <c r="N31" s="1102"/>
      <c r="O31" s="1102"/>
      <c r="P31" s="1102"/>
      <c r="Q31" s="1102"/>
      <c r="R31" s="1102"/>
      <c r="S31" s="1041"/>
      <c r="T31" s="1041"/>
      <c r="U31" s="1041"/>
      <c r="V31" s="1024"/>
      <c r="W31" s="1024"/>
      <c r="X31" s="1024"/>
      <c r="Y31" s="1024"/>
      <c r="Z31" s="463"/>
      <c r="AA31" s="1024"/>
      <c r="AB31" s="1024"/>
      <c r="AC31" s="1025"/>
      <c r="AD31" s="1024"/>
      <c r="AE31" s="1024"/>
      <c r="AF31" s="1024"/>
      <c r="AG31" s="1102" t="s">
        <v>2616</v>
      </c>
      <c r="AH31" s="1102"/>
      <c r="AI31" s="1102"/>
      <c r="AJ31" s="1102"/>
      <c r="AK31" s="1102"/>
      <c r="AL31" s="1102"/>
      <c r="AM31" s="1102"/>
      <c r="AN31" s="1102"/>
      <c r="AO31" s="1102"/>
      <c r="AP31" s="1102"/>
      <c r="AQ31" s="1102"/>
      <c r="AR31" s="1102"/>
      <c r="AS31" s="1041"/>
      <c r="AT31" s="1041"/>
      <c r="AU31" s="1041"/>
      <c r="AV31" s="1024"/>
      <c r="AW31" s="1024"/>
      <c r="AX31" s="1024"/>
      <c r="AY31" s="1024"/>
    </row>
    <row r="32" spans="1:51" ht="12" customHeight="1" x14ac:dyDescent="0.2">
      <c r="A32" s="1026" t="s">
        <v>3</v>
      </c>
      <c r="B32" s="1027"/>
      <c r="C32" s="1028" t="s">
        <v>757</v>
      </c>
      <c r="D32" s="1103">
        <v>1</v>
      </c>
      <c r="E32" s="1104"/>
      <c r="F32" s="1105"/>
      <c r="G32" s="1103">
        <v>2</v>
      </c>
      <c r="H32" s="1104"/>
      <c r="I32" s="1105"/>
      <c r="J32" s="1103">
        <v>3</v>
      </c>
      <c r="K32" s="1104"/>
      <c r="L32" s="1105"/>
      <c r="M32" s="1103">
        <v>4</v>
      </c>
      <c r="N32" s="1104"/>
      <c r="O32" s="1105"/>
      <c r="P32" s="1103">
        <v>5</v>
      </c>
      <c r="Q32" s="1104"/>
      <c r="R32" s="1105"/>
      <c r="S32" s="1103">
        <v>6</v>
      </c>
      <c r="T32" s="1104"/>
      <c r="U32" s="1105"/>
      <c r="V32" s="1106" t="s">
        <v>758</v>
      </c>
      <c r="W32" s="1107"/>
      <c r="X32" s="1029" t="s">
        <v>759</v>
      </c>
      <c r="Y32" s="1042" t="s">
        <v>2803</v>
      </c>
      <c r="Z32" s="463"/>
      <c r="AA32" s="1026" t="s">
        <v>3</v>
      </c>
      <c r="AB32" s="1027"/>
      <c r="AC32" s="1028" t="s">
        <v>757</v>
      </c>
      <c r="AD32" s="1103">
        <v>1</v>
      </c>
      <c r="AE32" s="1104"/>
      <c r="AF32" s="1105"/>
      <c r="AG32" s="1103">
        <v>2</v>
      </c>
      <c r="AH32" s="1104"/>
      <c r="AI32" s="1105"/>
      <c r="AJ32" s="1103">
        <v>3</v>
      </c>
      <c r="AK32" s="1104"/>
      <c r="AL32" s="1105"/>
      <c r="AM32" s="1103">
        <v>4</v>
      </c>
      <c r="AN32" s="1104"/>
      <c r="AO32" s="1105"/>
      <c r="AP32" s="1103">
        <v>5</v>
      </c>
      <c r="AQ32" s="1104"/>
      <c r="AR32" s="1105"/>
      <c r="AS32" s="1103">
        <v>6</v>
      </c>
      <c r="AT32" s="1104"/>
      <c r="AU32" s="1105"/>
      <c r="AV32" s="1106" t="s">
        <v>758</v>
      </c>
      <c r="AW32" s="1107"/>
      <c r="AX32" s="1029" t="s">
        <v>759</v>
      </c>
      <c r="AY32" s="1042" t="s">
        <v>2803</v>
      </c>
    </row>
    <row r="33" spans="1:51" ht="12" customHeight="1" x14ac:dyDescent="0.2">
      <c r="A33" s="1108">
        <v>1</v>
      </c>
      <c r="B33" s="1110">
        <v>22</v>
      </c>
      <c r="C33" s="1030" t="str">
        <f>IF(B33="","",VLOOKUP(B33,'Списки участников'!A:L,3,FALSE))</f>
        <v>ГОГОЛЬ Александр</v>
      </c>
      <c r="D33" s="1112"/>
      <c r="E33" s="1112"/>
      <c r="F33" s="1113"/>
      <c r="G33" s="1116">
        <v>2</v>
      </c>
      <c r="H33" s="1117"/>
      <c r="I33" s="1118"/>
      <c r="J33" s="1116">
        <v>1</v>
      </c>
      <c r="K33" s="1117"/>
      <c r="L33" s="1118"/>
      <c r="M33" s="1116"/>
      <c r="N33" s="1117"/>
      <c r="O33" s="1118"/>
      <c r="P33" s="1116"/>
      <c r="Q33" s="1117"/>
      <c r="R33" s="1118"/>
      <c r="S33" s="1116"/>
      <c r="T33" s="1117"/>
      <c r="U33" s="1118"/>
      <c r="V33" s="1119">
        <f>IF(B33="","",SUM(G33,J33,M33,P33,D33,S33))</f>
        <v>3</v>
      </c>
      <c r="W33" s="1120"/>
      <c r="X33" s="1123"/>
      <c r="Y33" s="1125">
        <f>IF(B33="","",RANK(V33,$V$33:$W$44))</f>
        <v>2</v>
      </c>
      <c r="Z33" s="463"/>
      <c r="AA33" s="1108">
        <v>1</v>
      </c>
      <c r="AB33" s="1110"/>
      <c r="AC33" s="1030" t="str">
        <f>IF(AB33="","",VLOOKUP(AB33,'Списки участников'!$A:$L,3,FALSE))</f>
        <v/>
      </c>
      <c r="AD33" s="1112"/>
      <c r="AE33" s="1112"/>
      <c r="AF33" s="1113"/>
      <c r="AG33" s="1116"/>
      <c r="AH33" s="1117"/>
      <c r="AI33" s="1118"/>
      <c r="AJ33" s="1116"/>
      <c r="AK33" s="1117"/>
      <c r="AL33" s="1118"/>
      <c r="AM33" s="1116"/>
      <c r="AN33" s="1117"/>
      <c r="AO33" s="1118"/>
      <c r="AP33" s="1116"/>
      <c r="AQ33" s="1117"/>
      <c r="AR33" s="1118"/>
      <c r="AS33" s="1116"/>
      <c r="AT33" s="1117"/>
      <c r="AU33" s="1118"/>
      <c r="AV33" s="1119" t="str">
        <f>IF(AB33="","",SUM(AG33,AJ33,AM33,AP33,AD33,AS33))</f>
        <v/>
      </c>
      <c r="AW33" s="1120"/>
      <c r="AX33" s="1123"/>
      <c r="AY33" s="1125" t="str">
        <f>IF(AB33="","",RANK(AV33,$AV$33:$AW$44))</f>
        <v/>
      </c>
    </row>
    <row r="34" spans="1:51" ht="12" customHeight="1" x14ac:dyDescent="0.2">
      <c r="A34" s="1109"/>
      <c r="B34" s="1111"/>
      <c r="C34" s="1031" t="str">
        <f>IF(B33="","",VLOOKUP(B33,'Списки участников'!$A:$L,6,FALSE))</f>
        <v>НИИИС</v>
      </c>
      <c r="D34" s="1114"/>
      <c r="E34" s="1114"/>
      <c r="F34" s="1115"/>
      <c r="G34" s="1032">
        <v>2</v>
      </c>
      <c r="H34" s="1033" t="str">
        <f>IF(G33="","",":")</f>
        <v>:</v>
      </c>
      <c r="I34" s="1034">
        <v>0</v>
      </c>
      <c r="J34" s="1032">
        <v>0</v>
      </c>
      <c r="K34" s="1033" t="str">
        <f>IF(J33="","",":")</f>
        <v>:</v>
      </c>
      <c r="L34" s="1034">
        <v>2</v>
      </c>
      <c r="M34" s="1032"/>
      <c r="N34" s="1033" t="str">
        <f>IF(M34="","",":")</f>
        <v/>
      </c>
      <c r="O34" s="1034"/>
      <c r="P34" s="1032"/>
      <c r="Q34" s="1033" t="str">
        <f>IF(P34="","",":")</f>
        <v/>
      </c>
      <c r="R34" s="1034"/>
      <c r="S34" s="1043"/>
      <c r="T34" s="1043"/>
      <c r="U34" s="1043"/>
      <c r="V34" s="1121"/>
      <c r="W34" s="1122"/>
      <c r="X34" s="1124"/>
      <c r="Y34" s="1125"/>
      <c r="Z34" s="463"/>
      <c r="AA34" s="1109"/>
      <c r="AB34" s="1111"/>
      <c r="AC34" s="1031" t="str">
        <f>IF(AB33="","",VLOOKUP(AB33,'Списки участников'!$A:$L,6,FALSE))</f>
        <v/>
      </c>
      <c r="AD34" s="1114"/>
      <c r="AE34" s="1114"/>
      <c r="AF34" s="1115"/>
      <c r="AG34" s="1032"/>
      <c r="AH34" s="1033" t="str">
        <f>IF(AG33="","",":")</f>
        <v/>
      </c>
      <c r="AI34" s="1034"/>
      <c r="AJ34" s="1032"/>
      <c r="AK34" s="1033" t="str">
        <f>IF(AJ33="","",":")</f>
        <v/>
      </c>
      <c r="AL34" s="1034"/>
      <c r="AM34" s="1032"/>
      <c r="AN34" s="1033" t="str">
        <f>IF(AM34="","",":")</f>
        <v/>
      </c>
      <c r="AO34" s="1034"/>
      <c r="AP34" s="1032"/>
      <c r="AQ34" s="1033" t="str">
        <f>IF(AP34="","",":")</f>
        <v/>
      </c>
      <c r="AR34" s="1034"/>
      <c r="AS34" s="1043"/>
      <c r="AT34" s="1043"/>
      <c r="AU34" s="1043"/>
      <c r="AV34" s="1121"/>
      <c r="AW34" s="1122"/>
      <c r="AX34" s="1124"/>
      <c r="AY34" s="1125"/>
    </row>
    <row r="35" spans="1:51" ht="12" customHeight="1" x14ac:dyDescent="0.2">
      <c r="A35" s="1108">
        <v>2</v>
      </c>
      <c r="B35" s="1110">
        <v>10</v>
      </c>
      <c r="C35" s="1030" t="str">
        <f>IF(B35="","",VLOOKUP(B35,'Списки участников'!A:L,3,FALSE))</f>
        <v>ЕРАСТОВ Андрей</v>
      </c>
      <c r="D35" s="1116">
        <f>IF(G33="","",IF(G34="W",0,IF(G33=2,1,IF(G33=1,2,IF(G33=0,2)))))</f>
        <v>1</v>
      </c>
      <c r="E35" s="1117"/>
      <c r="F35" s="1118"/>
      <c r="G35" s="1126"/>
      <c r="H35" s="1127"/>
      <c r="I35" s="1128"/>
      <c r="J35" s="1116">
        <v>1</v>
      </c>
      <c r="K35" s="1117"/>
      <c r="L35" s="1118"/>
      <c r="M35" s="1116"/>
      <c r="N35" s="1117"/>
      <c r="O35" s="1118"/>
      <c r="P35" s="1116"/>
      <c r="Q35" s="1117"/>
      <c r="R35" s="1118"/>
      <c r="S35" s="1116"/>
      <c r="T35" s="1117"/>
      <c r="U35" s="1118"/>
      <c r="V35" s="1119">
        <f t="shared" ref="V35" si="40">IF(B35="","",SUM(G35,J35,M35,P35,D35,S35))</f>
        <v>2</v>
      </c>
      <c r="W35" s="1120"/>
      <c r="X35" s="1123"/>
      <c r="Y35" s="1125">
        <f t="shared" ref="Y35" si="41">IF(B35="","",RANK(V35,$V$33:$W$44))</f>
        <v>3</v>
      </c>
      <c r="Z35" s="463"/>
      <c r="AA35" s="1108">
        <v>2</v>
      </c>
      <c r="AB35" s="1110"/>
      <c r="AC35" s="1030" t="str">
        <f>IF(AB35="","",VLOOKUP(AB35,'Списки участников'!$A:$L,3,FALSE))</f>
        <v/>
      </c>
      <c r="AD35" s="1116" t="str">
        <f>IF(AG33="","",IF(AG34="W",0,IF(AG33=2,1,IF(AG33=1,2,IF(AG33=0,2)))))</f>
        <v/>
      </c>
      <c r="AE35" s="1117"/>
      <c r="AF35" s="1118"/>
      <c r="AG35" s="1126"/>
      <c r="AH35" s="1127"/>
      <c r="AI35" s="1128"/>
      <c r="AJ35" s="1116"/>
      <c r="AK35" s="1117"/>
      <c r="AL35" s="1118"/>
      <c r="AM35" s="1116"/>
      <c r="AN35" s="1117"/>
      <c r="AO35" s="1118"/>
      <c r="AP35" s="1116"/>
      <c r="AQ35" s="1117"/>
      <c r="AR35" s="1118"/>
      <c r="AS35" s="1116"/>
      <c r="AT35" s="1117"/>
      <c r="AU35" s="1118"/>
      <c r="AV35" s="1119" t="str">
        <f t="shared" ref="AV35" si="42">IF(AB35="","",SUM(AG35,AJ35,AM35,AP35,AD35,AS35))</f>
        <v/>
      </c>
      <c r="AW35" s="1120"/>
      <c r="AX35" s="1123"/>
      <c r="AY35" s="1125" t="str">
        <f t="shared" ref="AY35" si="43">IF(AB35="","",RANK(AV35,$AV$33:$AW$44))</f>
        <v/>
      </c>
    </row>
    <row r="36" spans="1:51" ht="12" customHeight="1" x14ac:dyDescent="0.2">
      <c r="A36" s="1109"/>
      <c r="B36" s="1111"/>
      <c r="C36" s="1031" t="str">
        <f>IF(B35="","",VLOOKUP(B35,'Списки участников'!$A:$L,6,FALSE))</f>
        <v>ОАО "НИАЭП"</v>
      </c>
      <c r="D36" s="1035">
        <f>IF(G34="","",IF(I34="l","W",I34))</f>
        <v>0</v>
      </c>
      <c r="E36" s="1036" t="str">
        <f>IF(G33="","",":")</f>
        <v>:</v>
      </c>
      <c r="F36" s="1037">
        <f>IF(I34="","",IF(G34="W","L",G34))</f>
        <v>2</v>
      </c>
      <c r="G36" s="1129"/>
      <c r="H36" s="1114"/>
      <c r="I36" s="1115"/>
      <c r="J36" s="1032">
        <v>0</v>
      </c>
      <c r="K36" s="1033" t="str">
        <f>IF(J35="","",":")</f>
        <v>:</v>
      </c>
      <c r="L36" s="1034">
        <v>2</v>
      </c>
      <c r="M36" s="1032"/>
      <c r="N36" s="1033" t="str">
        <f>IF(M35="","",":")</f>
        <v/>
      </c>
      <c r="O36" s="1034"/>
      <c r="P36" s="1032"/>
      <c r="Q36" s="1033" t="str">
        <f>IF(P35="","",":")</f>
        <v/>
      </c>
      <c r="R36" s="1034"/>
      <c r="S36" s="1043"/>
      <c r="T36" s="1043"/>
      <c r="U36" s="1043"/>
      <c r="V36" s="1121"/>
      <c r="W36" s="1122"/>
      <c r="X36" s="1124"/>
      <c r="Y36" s="1125"/>
      <c r="Z36" s="463"/>
      <c r="AA36" s="1109"/>
      <c r="AB36" s="1111"/>
      <c r="AC36" s="1031" t="str">
        <f>IF(AB35="","",VLOOKUP(AB35,'Списки участников'!$A:$L,6,FALSE))</f>
        <v/>
      </c>
      <c r="AD36" s="1035" t="str">
        <f>IF(AG34="","",IF(AI34="l","W",AI34))</f>
        <v/>
      </c>
      <c r="AE36" s="1036" t="str">
        <f>IF(AG33="","",":")</f>
        <v/>
      </c>
      <c r="AF36" s="1037" t="str">
        <f>IF(AI34="","",IF(AG34="W","L",AG34))</f>
        <v/>
      </c>
      <c r="AG36" s="1129"/>
      <c r="AH36" s="1114"/>
      <c r="AI36" s="1115"/>
      <c r="AJ36" s="1032"/>
      <c r="AK36" s="1033" t="str">
        <f>IF(AJ35="","",":")</f>
        <v/>
      </c>
      <c r="AL36" s="1034"/>
      <c r="AM36" s="1032"/>
      <c r="AN36" s="1033" t="str">
        <f>IF(AM35="","",":")</f>
        <v/>
      </c>
      <c r="AO36" s="1034"/>
      <c r="AP36" s="1032"/>
      <c r="AQ36" s="1033" t="str">
        <f>IF(AP35="","",":")</f>
        <v/>
      </c>
      <c r="AR36" s="1034"/>
      <c r="AS36" s="1043"/>
      <c r="AT36" s="1043"/>
      <c r="AU36" s="1043"/>
      <c r="AV36" s="1121"/>
      <c r="AW36" s="1122"/>
      <c r="AX36" s="1124"/>
      <c r="AY36" s="1125"/>
    </row>
    <row r="37" spans="1:51" ht="12" customHeight="1" x14ac:dyDescent="0.2">
      <c r="A37" s="1108">
        <v>3</v>
      </c>
      <c r="B37" s="1110">
        <v>43</v>
      </c>
      <c r="C37" s="1030" t="str">
        <f>IF(B37="","",VLOOKUP(B37,'Списки участников'!A:L,3,FALSE))</f>
        <v>ЕСЬКИН Михаил</v>
      </c>
      <c r="D37" s="1116">
        <f>IF(J33="","",IF(J34="W",0,IF(J33=2,1,IF(J33=1,2,IF(J33=0,2)))))</f>
        <v>2</v>
      </c>
      <c r="E37" s="1117"/>
      <c r="F37" s="1118"/>
      <c r="G37" s="1116">
        <f>IF(J35="","",IF(J36="W",0,IF(J35=2,1,IF(J35=1,2,IF(J35=0,2)))))</f>
        <v>2</v>
      </c>
      <c r="H37" s="1117"/>
      <c r="I37" s="1118"/>
      <c r="J37" s="1126"/>
      <c r="K37" s="1127"/>
      <c r="L37" s="1128"/>
      <c r="M37" s="1116"/>
      <c r="N37" s="1117"/>
      <c r="O37" s="1118"/>
      <c r="P37" s="1116"/>
      <c r="Q37" s="1117"/>
      <c r="R37" s="1118"/>
      <c r="S37" s="1116"/>
      <c r="T37" s="1117"/>
      <c r="U37" s="1118"/>
      <c r="V37" s="1119">
        <f t="shared" ref="V37" si="44">IF(B37="","",SUM(G37,J37,M37,P37,D37,S37))</f>
        <v>4</v>
      </c>
      <c r="W37" s="1120"/>
      <c r="X37" s="1130"/>
      <c r="Y37" s="1125">
        <f t="shared" ref="Y37" si="45">IF(B37="","",RANK(V37,$V$33:$W$44))</f>
        <v>1</v>
      </c>
      <c r="Z37" s="463"/>
      <c r="AA37" s="1108">
        <v>3</v>
      </c>
      <c r="AB37" s="1110"/>
      <c r="AC37" s="1030" t="str">
        <f>IF(AB37="","",VLOOKUP(AB37,'Списки участников'!$A:$L,3,FALSE))</f>
        <v/>
      </c>
      <c r="AD37" s="1116" t="str">
        <f>IF(AJ33="","",IF(AJ34="W",0,IF(AJ33=2,1,IF(AJ33=1,2,IF(AJ33=0,2)))))</f>
        <v/>
      </c>
      <c r="AE37" s="1117"/>
      <c r="AF37" s="1118"/>
      <c r="AG37" s="1116" t="str">
        <f>IF(AJ35="","",IF(AJ36="W",0,IF(AJ35=2,1,IF(AJ35=1,2,IF(AJ35=0,2)))))</f>
        <v/>
      </c>
      <c r="AH37" s="1117"/>
      <c r="AI37" s="1118"/>
      <c r="AJ37" s="1126"/>
      <c r="AK37" s="1127"/>
      <c r="AL37" s="1128"/>
      <c r="AM37" s="1116"/>
      <c r="AN37" s="1117"/>
      <c r="AO37" s="1118"/>
      <c r="AP37" s="1116"/>
      <c r="AQ37" s="1117"/>
      <c r="AR37" s="1118"/>
      <c r="AS37" s="1116"/>
      <c r="AT37" s="1117"/>
      <c r="AU37" s="1118"/>
      <c r="AV37" s="1119" t="str">
        <f t="shared" ref="AV37" si="46">IF(AB37="","",SUM(AG37,AJ37,AM37,AP37,AD37,AS37))</f>
        <v/>
      </c>
      <c r="AW37" s="1120"/>
      <c r="AX37" s="1130"/>
      <c r="AY37" s="1125" t="str">
        <f t="shared" ref="AY37" si="47">IF(AB37="","",RANK(AV37,$AV$33:$AW$44))</f>
        <v/>
      </c>
    </row>
    <row r="38" spans="1:51" ht="12" customHeight="1" x14ac:dyDescent="0.2">
      <c r="A38" s="1109"/>
      <c r="B38" s="1111"/>
      <c r="C38" s="1031" t="str">
        <f>IF(B37="","",VLOOKUP(B37,'Списки участников'!$A:$L,6,FALSE))</f>
        <v>ЗАО "НПП "Салют-27"</v>
      </c>
      <c r="D38" s="1032">
        <f>IF(J34="","",IF(L34="l","W",L34))</f>
        <v>2</v>
      </c>
      <c r="E38" s="1033" t="str">
        <f>IF(K34="","",":")</f>
        <v>:</v>
      </c>
      <c r="F38" s="1038">
        <f>IF(L34="","",IF(J34="W","L",J34))</f>
        <v>0</v>
      </c>
      <c r="G38" s="1032">
        <f>IF(J36="","",IF(L36="l","W",L36))</f>
        <v>2</v>
      </c>
      <c r="H38" s="1033" t="str">
        <f>IF(K36="","",":")</f>
        <v>:</v>
      </c>
      <c r="I38" s="1038">
        <f>IF(L36="","",IF(J36="W","L",J36))</f>
        <v>0</v>
      </c>
      <c r="J38" s="1129"/>
      <c r="K38" s="1114"/>
      <c r="L38" s="1115"/>
      <c r="M38" s="1032"/>
      <c r="N38" s="1033" t="str">
        <f>IF(M37="","",":")</f>
        <v/>
      </c>
      <c r="O38" s="1034"/>
      <c r="P38" s="1032"/>
      <c r="Q38" s="1033" t="str">
        <f>IF(P37="","",":")</f>
        <v/>
      </c>
      <c r="R38" s="1034"/>
      <c r="S38" s="1043"/>
      <c r="T38" s="1043"/>
      <c r="U38" s="1043"/>
      <c r="V38" s="1121"/>
      <c r="W38" s="1122"/>
      <c r="X38" s="1131"/>
      <c r="Y38" s="1125"/>
      <c r="Z38" s="463"/>
      <c r="AA38" s="1109"/>
      <c r="AB38" s="1111"/>
      <c r="AC38" s="1031" t="str">
        <f>IF(AB37="","",VLOOKUP(AB37,'Списки участников'!$A:$L,6,FALSE))</f>
        <v/>
      </c>
      <c r="AD38" s="1032" t="str">
        <f>IF(AJ34="","",IF(AL34="l","W",AL34))</f>
        <v/>
      </c>
      <c r="AE38" s="1033" t="str">
        <f>IF(AK34="","",":")</f>
        <v/>
      </c>
      <c r="AF38" s="1038" t="str">
        <f>IF(AL34="","",IF(AJ34="W","L",AJ34))</f>
        <v/>
      </c>
      <c r="AG38" s="1032" t="str">
        <f>IF(AJ36="","",IF(AL36="l","W",AL36))</f>
        <v/>
      </c>
      <c r="AH38" s="1033" t="str">
        <f>IF(AK36="","",":")</f>
        <v/>
      </c>
      <c r="AI38" s="1038" t="str">
        <f>IF(AL36="","",IF(AJ36="W","L",AJ36))</f>
        <v/>
      </c>
      <c r="AJ38" s="1129"/>
      <c r="AK38" s="1114"/>
      <c r="AL38" s="1115"/>
      <c r="AM38" s="1032"/>
      <c r="AN38" s="1033" t="str">
        <f>IF(AM37="","",":")</f>
        <v/>
      </c>
      <c r="AO38" s="1034"/>
      <c r="AP38" s="1032"/>
      <c r="AQ38" s="1033" t="str">
        <f>IF(AP37="","",":")</f>
        <v/>
      </c>
      <c r="AR38" s="1034"/>
      <c r="AS38" s="1043"/>
      <c r="AT38" s="1043"/>
      <c r="AU38" s="1043"/>
      <c r="AV38" s="1121"/>
      <c r="AW38" s="1122"/>
      <c r="AX38" s="1131"/>
      <c r="AY38" s="1125"/>
    </row>
    <row r="39" spans="1:51" ht="12" customHeight="1" x14ac:dyDescent="0.2">
      <c r="A39" s="1108">
        <v>4</v>
      </c>
      <c r="B39" s="1110"/>
      <c r="C39" s="1030" t="str">
        <f>IF(B39="","",VLOOKUP(B39,'Списки участников'!A:L,3,FALSE))</f>
        <v/>
      </c>
      <c r="D39" s="1116" t="str">
        <f>IF(M33="","",IF(M34="W",0,IF(M33=2,1,IF(M33=1,2,IF(M33=0,2)))))</f>
        <v/>
      </c>
      <c r="E39" s="1117"/>
      <c r="F39" s="1118"/>
      <c r="G39" s="1116" t="str">
        <f>IF(M35="","",IF(M36="W",0,IF(M35=2,1,IF(M35=1,2,IF(M35=0,2)))))</f>
        <v/>
      </c>
      <c r="H39" s="1117"/>
      <c r="I39" s="1118"/>
      <c r="J39" s="1116" t="str">
        <f>IF(M37="","",IF(M38="W",0,IF(M37=2,1,IF(M37=1,2,IF(M37=0,2)))))</f>
        <v/>
      </c>
      <c r="K39" s="1117"/>
      <c r="L39" s="1118"/>
      <c r="M39" s="1127"/>
      <c r="N39" s="1127"/>
      <c r="O39" s="1127"/>
      <c r="P39" s="1116"/>
      <c r="Q39" s="1117"/>
      <c r="R39" s="1118"/>
      <c r="S39" s="1116"/>
      <c r="T39" s="1117"/>
      <c r="U39" s="1118"/>
      <c r="V39" s="1119" t="str">
        <f t="shared" ref="V39" si="48">IF(B39="","",SUM(G39,J39,M39,P39,D39,S39))</f>
        <v/>
      </c>
      <c r="W39" s="1120"/>
      <c r="X39" s="1130"/>
      <c r="Y39" s="1125" t="str">
        <f t="shared" ref="Y39" si="49">IF(B39="","",RANK(V39,$V$33:$W$44))</f>
        <v/>
      </c>
      <c r="Z39" s="463"/>
      <c r="AA39" s="1108">
        <v>4</v>
      </c>
      <c r="AB39" s="1110"/>
      <c r="AC39" s="1030" t="str">
        <f>IF(AB39="","",VLOOKUP(AB39,'Списки участников'!$A:$L,3,FALSE))</f>
        <v/>
      </c>
      <c r="AD39" s="1116" t="str">
        <f>IF(AM33="","",IF(AM34="W",0,IF(AM33=2,1,IF(AM33=1,2,IF(AM33=0,2)))))</f>
        <v/>
      </c>
      <c r="AE39" s="1117"/>
      <c r="AF39" s="1118"/>
      <c r="AG39" s="1116" t="str">
        <f>IF(AM35="","",IF(AM36="W",0,IF(AM35=2,1,IF(AM35=1,2,IF(AM35=0,2)))))</f>
        <v/>
      </c>
      <c r="AH39" s="1117"/>
      <c r="AI39" s="1118"/>
      <c r="AJ39" s="1116" t="str">
        <f>IF(AM37="","",IF(AM38="W",0,IF(AM37=2,1,IF(AM37=1,2,IF(AM37=0,2)))))</f>
        <v/>
      </c>
      <c r="AK39" s="1117"/>
      <c r="AL39" s="1118"/>
      <c r="AM39" s="1127"/>
      <c r="AN39" s="1127"/>
      <c r="AO39" s="1127"/>
      <c r="AP39" s="1116"/>
      <c r="AQ39" s="1117"/>
      <c r="AR39" s="1118"/>
      <c r="AS39" s="1116"/>
      <c r="AT39" s="1117"/>
      <c r="AU39" s="1118"/>
      <c r="AV39" s="1119" t="str">
        <f t="shared" ref="AV39" si="50">IF(AB39="","",SUM(AG39,AJ39,AM39,AP39,AD39,AS39))</f>
        <v/>
      </c>
      <c r="AW39" s="1120"/>
      <c r="AX39" s="1130"/>
      <c r="AY39" s="1125" t="str">
        <f t="shared" ref="AY39" si="51">IF(AB39="","",RANK(AV39,$AV$33:$AW$44))</f>
        <v/>
      </c>
    </row>
    <row r="40" spans="1:51" ht="12" customHeight="1" x14ac:dyDescent="0.2">
      <c r="A40" s="1109"/>
      <c r="B40" s="1111"/>
      <c r="C40" s="1031" t="str">
        <f>IF(B39="","",VLOOKUP(B39,'Списки участников'!$A:$L,6,FALSE))</f>
        <v/>
      </c>
      <c r="D40" s="1032" t="str">
        <f>IF(M34="","",IF(O34="l","W",O34))</f>
        <v/>
      </c>
      <c r="E40" s="1033" t="str">
        <f>IF(N34="","",":")</f>
        <v/>
      </c>
      <c r="F40" s="1038" t="str">
        <f>IF(O34="","",IF(M34="W","L",M34))</f>
        <v/>
      </c>
      <c r="G40" s="1032" t="str">
        <f>IF(M36="","",IF(O36="l","W",O36))</f>
        <v/>
      </c>
      <c r="H40" s="1033" t="str">
        <f>IF(N36="","",":")</f>
        <v/>
      </c>
      <c r="I40" s="1038" t="str">
        <f>IF(O36="","",IF(M36="W","L",M36))</f>
        <v/>
      </c>
      <c r="J40" s="1032" t="str">
        <f>IF(M38="","",IF(O38="l","W",O38))</f>
        <v/>
      </c>
      <c r="K40" s="1033" t="str">
        <f>IF(N38="","",":")</f>
        <v/>
      </c>
      <c r="L40" s="1038" t="str">
        <f>IF(O38="","",IF(M38="W","L",M38))</f>
        <v/>
      </c>
      <c r="M40" s="1132"/>
      <c r="N40" s="1132"/>
      <c r="O40" s="1132"/>
      <c r="P40" s="1032"/>
      <c r="Q40" s="1033" t="str">
        <f>IF(P39="","",":")</f>
        <v/>
      </c>
      <c r="R40" s="1034"/>
      <c r="S40" s="1043"/>
      <c r="T40" s="1043"/>
      <c r="U40" s="1043"/>
      <c r="V40" s="1121"/>
      <c r="W40" s="1122"/>
      <c r="X40" s="1131"/>
      <c r="Y40" s="1125"/>
      <c r="Z40" s="463"/>
      <c r="AA40" s="1109"/>
      <c r="AB40" s="1111"/>
      <c r="AC40" s="1031" t="str">
        <f>IF(AB39="","",VLOOKUP(AB39,'Списки участников'!$A:$L,6,FALSE))</f>
        <v/>
      </c>
      <c r="AD40" s="1032" t="str">
        <f>IF(AM34="","",IF(AO34="l","W",AO34))</f>
        <v/>
      </c>
      <c r="AE40" s="1033" t="str">
        <f>IF(AN34="","",":")</f>
        <v/>
      </c>
      <c r="AF40" s="1038" t="str">
        <f>IF(AO34="","",IF(AM34="W","L",AM34))</f>
        <v/>
      </c>
      <c r="AG40" s="1032" t="str">
        <f>IF(AM36="","",IF(AO36="l","W",AO36))</f>
        <v/>
      </c>
      <c r="AH40" s="1033" t="str">
        <f>IF(AN36="","",":")</f>
        <v/>
      </c>
      <c r="AI40" s="1038" t="str">
        <f>IF(AO36="","",IF(AM36="W","L",AM36))</f>
        <v/>
      </c>
      <c r="AJ40" s="1032" t="str">
        <f>IF(AM38="","",IF(AO38="l","W",AO38))</f>
        <v/>
      </c>
      <c r="AK40" s="1033" t="str">
        <f>IF(AN38="","",":")</f>
        <v/>
      </c>
      <c r="AL40" s="1038" t="str">
        <f>IF(AO38="","",IF(AM38="W","L",AM38))</f>
        <v/>
      </c>
      <c r="AM40" s="1132"/>
      <c r="AN40" s="1132"/>
      <c r="AO40" s="1132"/>
      <c r="AP40" s="1032"/>
      <c r="AQ40" s="1033" t="str">
        <f>IF(AP39="","",":")</f>
        <v/>
      </c>
      <c r="AR40" s="1034"/>
      <c r="AS40" s="1043"/>
      <c r="AT40" s="1043"/>
      <c r="AU40" s="1043"/>
      <c r="AV40" s="1121"/>
      <c r="AW40" s="1122"/>
      <c r="AX40" s="1131"/>
      <c r="AY40" s="1125"/>
    </row>
    <row r="41" spans="1:51" ht="12" customHeight="1" x14ac:dyDescent="0.2">
      <c r="A41" s="1108">
        <v>5</v>
      </c>
      <c r="B41" s="1110"/>
      <c r="C41" s="1030" t="str">
        <f>IF(B41="","",VLOOKUP(B41,'Списки участников'!A:L,3,FALSE))</f>
        <v/>
      </c>
      <c r="D41" s="1116" t="str">
        <f>IF(P33="","",IF(P34="W",0,IF(P33=2,1,IF(P33=1,2,IF(P33=0,2)))))</f>
        <v/>
      </c>
      <c r="E41" s="1117"/>
      <c r="F41" s="1118"/>
      <c r="G41" s="1116" t="str">
        <f>IF(P35="","",IF(P36="W",0,IF(P35=2,1,IF(P35=1,2,IF(P35=0,2)))))</f>
        <v/>
      </c>
      <c r="H41" s="1117"/>
      <c r="I41" s="1118"/>
      <c r="J41" s="1116" t="str">
        <f>IF(P37="","",IF(P38="W",0,IF(P37=2,1,IF(P37=1,2,IF(P37=0,2)))))</f>
        <v/>
      </c>
      <c r="K41" s="1117"/>
      <c r="L41" s="1118"/>
      <c r="M41" s="1116" t="str">
        <f>IF(P39="","",IF(P40="W",0,IF(P39=2,1,IF(P39=1,2,IF(P39=0,2)))))</f>
        <v/>
      </c>
      <c r="N41" s="1117"/>
      <c r="O41" s="1118"/>
      <c r="P41" s="1126"/>
      <c r="Q41" s="1127"/>
      <c r="R41" s="1128"/>
      <c r="S41" s="1116"/>
      <c r="T41" s="1117"/>
      <c r="U41" s="1118"/>
      <c r="V41" s="1119" t="str">
        <f t="shared" ref="V41" si="52">IF(B41="","",SUM(G41,J41,M41,P41,D41,S41))</f>
        <v/>
      </c>
      <c r="W41" s="1120"/>
      <c r="X41" s="1130"/>
      <c r="Y41" s="1125" t="str">
        <f t="shared" ref="Y41" si="53">IF(B41="","",RANK(V41,$V$33:$W$44))</f>
        <v/>
      </c>
      <c r="Z41" s="463"/>
      <c r="AA41" s="1108">
        <v>5</v>
      </c>
      <c r="AB41" s="1110"/>
      <c r="AC41" s="1030" t="str">
        <f>IF(AB41="","",VLOOKUP(AB41,'Списки участников'!$A:$L,3,FALSE))</f>
        <v/>
      </c>
      <c r="AD41" s="1116" t="str">
        <f>IF(AP33="","",IF(AP34="W",0,IF(AP33=2,1,IF(AP33=1,2,IF(AP33=0,2)))))</f>
        <v/>
      </c>
      <c r="AE41" s="1117"/>
      <c r="AF41" s="1118"/>
      <c r="AG41" s="1116" t="str">
        <f>IF(AP35="","",IF(AP36="W",0,IF(AP35=2,1,IF(AP35=1,2,IF(AP35=0,2)))))</f>
        <v/>
      </c>
      <c r="AH41" s="1117"/>
      <c r="AI41" s="1118"/>
      <c r="AJ41" s="1116" t="str">
        <f>IF(AP37="","",IF(AP38="W",0,IF(AP37=2,1,IF(AP37=1,2,IF(AP37=0,2)))))</f>
        <v/>
      </c>
      <c r="AK41" s="1117"/>
      <c r="AL41" s="1118"/>
      <c r="AM41" s="1116" t="str">
        <f>IF(AP39="","",IF(AP40="W",0,IF(AP39=2,1,IF(AP39=1,2,IF(AP39=0,2)))))</f>
        <v/>
      </c>
      <c r="AN41" s="1117"/>
      <c r="AO41" s="1118"/>
      <c r="AP41" s="1126"/>
      <c r="AQ41" s="1127"/>
      <c r="AR41" s="1128"/>
      <c r="AS41" s="1116"/>
      <c r="AT41" s="1117"/>
      <c r="AU41" s="1118"/>
      <c r="AV41" s="1119" t="str">
        <f t="shared" ref="AV41" si="54">IF(AB41="","",SUM(AG41,AJ41,AM41,AP41,AD41,AS41))</f>
        <v/>
      </c>
      <c r="AW41" s="1120"/>
      <c r="AX41" s="1130"/>
      <c r="AY41" s="1125" t="str">
        <f t="shared" ref="AY41" si="55">IF(AB41="","",RANK(AV41,$AV$33:$AW$44))</f>
        <v/>
      </c>
    </row>
    <row r="42" spans="1:51" ht="12" customHeight="1" x14ac:dyDescent="0.2">
      <c r="A42" s="1109"/>
      <c r="B42" s="1111"/>
      <c r="C42" s="1031" t="str">
        <f>IF(B41="","",VLOOKUP(B41,'Списки участников'!$A:$L,6,FALSE))</f>
        <v/>
      </c>
      <c r="D42" s="1032" t="str">
        <f>IF(P34="","",IF(R34="l","W",R34))</f>
        <v/>
      </c>
      <c r="E42" s="1033" t="str">
        <f>IF(Q34="","",":")</f>
        <v/>
      </c>
      <c r="F42" s="1038" t="str">
        <f>IF(R34="","",IF(P34="W","L",P34))</f>
        <v/>
      </c>
      <c r="G42" s="1032" t="str">
        <f>IF(P36="","",IF(R36="l","W",R36))</f>
        <v/>
      </c>
      <c r="H42" s="1033" t="str">
        <f>IF(Q36="","",":")</f>
        <v/>
      </c>
      <c r="I42" s="1038" t="str">
        <f>IF(R36="","",IF(P36="W","L",P36))</f>
        <v/>
      </c>
      <c r="J42" s="1032" t="str">
        <f>IF(P38="","",IF(R38="l","W",R38))</f>
        <v/>
      </c>
      <c r="K42" s="1033" t="str">
        <f>IF(Q38="","",":")</f>
        <v/>
      </c>
      <c r="L42" s="1038" t="str">
        <f>IF(R38="","",IF(P38="W","L",P38))</f>
        <v/>
      </c>
      <c r="M42" s="1032" t="str">
        <f>IF(P40="","",IF(R40="l","W",R40))</f>
        <v/>
      </c>
      <c r="N42" s="1033" t="str">
        <f>IF(Q40="","",":")</f>
        <v/>
      </c>
      <c r="O42" s="1038" t="str">
        <f>IF(R40="","",IF(P40="W","L",P40))</f>
        <v/>
      </c>
      <c r="P42" s="1129"/>
      <c r="Q42" s="1114"/>
      <c r="R42" s="1115"/>
      <c r="S42" s="1044"/>
      <c r="T42" s="1044"/>
      <c r="U42" s="1044"/>
      <c r="V42" s="1121"/>
      <c r="W42" s="1122"/>
      <c r="X42" s="1131"/>
      <c r="Y42" s="1125"/>
      <c r="Z42" s="463"/>
      <c r="AA42" s="1109"/>
      <c r="AB42" s="1111"/>
      <c r="AC42" s="1031" t="str">
        <f>IF(AB41="","",VLOOKUP(AB41,'Списки участников'!$A:$L,6,FALSE))</f>
        <v/>
      </c>
      <c r="AD42" s="1032" t="str">
        <f>IF(AP34="","",IF(AR34="l","W",AR34))</f>
        <v/>
      </c>
      <c r="AE42" s="1033" t="str">
        <f>IF(AQ34="","",":")</f>
        <v/>
      </c>
      <c r="AF42" s="1038" t="str">
        <f>IF(AR34="","",IF(AP34="W","L",AP34))</f>
        <v/>
      </c>
      <c r="AG42" s="1032" t="str">
        <f>IF(AP36="","",IF(AR36="l","W",AR36))</f>
        <v/>
      </c>
      <c r="AH42" s="1033" t="str">
        <f>IF(AQ36="","",":")</f>
        <v/>
      </c>
      <c r="AI42" s="1038" t="str">
        <f>IF(AR36="","",IF(AP36="W","L",AP36))</f>
        <v/>
      </c>
      <c r="AJ42" s="1032" t="str">
        <f>IF(AP38="","",IF(AR38="l","W",AR38))</f>
        <v/>
      </c>
      <c r="AK42" s="1033" t="str">
        <f>IF(AQ38="","",":")</f>
        <v/>
      </c>
      <c r="AL42" s="1038" t="str">
        <f>IF(AR38="","",IF(AP38="W","L",AP38))</f>
        <v/>
      </c>
      <c r="AM42" s="1032" t="str">
        <f>IF(AP40="","",IF(AR40="l","W",AR40))</f>
        <v/>
      </c>
      <c r="AN42" s="1033" t="str">
        <f>IF(AQ40="","",":")</f>
        <v/>
      </c>
      <c r="AO42" s="1038" t="str">
        <f>IF(AR40="","",IF(AP40="W","L",AP40))</f>
        <v/>
      </c>
      <c r="AP42" s="1129"/>
      <c r="AQ42" s="1114"/>
      <c r="AR42" s="1115"/>
      <c r="AS42" s="1044"/>
      <c r="AT42" s="1044"/>
      <c r="AU42" s="1044"/>
      <c r="AV42" s="1121"/>
      <c r="AW42" s="1122"/>
      <c r="AX42" s="1131"/>
      <c r="AY42" s="1125"/>
    </row>
    <row r="43" spans="1:51" ht="12" customHeight="1" x14ac:dyDescent="0.2">
      <c r="A43" s="1108">
        <v>6</v>
      </c>
      <c r="B43" s="1110"/>
      <c r="C43" s="1030" t="str">
        <f>IF(B43="","",VLOOKUP(B43,'Списки участников'!A:L,3,FALSE))</f>
        <v/>
      </c>
      <c r="D43" s="1116" t="str">
        <f>IF(S33="","",IF(S34="W",0,IF(S33=2,1,IF(S33=1,2,IF(S33=0,2)))))</f>
        <v/>
      </c>
      <c r="E43" s="1117"/>
      <c r="F43" s="1118"/>
      <c r="G43" s="1116" t="str">
        <f>IF(S35="","",IF(S36="W",0,IF(S35=2,1,IF(S35=1,2,IF(S35=0,2)))))</f>
        <v/>
      </c>
      <c r="H43" s="1117"/>
      <c r="I43" s="1118"/>
      <c r="J43" s="1116" t="str">
        <f>IF(S37="","",IF(S38="W",0,IF(S37=2,1,IF(S37=1,2,IF(S37=0,2)))))</f>
        <v/>
      </c>
      <c r="K43" s="1117"/>
      <c r="L43" s="1118"/>
      <c r="M43" s="1116" t="str">
        <f>IF(S39="","",IF(S40="W",0,IF(S39=2,1,IF(S39=1,2,IF(S39=0,2)))))</f>
        <v/>
      </c>
      <c r="N43" s="1117"/>
      <c r="O43" s="1118"/>
      <c r="P43" s="1116" t="str">
        <f>IF(S41="","",IF(S42="W",0,IF(S41=2,1,IF(S41=1,2,IF(S41=0,2)))))</f>
        <v/>
      </c>
      <c r="Q43" s="1117"/>
      <c r="R43" s="1118"/>
      <c r="S43" s="1126"/>
      <c r="T43" s="1127"/>
      <c r="U43" s="1128"/>
      <c r="V43" s="1119" t="str">
        <f t="shared" ref="V43" si="56">IF(B43="","",SUM(G43,J43,M43,P43,D43,S43))</f>
        <v/>
      </c>
      <c r="W43" s="1120"/>
      <c r="X43" s="1130"/>
      <c r="Y43" s="1125" t="str">
        <f t="shared" ref="Y43" si="57">IF(B43="","",RANK(V43,$V$33:$W$44))</f>
        <v/>
      </c>
      <c r="Z43" s="463"/>
      <c r="AA43" s="1108">
        <v>6</v>
      </c>
      <c r="AB43" s="1110"/>
      <c r="AC43" s="1030" t="str">
        <f>IF(AB43="","",VLOOKUP(AB43,'Списки участников'!$A:$L,3,FALSE))</f>
        <v/>
      </c>
      <c r="AD43" s="1116" t="str">
        <f>IF(AS33="","",IF(AS34="W",0,IF(AS33=2,1,IF(AS33=1,2,IF(AS33=0,2)))))</f>
        <v/>
      </c>
      <c r="AE43" s="1117"/>
      <c r="AF43" s="1118"/>
      <c r="AG43" s="1116" t="str">
        <f>IF(AS35="","",IF(AS36="W",0,IF(AS35=2,1,IF(AS35=1,2,IF(AS35=0,2)))))</f>
        <v/>
      </c>
      <c r="AH43" s="1117"/>
      <c r="AI43" s="1118"/>
      <c r="AJ43" s="1116" t="str">
        <f>IF(AS37="","",IF(AS38="W",0,IF(AS37=2,1,IF(AS37=1,2,IF(AS37=0,2)))))</f>
        <v/>
      </c>
      <c r="AK43" s="1117"/>
      <c r="AL43" s="1118"/>
      <c r="AM43" s="1116" t="str">
        <f>IF(AS39="","",IF(AS40="W",0,IF(AS39=2,1,IF(AS39=1,2,IF(AS39=0,2)))))</f>
        <v/>
      </c>
      <c r="AN43" s="1117"/>
      <c r="AO43" s="1118"/>
      <c r="AP43" s="1116" t="str">
        <f>IF(AS41="","",IF(AS42="W",0,IF(AS41=2,1,IF(AS41=1,2,IF(AS41=0,2)))))</f>
        <v/>
      </c>
      <c r="AQ43" s="1117"/>
      <c r="AR43" s="1118"/>
      <c r="AS43" s="1126"/>
      <c r="AT43" s="1127"/>
      <c r="AU43" s="1128"/>
      <c r="AV43" s="1119" t="str">
        <f t="shared" ref="AV43" si="58">IF(AB43="","",SUM(AG43,AJ43,AM43,AP43,AD43,AS43))</f>
        <v/>
      </c>
      <c r="AW43" s="1120"/>
      <c r="AX43" s="1130"/>
      <c r="AY43" s="1125" t="str">
        <f t="shared" ref="AY43" si="59">IF(AB43="","",RANK(AV43,$AV$33:$AW$44))</f>
        <v/>
      </c>
    </row>
    <row r="44" spans="1:51" ht="12" customHeight="1" x14ac:dyDescent="0.2">
      <c r="A44" s="1109"/>
      <c r="B44" s="1111"/>
      <c r="C44" s="1031" t="str">
        <f>IF(B43="","",VLOOKUP(B43,'Списки участников'!$A:$L,6,FALSE))</f>
        <v/>
      </c>
      <c r="D44" s="1032" t="str">
        <f>IF(S34="","",IF(U34="l","W",U34))</f>
        <v/>
      </c>
      <c r="E44" s="1033" t="str">
        <f>IF(T34="","",":")</f>
        <v/>
      </c>
      <c r="F44" s="1038" t="str">
        <f>IF(U34="","",IF(S34="W","L",S34))</f>
        <v/>
      </c>
      <c r="G44" s="1032" t="str">
        <f>IF(S36="","",IF(U36="l","W",U36))</f>
        <v/>
      </c>
      <c r="H44" s="1033" t="str">
        <f>IF(T36="","",":")</f>
        <v/>
      </c>
      <c r="I44" s="1038" t="str">
        <f>IF(U36="","",IF(S36="W","L",S36))</f>
        <v/>
      </c>
      <c r="J44" s="1032" t="str">
        <f>IF(S38="","",IF(U38="l","W",U38))</f>
        <v/>
      </c>
      <c r="K44" s="1033" t="str">
        <f>IF(T38="","",":")</f>
        <v/>
      </c>
      <c r="L44" s="1038" t="str">
        <f>IF(U38="","",IF(S38="W","L",S38))</f>
        <v/>
      </c>
      <c r="M44" s="1032" t="str">
        <f>IF(S40="","",IF(U40="l","W",U40))</f>
        <v/>
      </c>
      <c r="N44" s="1033" t="str">
        <f>IF(T40="","",":")</f>
        <v/>
      </c>
      <c r="O44" s="1038" t="str">
        <f>IF(U40="","",IF(S40="W","L",S40))</f>
        <v/>
      </c>
      <c r="P44" s="1032" t="str">
        <f>IF(S42="","",IF(U42="l","W",U42))</f>
        <v/>
      </c>
      <c r="Q44" s="1033" t="str">
        <f>IF(T42="","",":")</f>
        <v/>
      </c>
      <c r="R44" s="1038" t="str">
        <f>IF(U42="","",IF(S42="W","L",S42))</f>
        <v/>
      </c>
      <c r="S44" s="1129"/>
      <c r="T44" s="1114"/>
      <c r="U44" s="1115"/>
      <c r="V44" s="1121"/>
      <c r="W44" s="1122"/>
      <c r="X44" s="1131"/>
      <c r="Y44" s="1125"/>
      <c r="Z44" s="463"/>
      <c r="AA44" s="1109"/>
      <c r="AB44" s="1111"/>
      <c r="AC44" s="1031" t="str">
        <f>IF(AB43="","",VLOOKUP(AB43,'Списки участников'!$A:$L,6,FALSE))</f>
        <v/>
      </c>
      <c r="AD44" s="1032" t="str">
        <f>IF(AS34="","",IF(AU34="l","W",AU34))</f>
        <v/>
      </c>
      <c r="AE44" s="1033" t="str">
        <f>IF(AT34="","",":")</f>
        <v/>
      </c>
      <c r="AF44" s="1038" t="str">
        <f>IF(AU34="","",IF(AS34="W","L",AS34))</f>
        <v/>
      </c>
      <c r="AG44" s="1032" t="str">
        <f>IF(AS36="","",IF(AU36="l","W",AU36))</f>
        <v/>
      </c>
      <c r="AH44" s="1033" t="str">
        <f>IF(AT36="","",":")</f>
        <v/>
      </c>
      <c r="AI44" s="1038" t="str">
        <f>IF(AU36="","",IF(AS36="W","L",AS36))</f>
        <v/>
      </c>
      <c r="AJ44" s="1032" t="str">
        <f>IF(AS38="","",IF(AU38="l","W",AU38))</f>
        <v/>
      </c>
      <c r="AK44" s="1033" t="str">
        <f>IF(AT38="","",":")</f>
        <v/>
      </c>
      <c r="AL44" s="1038" t="str">
        <f>IF(AU38="","",IF(AS38="W","L",AS38))</f>
        <v/>
      </c>
      <c r="AM44" s="1032" t="str">
        <f>IF(AS40="","",IF(AU40="l","W",AU40))</f>
        <v/>
      </c>
      <c r="AN44" s="1033" t="str">
        <f>IF(AT40="","",":")</f>
        <v/>
      </c>
      <c r="AO44" s="1038" t="str">
        <f>IF(AU40="","",IF(AS40="W","L",AS40))</f>
        <v/>
      </c>
      <c r="AP44" s="1032" t="str">
        <f>IF(AS42="","",IF(AU42="l","W",AU42))</f>
        <v/>
      </c>
      <c r="AQ44" s="1033" t="str">
        <f>IF(AT42="","",":")</f>
        <v/>
      </c>
      <c r="AR44" s="1038" t="str">
        <f>IF(AU42="","",IF(AS42="W","L",AS42))</f>
        <v/>
      </c>
      <c r="AS44" s="1129"/>
      <c r="AT44" s="1114"/>
      <c r="AU44" s="1115"/>
      <c r="AV44" s="1121"/>
      <c r="AW44" s="1122"/>
      <c r="AX44" s="1131"/>
      <c r="AY44" s="1125"/>
    </row>
    <row r="45" spans="1:51" ht="12" customHeight="1" x14ac:dyDescent="0.25">
      <c r="A45" s="1024"/>
      <c r="B45" s="1024"/>
      <c r="C45" s="1025"/>
      <c r="D45" s="1024"/>
      <c r="E45" s="1024"/>
      <c r="F45" s="1024"/>
      <c r="G45" s="1102" t="s">
        <v>2802</v>
      </c>
      <c r="H45" s="1102"/>
      <c r="I45" s="1102"/>
      <c r="J45" s="1102"/>
      <c r="K45" s="1102"/>
      <c r="L45" s="1102"/>
      <c r="M45" s="1102"/>
      <c r="N45" s="1102"/>
      <c r="O45" s="1102"/>
      <c r="P45" s="1102"/>
      <c r="Q45" s="1102"/>
      <c r="R45" s="1102"/>
      <c r="S45" s="1041"/>
      <c r="T45" s="1041"/>
      <c r="U45" s="1041"/>
      <c r="V45" s="1024"/>
      <c r="W45" s="1024"/>
      <c r="X45" s="1024"/>
      <c r="Y45" s="1024"/>
      <c r="Z45" s="463"/>
      <c r="AA45" s="1024"/>
      <c r="AB45" s="1024"/>
      <c r="AC45" s="1025"/>
      <c r="AD45" s="1024"/>
      <c r="AE45" s="1024"/>
      <c r="AF45" s="1024"/>
      <c r="AG45" s="1102" t="s">
        <v>2617</v>
      </c>
      <c r="AH45" s="1102"/>
      <c r="AI45" s="1102"/>
      <c r="AJ45" s="1102"/>
      <c r="AK45" s="1102"/>
      <c r="AL45" s="1102"/>
      <c r="AM45" s="1102"/>
      <c r="AN45" s="1102"/>
      <c r="AO45" s="1102"/>
      <c r="AP45" s="1102"/>
      <c r="AQ45" s="1102"/>
      <c r="AR45" s="1102"/>
      <c r="AS45" s="1041"/>
      <c r="AT45" s="1041"/>
      <c r="AU45" s="1041"/>
      <c r="AV45" s="1024"/>
      <c r="AW45" s="1024"/>
      <c r="AX45" s="1024"/>
      <c r="AY45" s="1024"/>
    </row>
    <row r="46" spans="1:51" ht="12" customHeight="1" x14ac:dyDescent="0.2">
      <c r="A46" s="1026" t="s">
        <v>3</v>
      </c>
      <c r="B46" s="1027"/>
      <c r="C46" s="1028" t="s">
        <v>757</v>
      </c>
      <c r="D46" s="1103">
        <v>1</v>
      </c>
      <c r="E46" s="1104"/>
      <c r="F46" s="1105"/>
      <c r="G46" s="1103">
        <v>2</v>
      </c>
      <c r="H46" s="1104"/>
      <c r="I46" s="1105"/>
      <c r="J46" s="1103">
        <v>3</v>
      </c>
      <c r="K46" s="1104"/>
      <c r="L46" s="1105"/>
      <c r="M46" s="1103">
        <v>4</v>
      </c>
      <c r="N46" s="1104"/>
      <c r="O46" s="1105"/>
      <c r="P46" s="1103">
        <v>5</v>
      </c>
      <c r="Q46" s="1104"/>
      <c r="R46" s="1105"/>
      <c r="S46" s="1103">
        <v>6</v>
      </c>
      <c r="T46" s="1104"/>
      <c r="U46" s="1105"/>
      <c r="V46" s="1106" t="s">
        <v>758</v>
      </c>
      <c r="W46" s="1107"/>
      <c r="X46" s="1029" t="s">
        <v>759</v>
      </c>
      <c r="Y46" s="1042" t="s">
        <v>2803</v>
      </c>
      <c r="Z46" s="463"/>
      <c r="AA46" s="1026" t="s">
        <v>3</v>
      </c>
      <c r="AB46" s="1027"/>
      <c r="AC46" s="1028" t="s">
        <v>757</v>
      </c>
      <c r="AD46" s="1103">
        <v>1</v>
      </c>
      <c r="AE46" s="1104"/>
      <c r="AF46" s="1105"/>
      <c r="AG46" s="1103">
        <v>2</v>
      </c>
      <c r="AH46" s="1104"/>
      <c r="AI46" s="1105"/>
      <c r="AJ46" s="1103">
        <v>3</v>
      </c>
      <c r="AK46" s="1104"/>
      <c r="AL46" s="1105"/>
      <c r="AM46" s="1103">
        <v>4</v>
      </c>
      <c r="AN46" s="1104"/>
      <c r="AO46" s="1105"/>
      <c r="AP46" s="1103">
        <v>5</v>
      </c>
      <c r="AQ46" s="1104"/>
      <c r="AR46" s="1105"/>
      <c r="AS46" s="1103">
        <v>6</v>
      </c>
      <c r="AT46" s="1104"/>
      <c r="AU46" s="1105"/>
      <c r="AV46" s="1106" t="s">
        <v>758</v>
      </c>
      <c r="AW46" s="1107"/>
      <c r="AX46" s="1029" t="s">
        <v>759</v>
      </c>
      <c r="AY46" s="1042" t="s">
        <v>2803</v>
      </c>
    </row>
    <row r="47" spans="1:51" ht="12" customHeight="1" x14ac:dyDescent="0.2">
      <c r="A47" s="1108">
        <v>1</v>
      </c>
      <c r="B47" s="1110">
        <v>35</v>
      </c>
      <c r="C47" s="1030" t="str">
        <f>IF(B47="","",VLOOKUP(B47,'Списки участников'!A:L,3,FALSE))</f>
        <v>ГРИШИН Иван</v>
      </c>
      <c r="D47" s="1112"/>
      <c r="E47" s="1112"/>
      <c r="F47" s="1113"/>
      <c r="G47" s="1116">
        <v>1</v>
      </c>
      <c r="H47" s="1117"/>
      <c r="I47" s="1118"/>
      <c r="J47" s="1116">
        <v>2</v>
      </c>
      <c r="K47" s="1117"/>
      <c r="L47" s="1118"/>
      <c r="M47" s="1116"/>
      <c r="N47" s="1117"/>
      <c r="O47" s="1118"/>
      <c r="P47" s="1116"/>
      <c r="Q47" s="1117"/>
      <c r="R47" s="1118"/>
      <c r="S47" s="1116"/>
      <c r="T47" s="1117"/>
      <c r="U47" s="1118"/>
      <c r="V47" s="1119">
        <f>IF(B47="","",SUM(G47,J47,M47,P47,D47,S47))</f>
        <v>3</v>
      </c>
      <c r="W47" s="1120"/>
      <c r="X47" s="1123"/>
      <c r="Y47" s="1125">
        <f>IF(B47="","",RANK(V47,$V$47:$W$58))</f>
        <v>2</v>
      </c>
      <c r="Z47" s="463"/>
      <c r="AA47" s="1108">
        <v>1</v>
      </c>
      <c r="AB47" s="1110"/>
      <c r="AC47" s="1030" t="str">
        <f>IF(AB47="","",VLOOKUP(AB47,'Списки участников'!$A:$L,3,FALSE))</f>
        <v/>
      </c>
      <c r="AD47" s="1112"/>
      <c r="AE47" s="1112"/>
      <c r="AF47" s="1113"/>
      <c r="AG47" s="1116"/>
      <c r="AH47" s="1117"/>
      <c r="AI47" s="1118"/>
      <c r="AJ47" s="1116"/>
      <c r="AK47" s="1117"/>
      <c r="AL47" s="1118"/>
      <c r="AM47" s="1116"/>
      <c r="AN47" s="1117"/>
      <c r="AO47" s="1118"/>
      <c r="AP47" s="1116"/>
      <c r="AQ47" s="1117"/>
      <c r="AR47" s="1118"/>
      <c r="AS47" s="1116"/>
      <c r="AT47" s="1117"/>
      <c r="AU47" s="1118"/>
      <c r="AV47" s="1119" t="str">
        <f>IF(AB47="","",SUM(AG47,AJ47,AM47,AP47,AD47,AS47))</f>
        <v/>
      </c>
      <c r="AW47" s="1120"/>
      <c r="AX47" s="1123"/>
      <c r="AY47" s="1125" t="str">
        <f>IF(AB47="","",RANK(AV47,$AV$47:$AW$58))</f>
        <v/>
      </c>
    </row>
    <row r="48" spans="1:51" ht="12" customHeight="1" x14ac:dyDescent="0.2">
      <c r="A48" s="1109"/>
      <c r="B48" s="1111"/>
      <c r="C48" s="1031" t="str">
        <f>IF(B47="","",VLOOKUP(B47,'Списки участников'!$A:$L,6,FALSE))</f>
        <v>АО "ОКБМ"</v>
      </c>
      <c r="D48" s="1114"/>
      <c r="E48" s="1114"/>
      <c r="F48" s="1115"/>
      <c r="G48" s="1032">
        <v>0</v>
      </c>
      <c r="H48" s="1033" t="str">
        <f>IF(G47="","",":")</f>
        <v>:</v>
      </c>
      <c r="I48" s="1034">
        <v>2</v>
      </c>
      <c r="J48" s="1032">
        <v>2</v>
      </c>
      <c r="K48" s="1033" t="str">
        <f>IF(J47="","",":")</f>
        <v>:</v>
      </c>
      <c r="L48" s="1034">
        <v>0</v>
      </c>
      <c r="M48" s="1032"/>
      <c r="N48" s="1033" t="str">
        <f>IF(M48="","",":")</f>
        <v/>
      </c>
      <c r="O48" s="1034"/>
      <c r="P48" s="1032"/>
      <c r="Q48" s="1033" t="str">
        <f>IF(P48="","",":")</f>
        <v/>
      </c>
      <c r="R48" s="1034"/>
      <c r="S48" s="1043"/>
      <c r="T48" s="1043"/>
      <c r="U48" s="1043"/>
      <c r="V48" s="1121"/>
      <c r="W48" s="1122"/>
      <c r="X48" s="1124"/>
      <c r="Y48" s="1125"/>
      <c r="Z48" s="463"/>
      <c r="AA48" s="1109"/>
      <c r="AB48" s="1111"/>
      <c r="AC48" s="1031" t="str">
        <f>IF(AB47="","",VLOOKUP(AB47,'Списки участников'!$A:$L,6,FALSE))</f>
        <v/>
      </c>
      <c r="AD48" s="1114"/>
      <c r="AE48" s="1114"/>
      <c r="AF48" s="1115"/>
      <c r="AG48" s="1032"/>
      <c r="AH48" s="1033" t="str">
        <f>IF(AG47="","",":")</f>
        <v/>
      </c>
      <c r="AI48" s="1034"/>
      <c r="AJ48" s="1032"/>
      <c r="AK48" s="1033" t="str">
        <f>IF(AJ47="","",":")</f>
        <v/>
      </c>
      <c r="AL48" s="1034"/>
      <c r="AM48" s="1032"/>
      <c r="AN48" s="1033" t="str">
        <f>IF(AM48="","",":")</f>
        <v/>
      </c>
      <c r="AO48" s="1034"/>
      <c r="AP48" s="1032"/>
      <c r="AQ48" s="1033" t="str">
        <f>IF(AP48="","",":")</f>
        <v/>
      </c>
      <c r="AR48" s="1034"/>
      <c r="AS48" s="1043"/>
      <c r="AT48" s="1043"/>
      <c r="AU48" s="1043"/>
      <c r="AV48" s="1121"/>
      <c r="AW48" s="1122"/>
      <c r="AX48" s="1124"/>
      <c r="AY48" s="1125"/>
    </row>
    <row r="49" spans="1:51" ht="12" customHeight="1" x14ac:dyDescent="0.2">
      <c r="A49" s="1108">
        <v>2</v>
      </c>
      <c r="B49" s="1110">
        <v>25</v>
      </c>
      <c r="C49" s="1030" t="str">
        <f>IF(B49="","",VLOOKUP(B49,'Списки участников'!A:L,3,FALSE))</f>
        <v>ФИЛЬЧУГОВ Сергей</v>
      </c>
      <c r="D49" s="1116">
        <f>IF(G47="","",IF(G48="W",0,IF(G47=2,1,IF(G47=1,2,IF(G47=0,2)))))</f>
        <v>2</v>
      </c>
      <c r="E49" s="1117"/>
      <c r="F49" s="1118"/>
      <c r="G49" s="1126"/>
      <c r="H49" s="1127"/>
      <c r="I49" s="1128"/>
      <c r="J49" s="1116">
        <v>2</v>
      </c>
      <c r="K49" s="1117"/>
      <c r="L49" s="1118"/>
      <c r="M49" s="1116"/>
      <c r="N49" s="1117"/>
      <c r="O49" s="1118"/>
      <c r="P49" s="1116"/>
      <c r="Q49" s="1117"/>
      <c r="R49" s="1118"/>
      <c r="S49" s="1116"/>
      <c r="T49" s="1117"/>
      <c r="U49" s="1118"/>
      <c r="V49" s="1119">
        <f t="shared" ref="V49" si="60">IF(B49="","",SUM(G49,J49,M49,P49,D49,S49))</f>
        <v>4</v>
      </c>
      <c r="W49" s="1120"/>
      <c r="X49" s="1123"/>
      <c r="Y49" s="1125">
        <f t="shared" ref="Y49" si="61">IF(B49="","",RANK(V49,$V$47:$W$58))</f>
        <v>1</v>
      </c>
      <c r="Z49" s="463"/>
      <c r="AA49" s="1108">
        <v>2</v>
      </c>
      <c r="AB49" s="1110"/>
      <c r="AC49" s="1030" t="str">
        <f>IF(AB49="","",VLOOKUP(AB49,'Списки участников'!$A:$L,3,FALSE))</f>
        <v/>
      </c>
      <c r="AD49" s="1116" t="str">
        <f>IF(AG47="","",IF(AG48="W",0,IF(AG47=2,1,IF(AG47=1,2,IF(AG47=0,2)))))</f>
        <v/>
      </c>
      <c r="AE49" s="1117"/>
      <c r="AF49" s="1118"/>
      <c r="AG49" s="1126"/>
      <c r="AH49" s="1127"/>
      <c r="AI49" s="1128"/>
      <c r="AJ49" s="1116"/>
      <c r="AK49" s="1117"/>
      <c r="AL49" s="1118"/>
      <c r="AM49" s="1116"/>
      <c r="AN49" s="1117"/>
      <c r="AO49" s="1118"/>
      <c r="AP49" s="1116"/>
      <c r="AQ49" s="1117"/>
      <c r="AR49" s="1118"/>
      <c r="AS49" s="1116"/>
      <c r="AT49" s="1117"/>
      <c r="AU49" s="1118"/>
      <c r="AV49" s="1119" t="str">
        <f t="shared" ref="AV49" si="62">IF(AB49="","",SUM(AG49,AJ49,AM49,AP49,AD49,AS49))</f>
        <v/>
      </c>
      <c r="AW49" s="1120"/>
      <c r="AX49" s="1123"/>
      <c r="AY49" s="1125" t="str">
        <f t="shared" ref="AY49" si="63">IF(AB49="","",RANK(AV49,$AV$47:$AW$58))</f>
        <v/>
      </c>
    </row>
    <row r="50" spans="1:51" ht="12" customHeight="1" x14ac:dyDescent="0.2">
      <c r="A50" s="1109"/>
      <c r="B50" s="1111"/>
      <c r="C50" s="1031" t="str">
        <f>IF(B49="","",VLOOKUP(B49,'Списки участников'!$A:$L,6,FALSE))</f>
        <v>"КРАСНОЕ СОРМОВО"</v>
      </c>
      <c r="D50" s="1035">
        <f>IF(G48="","",IF(I48="l","W",I48))</f>
        <v>2</v>
      </c>
      <c r="E50" s="1036" t="str">
        <f>IF(G47="","",":")</f>
        <v>:</v>
      </c>
      <c r="F50" s="1037">
        <f>IF(I48="","",IF(G48="W","L",G48))</f>
        <v>0</v>
      </c>
      <c r="G50" s="1129"/>
      <c r="H50" s="1114"/>
      <c r="I50" s="1115"/>
      <c r="J50" s="1032">
        <v>2</v>
      </c>
      <c r="K50" s="1033" t="str">
        <f>IF(J49="","",":")</f>
        <v>:</v>
      </c>
      <c r="L50" s="1034">
        <v>0</v>
      </c>
      <c r="M50" s="1032"/>
      <c r="N50" s="1033" t="str">
        <f>IF(M49="","",":")</f>
        <v/>
      </c>
      <c r="O50" s="1034"/>
      <c r="P50" s="1032"/>
      <c r="Q50" s="1033" t="str">
        <f>IF(P49="","",":")</f>
        <v/>
      </c>
      <c r="R50" s="1034"/>
      <c r="S50" s="1043"/>
      <c r="T50" s="1043"/>
      <c r="U50" s="1043"/>
      <c r="V50" s="1121"/>
      <c r="W50" s="1122"/>
      <c r="X50" s="1124"/>
      <c r="Y50" s="1125"/>
      <c r="Z50" s="463"/>
      <c r="AA50" s="1109"/>
      <c r="AB50" s="1111"/>
      <c r="AC50" s="1031" t="str">
        <f>IF(AB49="","",VLOOKUP(AB49,'Списки участников'!$A:$L,6,FALSE))</f>
        <v/>
      </c>
      <c r="AD50" s="1035" t="str">
        <f>IF(AG48="","",IF(AI48="l","W",AI48))</f>
        <v/>
      </c>
      <c r="AE50" s="1036" t="str">
        <f>IF(AG47="","",":")</f>
        <v/>
      </c>
      <c r="AF50" s="1037" t="str">
        <f>IF(AI48="","",IF(AG48="W","L",AG48))</f>
        <v/>
      </c>
      <c r="AG50" s="1129"/>
      <c r="AH50" s="1114"/>
      <c r="AI50" s="1115"/>
      <c r="AJ50" s="1032"/>
      <c r="AK50" s="1033" t="str">
        <f>IF(AJ49="","",":")</f>
        <v/>
      </c>
      <c r="AL50" s="1034"/>
      <c r="AM50" s="1032"/>
      <c r="AN50" s="1033" t="str">
        <f>IF(AM49="","",":")</f>
        <v/>
      </c>
      <c r="AO50" s="1034"/>
      <c r="AP50" s="1032"/>
      <c r="AQ50" s="1033" t="str">
        <f>IF(AP49="","",":")</f>
        <v/>
      </c>
      <c r="AR50" s="1034"/>
      <c r="AS50" s="1043"/>
      <c r="AT50" s="1043"/>
      <c r="AU50" s="1043"/>
      <c r="AV50" s="1121"/>
      <c r="AW50" s="1122"/>
      <c r="AX50" s="1124"/>
      <c r="AY50" s="1125"/>
    </row>
    <row r="51" spans="1:51" ht="12" customHeight="1" x14ac:dyDescent="0.2">
      <c r="A51" s="1108">
        <v>3</v>
      </c>
      <c r="B51" s="1110">
        <v>47</v>
      </c>
      <c r="C51" s="1030" t="str">
        <f>IF(B51="","",VLOOKUP(B51,'Списки участников'!A:L,3,FALSE))</f>
        <v>БЕЛОУС Денис</v>
      </c>
      <c r="D51" s="1116">
        <f>IF(J47="","",IF(J48="W",0,IF(J47=2,1,IF(J47=1,2,IF(J47=0,2)))))</f>
        <v>1</v>
      </c>
      <c r="E51" s="1117"/>
      <c r="F51" s="1118"/>
      <c r="G51" s="1116">
        <f>IF(J49="","",IF(J50="W",0,IF(J49=2,1,IF(J49=1,2,IF(J49=0,2)))))</f>
        <v>1</v>
      </c>
      <c r="H51" s="1117"/>
      <c r="I51" s="1118"/>
      <c r="J51" s="1126"/>
      <c r="K51" s="1127"/>
      <c r="L51" s="1128"/>
      <c r="M51" s="1116"/>
      <c r="N51" s="1117"/>
      <c r="O51" s="1118"/>
      <c r="P51" s="1116"/>
      <c r="Q51" s="1117"/>
      <c r="R51" s="1118"/>
      <c r="S51" s="1116"/>
      <c r="T51" s="1117"/>
      <c r="U51" s="1118"/>
      <c r="V51" s="1119">
        <f t="shared" ref="V51" si="64">IF(B51="","",SUM(G51,J51,M51,P51,D51,S51))</f>
        <v>2</v>
      </c>
      <c r="W51" s="1120"/>
      <c r="X51" s="1130"/>
      <c r="Y51" s="1125">
        <f t="shared" ref="Y51" si="65">IF(B51="","",RANK(V51,$V$47:$W$58))</f>
        <v>3</v>
      </c>
      <c r="Z51" s="463"/>
      <c r="AA51" s="1108">
        <v>3</v>
      </c>
      <c r="AB51" s="1110"/>
      <c r="AC51" s="1030" t="str">
        <f>IF(AB51="","",VLOOKUP(AB51,'Списки участников'!$A:$L,3,FALSE))</f>
        <v/>
      </c>
      <c r="AD51" s="1116" t="str">
        <f>IF(AJ47="","",IF(AJ48="W",0,IF(AJ47=2,1,IF(AJ47=1,2,IF(AJ47=0,2)))))</f>
        <v/>
      </c>
      <c r="AE51" s="1117"/>
      <c r="AF51" s="1118"/>
      <c r="AG51" s="1116" t="str">
        <f>IF(AJ49="","",IF(AJ50="W",0,IF(AJ49=2,1,IF(AJ49=1,2,IF(AJ49=0,2)))))</f>
        <v/>
      </c>
      <c r="AH51" s="1117"/>
      <c r="AI51" s="1118"/>
      <c r="AJ51" s="1126"/>
      <c r="AK51" s="1127"/>
      <c r="AL51" s="1128"/>
      <c r="AM51" s="1116"/>
      <c r="AN51" s="1117"/>
      <c r="AO51" s="1118"/>
      <c r="AP51" s="1116"/>
      <c r="AQ51" s="1117"/>
      <c r="AR51" s="1118"/>
      <c r="AS51" s="1116"/>
      <c r="AT51" s="1117"/>
      <c r="AU51" s="1118"/>
      <c r="AV51" s="1119" t="str">
        <f t="shared" ref="AV51" si="66">IF(AB51="","",SUM(AG51,AJ51,AM51,AP51,AD51,AS51))</f>
        <v/>
      </c>
      <c r="AW51" s="1120"/>
      <c r="AX51" s="1130"/>
      <c r="AY51" s="1125" t="str">
        <f t="shared" ref="AY51" si="67">IF(AB51="","",RANK(AV51,$AV$47:$AW$58))</f>
        <v/>
      </c>
    </row>
    <row r="52" spans="1:51" ht="12" customHeight="1" x14ac:dyDescent="0.2">
      <c r="A52" s="1109"/>
      <c r="B52" s="1111"/>
      <c r="C52" s="1031" t="str">
        <f>IF(B51="","",VLOOKUP(B51,'Списки участников'!$A:$L,6,FALSE))</f>
        <v>ПАО НАЗ "СОКОЛ"</v>
      </c>
      <c r="D52" s="1032">
        <f>IF(J48="","",IF(L48="l","W",L48))</f>
        <v>0</v>
      </c>
      <c r="E52" s="1033" t="str">
        <f>IF(K48="","",":")</f>
        <v>:</v>
      </c>
      <c r="F52" s="1038">
        <f>IF(L48="","",IF(J48="W","L",J48))</f>
        <v>2</v>
      </c>
      <c r="G52" s="1032">
        <f>IF(J50="","",IF(L50="l","W",L50))</f>
        <v>0</v>
      </c>
      <c r="H52" s="1033" t="str">
        <f>IF(K50="","",":")</f>
        <v>:</v>
      </c>
      <c r="I52" s="1038">
        <f>IF(L50="","",IF(J50="W","L",J50))</f>
        <v>2</v>
      </c>
      <c r="J52" s="1129"/>
      <c r="K52" s="1114"/>
      <c r="L52" s="1115"/>
      <c r="M52" s="1032"/>
      <c r="N52" s="1033" t="str">
        <f>IF(M51="","",":")</f>
        <v/>
      </c>
      <c r="O52" s="1034"/>
      <c r="P52" s="1032"/>
      <c r="Q52" s="1033" t="str">
        <f>IF(P51="","",":")</f>
        <v/>
      </c>
      <c r="R52" s="1034"/>
      <c r="S52" s="1043"/>
      <c r="T52" s="1043"/>
      <c r="U52" s="1043"/>
      <c r="V52" s="1121"/>
      <c r="W52" s="1122"/>
      <c r="X52" s="1131"/>
      <c r="Y52" s="1125"/>
      <c r="Z52" s="463"/>
      <c r="AA52" s="1109"/>
      <c r="AB52" s="1111"/>
      <c r="AC52" s="1031" t="str">
        <f>IF(AB51="","",VLOOKUP(AB51,'Списки участников'!$A:$L,6,FALSE))</f>
        <v/>
      </c>
      <c r="AD52" s="1032" t="str">
        <f>IF(AJ48="","",IF(AL48="l","W",AL48))</f>
        <v/>
      </c>
      <c r="AE52" s="1033" t="str">
        <f>IF(AK48="","",":")</f>
        <v/>
      </c>
      <c r="AF52" s="1038" t="str">
        <f>IF(AL48="","",IF(AJ48="W","L",AJ48))</f>
        <v/>
      </c>
      <c r="AG52" s="1032" t="str">
        <f>IF(AJ50="","",IF(AL50="l","W",AL50))</f>
        <v/>
      </c>
      <c r="AH52" s="1033" t="str">
        <f>IF(AK50="","",":")</f>
        <v/>
      </c>
      <c r="AI52" s="1038" t="str">
        <f>IF(AL50="","",IF(AJ50="W","L",AJ50))</f>
        <v/>
      </c>
      <c r="AJ52" s="1129"/>
      <c r="AK52" s="1114"/>
      <c r="AL52" s="1115"/>
      <c r="AM52" s="1032"/>
      <c r="AN52" s="1033" t="str">
        <f>IF(AM51="","",":")</f>
        <v/>
      </c>
      <c r="AO52" s="1034"/>
      <c r="AP52" s="1032"/>
      <c r="AQ52" s="1033" t="str">
        <f>IF(AP51="","",":")</f>
        <v/>
      </c>
      <c r="AR52" s="1034"/>
      <c r="AS52" s="1043"/>
      <c r="AT52" s="1043"/>
      <c r="AU52" s="1043"/>
      <c r="AV52" s="1121"/>
      <c r="AW52" s="1122"/>
      <c r="AX52" s="1131"/>
      <c r="AY52" s="1125"/>
    </row>
    <row r="53" spans="1:51" ht="15" x14ac:dyDescent="0.2">
      <c r="A53" s="1108">
        <v>4</v>
      </c>
      <c r="B53" s="1110"/>
      <c r="C53" s="1030" t="str">
        <f>IF(B53="","",VLOOKUP(B53,'Списки участников'!A:L,3,FALSE))</f>
        <v/>
      </c>
      <c r="D53" s="1116" t="str">
        <f>IF(M47="","",IF(M48="W",0,IF(M47=2,1,IF(M47=1,2,IF(M47=0,2)))))</f>
        <v/>
      </c>
      <c r="E53" s="1117"/>
      <c r="F53" s="1118"/>
      <c r="G53" s="1116" t="str">
        <f>IF(M49="","",IF(M50="W",0,IF(M49=2,1,IF(M49=1,2,IF(M49=0,2)))))</f>
        <v/>
      </c>
      <c r="H53" s="1117"/>
      <c r="I53" s="1118"/>
      <c r="J53" s="1116" t="str">
        <f>IF(M51="","",IF(M52="W",0,IF(M51=2,1,IF(M51=1,2,IF(M51=0,2)))))</f>
        <v/>
      </c>
      <c r="K53" s="1117"/>
      <c r="L53" s="1118"/>
      <c r="M53" s="1127"/>
      <c r="N53" s="1127"/>
      <c r="O53" s="1127"/>
      <c r="P53" s="1116"/>
      <c r="Q53" s="1117"/>
      <c r="R53" s="1118"/>
      <c r="S53" s="1116"/>
      <c r="T53" s="1117"/>
      <c r="U53" s="1118"/>
      <c r="V53" s="1119" t="str">
        <f t="shared" ref="V53" si="68">IF(B53="","",SUM(G53,J53,M53,P53,D53,S53))</f>
        <v/>
      </c>
      <c r="W53" s="1120"/>
      <c r="X53" s="1130"/>
      <c r="Y53" s="1125" t="str">
        <f t="shared" ref="Y53" si="69">IF(B53="","",RANK(V53,$V$47:$W$58))</f>
        <v/>
      </c>
      <c r="AA53" s="1108">
        <v>4</v>
      </c>
      <c r="AB53" s="1110"/>
      <c r="AC53" s="1030" t="str">
        <f>IF(AB53="","",VLOOKUP(AB53,'Списки участников'!$A:$L,3,FALSE))</f>
        <v/>
      </c>
      <c r="AD53" s="1116" t="str">
        <f>IF(AM47="","",IF(AM48="W",0,IF(AM47=2,1,IF(AM47=1,2,IF(AM47=0,2)))))</f>
        <v/>
      </c>
      <c r="AE53" s="1117"/>
      <c r="AF53" s="1118"/>
      <c r="AG53" s="1116" t="str">
        <f>IF(AM49="","",IF(AM50="W",0,IF(AM49=2,1,IF(AM49=1,2,IF(AM49=0,2)))))</f>
        <v/>
      </c>
      <c r="AH53" s="1117"/>
      <c r="AI53" s="1118"/>
      <c r="AJ53" s="1116" t="str">
        <f>IF(AM51="","",IF(AM52="W",0,IF(AM51=2,1,IF(AM51=1,2,IF(AM51=0,2)))))</f>
        <v/>
      </c>
      <c r="AK53" s="1117"/>
      <c r="AL53" s="1118"/>
      <c r="AM53" s="1127"/>
      <c r="AN53" s="1127"/>
      <c r="AO53" s="1127"/>
      <c r="AP53" s="1116"/>
      <c r="AQ53" s="1117"/>
      <c r="AR53" s="1118"/>
      <c r="AS53" s="1116"/>
      <c r="AT53" s="1117"/>
      <c r="AU53" s="1118"/>
      <c r="AV53" s="1119" t="str">
        <f t="shared" ref="AV53" si="70">IF(AB53="","",SUM(AG53,AJ53,AM53,AP53,AD53,AS53))</f>
        <v/>
      </c>
      <c r="AW53" s="1120"/>
      <c r="AX53" s="1130"/>
      <c r="AY53" s="1125" t="str">
        <f t="shared" ref="AY53" si="71">IF(AB53="","",RANK(AV53,$AV$47:$AW$58))</f>
        <v/>
      </c>
    </row>
    <row r="54" spans="1:51" ht="15" x14ac:dyDescent="0.2">
      <c r="A54" s="1109"/>
      <c r="B54" s="1111"/>
      <c r="C54" s="1031" t="str">
        <f>IF(B53="","",VLOOKUP(B53,'Списки участников'!$A:$L,6,FALSE))</f>
        <v/>
      </c>
      <c r="D54" s="1032" t="str">
        <f>IF(M48="","",IF(O48="l","W",O48))</f>
        <v/>
      </c>
      <c r="E54" s="1033" t="str">
        <f>IF(N48="","",":")</f>
        <v/>
      </c>
      <c r="F54" s="1038" t="str">
        <f>IF(O48="","",IF(M48="W","L",M48))</f>
        <v/>
      </c>
      <c r="G54" s="1032" t="str">
        <f>IF(M50="","",IF(O50="l","W",O50))</f>
        <v/>
      </c>
      <c r="H54" s="1033" t="str">
        <f>IF(N50="","",":")</f>
        <v/>
      </c>
      <c r="I54" s="1038" t="str">
        <f>IF(O50="","",IF(M50="W","L",M50))</f>
        <v/>
      </c>
      <c r="J54" s="1032" t="str">
        <f>IF(M52="","",IF(O52="l","W",O52))</f>
        <v/>
      </c>
      <c r="K54" s="1033" t="str">
        <f>IF(N52="","",":")</f>
        <v/>
      </c>
      <c r="L54" s="1038" t="str">
        <f>IF(O52="","",IF(M52="W","L",M52))</f>
        <v/>
      </c>
      <c r="M54" s="1132"/>
      <c r="N54" s="1132"/>
      <c r="O54" s="1132"/>
      <c r="P54" s="1032"/>
      <c r="Q54" s="1033" t="str">
        <f>IF(P53="","",":")</f>
        <v/>
      </c>
      <c r="R54" s="1034"/>
      <c r="S54" s="1043"/>
      <c r="T54" s="1043"/>
      <c r="U54" s="1043"/>
      <c r="V54" s="1121"/>
      <c r="W54" s="1122"/>
      <c r="X54" s="1131"/>
      <c r="Y54" s="1125"/>
      <c r="AA54" s="1109"/>
      <c r="AB54" s="1111"/>
      <c r="AC54" s="1031" t="str">
        <f>IF(AB53="","",VLOOKUP(AB53,'Списки участников'!$A:$L,6,FALSE))</f>
        <v/>
      </c>
      <c r="AD54" s="1032" t="str">
        <f>IF(AM48="","",IF(AO48="l","W",AO48))</f>
        <v/>
      </c>
      <c r="AE54" s="1033" t="str">
        <f>IF(AN48="","",":")</f>
        <v/>
      </c>
      <c r="AF54" s="1038" t="str">
        <f>IF(AO48="","",IF(AM48="W","L",AM48))</f>
        <v/>
      </c>
      <c r="AG54" s="1032" t="str">
        <f>IF(AM50="","",IF(AO50="l","W",AO50))</f>
        <v/>
      </c>
      <c r="AH54" s="1033" t="str">
        <f>IF(AN50="","",":")</f>
        <v/>
      </c>
      <c r="AI54" s="1038" t="str">
        <f>IF(AO50="","",IF(AM50="W","L",AM50))</f>
        <v/>
      </c>
      <c r="AJ54" s="1032" t="str">
        <f>IF(AM52="","",IF(AO52="l","W",AO52))</f>
        <v/>
      </c>
      <c r="AK54" s="1033" t="str">
        <f>IF(AN52="","",":")</f>
        <v/>
      </c>
      <c r="AL54" s="1038" t="str">
        <f>IF(AO52="","",IF(AM52="W","L",AM52))</f>
        <v/>
      </c>
      <c r="AM54" s="1132"/>
      <c r="AN54" s="1132"/>
      <c r="AO54" s="1132"/>
      <c r="AP54" s="1032"/>
      <c r="AQ54" s="1033" t="str">
        <f>IF(AP53="","",":")</f>
        <v/>
      </c>
      <c r="AR54" s="1034"/>
      <c r="AS54" s="1043"/>
      <c r="AT54" s="1043"/>
      <c r="AU54" s="1043"/>
      <c r="AV54" s="1121"/>
      <c r="AW54" s="1122"/>
      <c r="AX54" s="1131"/>
      <c r="AY54" s="1125"/>
    </row>
    <row r="55" spans="1:51" ht="15" x14ac:dyDescent="0.2">
      <c r="A55" s="1108">
        <v>5</v>
      </c>
      <c r="B55" s="1110"/>
      <c r="C55" s="1030" t="str">
        <f>IF(B55="","",VLOOKUP(B55,'Списки участников'!A:L,3,FALSE))</f>
        <v/>
      </c>
      <c r="D55" s="1116" t="str">
        <f>IF(P47="","",IF(P48="W",0,IF(P47=2,1,IF(P47=1,2,IF(P47=0,2)))))</f>
        <v/>
      </c>
      <c r="E55" s="1117"/>
      <c r="F55" s="1118"/>
      <c r="G55" s="1116" t="str">
        <f>IF(P49="","",IF(P50="W",0,IF(P49=2,1,IF(P49=1,2,IF(P49=0,2)))))</f>
        <v/>
      </c>
      <c r="H55" s="1117"/>
      <c r="I55" s="1118"/>
      <c r="J55" s="1116" t="str">
        <f>IF(P51="","",IF(P52="W",0,IF(P51=2,1,IF(P51=1,2,IF(P51=0,2)))))</f>
        <v/>
      </c>
      <c r="K55" s="1117"/>
      <c r="L55" s="1118"/>
      <c r="M55" s="1116" t="str">
        <f>IF(P53="","",IF(P54="W",0,IF(P53=2,1,IF(P53=1,2,IF(P53=0,2)))))</f>
        <v/>
      </c>
      <c r="N55" s="1117"/>
      <c r="O55" s="1118"/>
      <c r="P55" s="1126"/>
      <c r="Q55" s="1127"/>
      <c r="R55" s="1128"/>
      <c r="S55" s="1116"/>
      <c r="T55" s="1117"/>
      <c r="U55" s="1118"/>
      <c r="V55" s="1119" t="str">
        <f t="shared" ref="V55" si="72">IF(B55="","",SUM(G55,J55,M55,P55,D55,S55))</f>
        <v/>
      </c>
      <c r="W55" s="1120"/>
      <c r="X55" s="1130"/>
      <c r="Y55" s="1125" t="str">
        <f t="shared" ref="Y55" si="73">IF(B55="","",RANK(V55,$V$47:$W$58))</f>
        <v/>
      </c>
      <c r="AA55" s="1108">
        <v>5</v>
      </c>
      <c r="AB55" s="1110"/>
      <c r="AC55" s="1030" t="str">
        <f>IF(AB55="","",VLOOKUP(AB55,'Списки участников'!$A:$L,3,FALSE))</f>
        <v/>
      </c>
      <c r="AD55" s="1116" t="str">
        <f>IF(AP47="","",IF(AP48="W",0,IF(AP47=2,1,IF(AP47=1,2,IF(AP47=0,2)))))</f>
        <v/>
      </c>
      <c r="AE55" s="1117"/>
      <c r="AF55" s="1118"/>
      <c r="AG55" s="1116" t="str">
        <f>IF(AP49="","",IF(AP50="W",0,IF(AP49=2,1,IF(AP49=1,2,IF(AP49=0,2)))))</f>
        <v/>
      </c>
      <c r="AH55" s="1117"/>
      <c r="AI55" s="1118"/>
      <c r="AJ55" s="1116" t="str">
        <f>IF(AP51="","",IF(AP52="W",0,IF(AP51=2,1,IF(AP51=1,2,IF(AP51=0,2)))))</f>
        <v/>
      </c>
      <c r="AK55" s="1117"/>
      <c r="AL55" s="1118"/>
      <c r="AM55" s="1116" t="str">
        <f>IF(AP53="","",IF(AP54="W",0,IF(AP53=2,1,IF(AP53=1,2,IF(AP53=0,2)))))</f>
        <v/>
      </c>
      <c r="AN55" s="1117"/>
      <c r="AO55" s="1118"/>
      <c r="AP55" s="1126"/>
      <c r="AQ55" s="1127"/>
      <c r="AR55" s="1128"/>
      <c r="AS55" s="1116"/>
      <c r="AT55" s="1117"/>
      <c r="AU55" s="1118"/>
      <c r="AV55" s="1119" t="str">
        <f t="shared" ref="AV55" si="74">IF(AB55="","",SUM(AG55,AJ55,AM55,AP55,AD55,AS55))</f>
        <v/>
      </c>
      <c r="AW55" s="1120"/>
      <c r="AX55" s="1130"/>
      <c r="AY55" s="1125" t="str">
        <f t="shared" ref="AY55" si="75">IF(AB55="","",RANK(AV55,$AV$47:$AW$58))</f>
        <v/>
      </c>
    </row>
    <row r="56" spans="1:51" ht="15" x14ac:dyDescent="0.2">
      <c r="A56" s="1109"/>
      <c r="B56" s="1111"/>
      <c r="C56" s="1031" t="str">
        <f>IF(B55="","",VLOOKUP(B55,'Списки участников'!$A:$L,6,FALSE))</f>
        <v/>
      </c>
      <c r="D56" s="1032" t="str">
        <f>IF(P48="","",IF(R48="l","W",R48))</f>
        <v/>
      </c>
      <c r="E56" s="1033" t="str">
        <f>IF(Q48="","",":")</f>
        <v/>
      </c>
      <c r="F56" s="1038" t="str">
        <f>IF(R48="","",IF(P48="W","L",P48))</f>
        <v/>
      </c>
      <c r="G56" s="1032" t="str">
        <f>IF(P50="","",IF(R50="l","W",R50))</f>
        <v/>
      </c>
      <c r="H56" s="1033" t="str">
        <f>IF(Q50="","",":")</f>
        <v/>
      </c>
      <c r="I56" s="1038" t="str">
        <f>IF(R50="","",IF(P50="W","L",P50))</f>
        <v/>
      </c>
      <c r="J56" s="1032" t="str">
        <f>IF(P52="","",IF(R52="l","W",R52))</f>
        <v/>
      </c>
      <c r="K56" s="1033" t="str">
        <f>IF(Q52="","",":")</f>
        <v/>
      </c>
      <c r="L56" s="1038" t="str">
        <f>IF(R52="","",IF(P52="W","L",P52))</f>
        <v/>
      </c>
      <c r="M56" s="1032" t="str">
        <f>IF(P54="","",IF(R54="l","W",R54))</f>
        <v/>
      </c>
      <c r="N56" s="1033" t="str">
        <f>IF(Q54="","",":")</f>
        <v/>
      </c>
      <c r="O56" s="1038" t="str">
        <f>IF(R54="","",IF(P54="W","L",P54))</f>
        <v/>
      </c>
      <c r="P56" s="1129"/>
      <c r="Q56" s="1114"/>
      <c r="R56" s="1115"/>
      <c r="S56" s="1044"/>
      <c r="T56" s="1044"/>
      <c r="U56" s="1044"/>
      <c r="V56" s="1121"/>
      <c r="W56" s="1122"/>
      <c r="X56" s="1131"/>
      <c r="Y56" s="1125"/>
      <c r="AA56" s="1109"/>
      <c r="AB56" s="1111"/>
      <c r="AC56" s="1031" t="str">
        <f>IF(AB55="","",VLOOKUP(AB55,'Списки участников'!$A:$L,6,FALSE))</f>
        <v/>
      </c>
      <c r="AD56" s="1032" t="str">
        <f>IF(AP48="","",IF(AR48="l","W",AR48))</f>
        <v/>
      </c>
      <c r="AE56" s="1033" t="str">
        <f>IF(AQ48="","",":")</f>
        <v/>
      </c>
      <c r="AF56" s="1038" t="str">
        <f>IF(AR48="","",IF(AP48="W","L",AP48))</f>
        <v/>
      </c>
      <c r="AG56" s="1032" t="str">
        <f>IF(AP50="","",IF(AR50="l","W",AR50))</f>
        <v/>
      </c>
      <c r="AH56" s="1033" t="str">
        <f>IF(AQ50="","",":")</f>
        <v/>
      </c>
      <c r="AI56" s="1038" t="str">
        <f>IF(AR50="","",IF(AP50="W","L",AP50))</f>
        <v/>
      </c>
      <c r="AJ56" s="1032" t="str">
        <f>IF(AP52="","",IF(AR52="l","W",AR52))</f>
        <v/>
      </c>
      <c r="AK56" s="1033" t="str">
        <f>IF(AQ52="","",":")</f>
        <v/>
      </c>
      <c r="AL56" s="1038" t="str">
        <f>IF(AR52="","",IF(AP52="W","L",AP52))</f>
        <v/>
      </c>
      <c r="AM56" s="1032" t="str">
        <f>IF(AP54="","",IF(AR54="l","W",AR54))</f>
        <v/>
      </c>
      <c r="AN56" s="1033" t="str">
        <f>IF(AQ54="","",":")</f>
        <v/>
      </c>
      <c r="AO56" s="1038" t="str">
        <f>IF(AR54="","",IF(AP54="W","L",AP54))</f>
        <v/>
      </c>
      <c r="AP56" s="1129"/>
      <c r="AQ56" s="1114"/>
      <c r="AR56" s="1115"/>
      <c r="AS56" s="1044"/>
      <c r="AT56" s="1044"/>
      <c r="AU56" s="1044"/>
      <c r="AV56" s="1121"/>
      <c r="AW56" s="1122"/>
      <c r="AX56" s="1131"/>
      <c r="AY56" s="1125"/>
    </row>
    <row r="57" spans="1:51" ht="15" x14ac:dyDescent="0.2">
      <c r="A57" s="1108">
        <v>6</v>
      </c>
      <c r="B57" s="1110"/>
      <c r="C57" s="1030" t="str">
        <f>IF(B57="","",VLOOKUP(B57,'Списки участников'!A:L,3,FALSE))</f>
        <v/>
      </c>
      <c r="D57" s="1116" t="str">
        <f>IF(S47="","",IF(S48="W",0,IF(S47=2,1,IF(S47=1,2,IF(S47=0,2)))))</f>
        <v/>
      </c>
      <c r="E57" s="1117"/>
      <c r="F57" s="1118"/>
      <c r="G57" s="1116" t="str">
        <f>IF(S49="","",IF(S50="W",0,IF(S49=2,1,IF(S49=1,2,IF(S49=0,2)))))</f>
        <v/>
      </c>
      <c r="H57" s="1117"/>
      <c r="I57" s="1118"/>
      <c r="J57" s="1116" t="str">
        <f>IF(S51="","",IF(S52="W",0,IF(S51=2,1,IF(S51=1,2,IF(S51=0,2)))))</f>
        <v/>
      </c>
      <c r="K57" s="1117"/>
      <c r="L57" s="1118"/>
      <c r="M57" s="1116" t="str">
        <f>IF(S53="","",IF(S54="W",0,IF(S53=2,1,IF(S53=1,2,IF(S53=0,2)))))</f>
        <v/>
      </c>
      <c r="N57" s="1117"/>
      <c r="O57" s="1118"/>
      <c r="P57" s="1116" t="str">
        <f>IF(S55="","",IF(S56="W",0,IF(S55=2,1,IF(S55=1,2,IF(S55=0,2)))))</f>
        <v/>
      </c>
      <c r="Q57" s="1117"/>
      <c r="R57" s="1118"/>
      <c r="S57" s="1126"/>
      <c r="T57" s="1127"/>
      <c r="U57" s="1128"/>
      <c r="V57" s="1119" t="str">
        <f t="shared" ref="V57" si="76">IF(B57="","",SUM(G57,J57,M57,P57,D57,S57))</f>
        <v/>
      </c>
      <c r="W57" s="1120"/>
      <c r="X57" s="1130"/>
      <c r="Y57" s="1125" t="str">
        <f t="shared" ref="Y57" si="77">IF(B57="","",RANK(V57,$V$47:$W$58))</f>
        <v/>
      </c>
      <c r="AA57" s="1108">
        <v>6</v>
      </c>
      <c r="AB57" s="1110"/>
      <c r="AC57" s="1030" t="str">
        <f>IF(AB57="","",VLOOKUP(AB57,'Списки участников'!$A:$L,3,FALSE))</f>
        <v/>
      </c>
      <c r="AD57" s="1116" t="str">
        <f>IF(AS47="","",IF(AS48="W",0,IF(AS47=2,1,IF(AS47=1,2,IF(AS47=0,2)))))</f>
        <v/>
      </c>
      <c r="AE57" s="1117"/>
      <c r="AF57" s="1118"/>
      <c r="AG57" s="1116" t="str">
        <f>IF(AS49="","",IF(AS50="W",0,IF(AS49=2,1,IF(AS49=1,2,IF(AS49=0,2)))))</f>
        <v/>
      </c>
      <c r="AH57" s="1117"/>
      <c r="AI57" s="1118"/>
      <c r="AJ57" s="1116" t="str">
        <f>IF(AS51="","",IF(AS52="W",0,IF(AS51=2,1,IF(AS51=1,2,IF(AS51=0,2)))))</f>
        <v/>
      </c>
      <c r="AK57" s="1117"/>
      <c r="AL57" s="1118"/>
      <c r="AM57" s="1116" t="str">
        <f>IF(AS53="","",IF(AS54="W",0,IF(AS53=2,1,IF(AS53=1,2,IF(AS53=0,2)))))</f>
        <v/>
      </c>
      <c r="AN57" s="1117"/>
      <c r="AO57" s="1118"/>
      <c r="AP57" s="1116" t="str">
        <f>IF(AS55="","",IF(AS56="W",0,IF(AS55=2,1,IF(AS55=1,2,IF(AS55=0,2)))))</f>
        <v/>
      </c>
      <c r="AQ57" s="1117"/>
      <c r="AR57" s="1118"/>
      <c r="AS57" s="1126"/>
      <c r="AT57" s="1127"/>
      <c r="AU57" s="1128"/>
      <c r="AV57" s="1119" t="str">
        <f t="shared" ref="AV57" si="78">IF(AB57="","",SUM(AG57,AJ57,AM57,AP57,AD57,AS57))</f>
        <v/>
      </c>
      <c r="AW57" s="1120"/>
      <c r="AX57" s="1130"/>
      <c r="AY57" s="1125" t="str">
        <f t="shared" ref="AY57" si="79">IF(AB57="","",RANK(AV57,$AV$47:$AW$58))</f>
        <v/>
      </c>
    </row>
    <row r="58" spans="1:51" ht="15" x14ac:dyDescent="0.2">
      <c r="A58" s="1109"/>
      <c r="B58" s="1111"/>
      <c r="C58" s="1031" t="str">
        <f>IF(B57="","",VLOOKUP(B57,'Списки участников'!$A:$L,6,FALSE))</f>
        <v/>
      </c>
      <c r="D58" s="1032" t="str">
        <f>IF(S48="","",IF(U48="l","W",U48))</f>
        <v/>
      </c>
      <c r="E58" s="1033" t="str">
        <f>IF(T48="","",":")</f>
        <v/>
      </c>
      <c r="F58" s="1038" t="str">
        <f>IF(U48="","",IF(S48="W","L",S48))</f>
        <v/>
      </c>
      <c r="G58" s="1032" t="str">
        <f>IF(S50="","",IF(U50="l","W",U50))</f>
        <v/>
      </c>
      <c r="H58" s="1033" t="str">
        <f>IF(T50="","",":")</f>
        <v/>
      </c>
      <c r="I58" s="1038" t="str">
        <f>IF(U50="","",IF(S50="W","L",S50))</f>
        <v/>
      </c>
      <c r="J58" s="1032" t="str">
        <f>IF(S52="","",IF(U52="l","W",U52))</f>
        <v/>
      </c>
      <c r="K58" s="1033" t="str">
        <f>IF(T52="","",":")</f>
        <v/>
      </c>
      <c r="L58" s="1038" t="str">
        <f>IF(U52="","",IF(S52="W","L",S52))</f>
        <v/>
      </c>
      <c r="M58" s="1032" t="str">
        <f>IF(S54="","",IF(U54="l","W",U54))</f>
        <v/>
      </c>
      <c r="N58" s="1033" t="str">
        <f>IF(T54="","",":")</f>
        <v/>
      </c>
      <c r="O58" s="1038" t="str">
        <f>IF(U54="","",IF(S54="W","L",S54))</f>
        <v/>
      </c>
      <c r="P58" s="1032" t="str">
        <f>IF(S56="","",IF(U56="l","W",U56))</f>
        <v/>
      </c>
      <c r="Q58" s="1033" t="str">
        <f>IF(T56="","",":")</f>
        <v/>
      </c>
      <c r="R58" s="1038" t="str">
        <f>IF(U56="","",IF(S56="W","L",S56))</f>
        <v/>
      </c>
      <c r="S58" s="1129"/>
      <c r="T58" s="1114"/>
      <c r="U58" s="1115"/>
      <c r="V58" s="1121"/>
      <c r="W58" s="1122"/>
      <c r="X58" s="1131"/>
      <c r="Y58" s="1125"/>
      <c r="AA58" s="1109"/>
      <c r="AB58" s="1111"/>
      <c r="AC58" s="1031" t="str">
        <f>IF(AB57="","",VLOOKUP(AB57,'Списки участников'!$A:$L,6,FALSE))</f>
        <v/>
      </c>
      <c r="AD58" s="1032" t="str">
        <f>IF(AS48="","",IF(AU48="l","W",AU48))</f>
        <v/>
      </c>
      <c r="AE58" s="1033" t="str">
        <f>IF(AT48="","",":")</f>
        <v/>
      </c>
      <c r="AF58" s="1038" t="str">
        <f>IF(AU48="","",IF(AS48="W","L",AS48))</f>
        <v/>
      </c>
      <c r="AG58" s="1032" t="str">
        <f>IF(AS50="","",IF(AU50="l","W",AU50))</f>
        <v/>
      </c>
      <c r="AH58" s="1033" t="str">
        <f>IF(AT50="","",":")</f>
        <v/>
      </c>
      <c r="AI58" s="1038" t="str">
        <f>IF(AU50="","",IF(AS50="W","L",AS50))</f>
        <v/>
      </c>
      <c r="AJ58" s="1032" t="str">
        <f>IF(AS52="","",IF(AU52="l","W",AU52))</f>
        <v/>
      </c>
      <c r="AK58" s="1033" t="str">
        <f>IF(AT52="","",":")</f>
        <v/>
      </c>
      <c r="AL58" s="1038" t="str">
        <f>IF(AU52="","",IF(AS52="W","L",AS52))</f>
        <v/>
      </c>
      <c r="AM58" s="1032" t="str">
        <f>IF(AS54="","",IF(AU54="l","W",AU54))</f>
        <v/>
      </c>
      <c r="AN58" s="1033" t="str">
        <f>IF(AT54="","",":")</f>
        <v/>
      </c>
      <c r="AO58" s="1038" t="str">
        <f>IF(AU54="","",IF(AS54="W","L",AS54))</f>
        <v/>
      </c>
      <c r="AP58" s="1032" t="str">
        <f>IF(AS56="","",IF(AU56="l","W",AU56))</f>
        <v/>
      </c>
      <c r="AQ58" s="1033" t="str">
        <f>IF(AT56="","",":")</f>
        <v/>
      </c>
      <c r="AR58" s="1038" t="str">
        <f>IF(AU56="","",IF(AS56="W","L",AS56))</f>
        <v/>
      </c>
      <c r="AS58" s="1129"/>
      <c r="AT58" s="1114"/>
      <c r="AU58" s="1115"/>
      <c r="AV58" s="1121"/>
      <c r="AW58" s="1122"/>
      <c r="AX58" s="1131"/>
      <c r="AY58" s="1125"/>
    </row>
    <row r="60" spans="1:51" ht="19.5" x14ac:dyDescent="0.35">
      <c r="A60" s="481"/>
      <c r="B60" s="481"/>
      <c r="C60" s="481" t="s">
        <v>2804</v>
      </c>
      <c r="D60" s="481"/>
      <c r="E60" s="481"/>
      <c r="F60" s="481"/>
      <c r="G60" s="481"/>
      <c r="H60" s="481"/>
      <c r="I60" s="481"/>
      <c r="J60" s="1101" t="str">
        <f>'Списки участников'!M63</f>
        <v>В.В. Гусев</v>
      </c>
      <c r="K60" s="1101"/>
      <c r="L60" s="1101"/>
      <c r="M60" s="1101"/>
      <c r="N60" s="1101"/>
      <c r="O60" s="1101"/>
      <c r="P60" s="1101"/>
      <c r="Q60" s="1101"/>
      <c r="R60" s="1101"/>
      <c r="S60" s="1101"/>
      <c r="T60" s="1101"/>
      <c r="U60" s="1101"/>
      <c r="V60" s="481"/>
      <c r="W60" s="481"/>
      <c r="X60" s="481"/>
      <c r="Y60" s="481"/>
      <c r="Z60" s="481"/>
      <c r="AA60" s="481"/>
      <c r="AB60" s="481"/>
      <c r="AC60" s="481" t="s">
        <v>2805</v>
      </c>
      <c r="AD60" s="481"/>
      <c r="AE60" s="481"/>
      <c r="AF60" s="481"/>
      <c r="AG60" s="481"/>
      <c r="AH60" s="481"/>
      <c r="AI60" s="481"/>
      <c r="AJ60" s="1101" t="str">
        <f>'Списки участников'!M64</f>
        <v>А.С. Кабанов</v>
      </c>
      <c r="AK60" s="1101"/>
      <c r="AL60" s="1101"/>
      <c r="AM60" s="1101"/>
      <c r="AN60" s="1101"/>
      <c r="AO60" s="1101"/>
      <c r="AP60" s="1101"/>
      <c r="AQ60" s="1101"/>
      <c r="AR60" s="1101"/>
      <c r="AS60" s="1101"/>
      <c r="AT60" s="1101"/>
      <c r="AU60" s="1101"/>
      <c r="AV60" s="481"/>
      <c r="AW60" s="481"/>
      <c r="AX60" s="481"/>
      <c r="AY60" s="481"/>
    </row>
  </sheetData>
  <mergeCells count="597">
    <mergeCell ref="AV57:AW58"/>
    <mergeCell ref="AX57:AX58"/>
    <mergeCell ref="AY57:AY58"/>
    <mergeCell ref="J60:U60"/>
    <mergeCell ref="AJ60:AU60"/>
    <mergeCell ref="AM2:AW2"/>
    <mergeCell ref="AD57:AF57"/>
    <mergeCell ref="AG57:AI57"/>
    <mergeCell ref="AJ57:AL57"/>
    <mergeCell ref="AM57:AO57"/>
    <mergeCell ref="AP57:AR57"/>
    <mergeCell ref="AS57:AU58"/>
    <mergeCell ref="S57:U58"/>
    <mergeCell ref="V57:W58"/>
    <mergeCell ref="X57:X58"/>
    <mergeCell ref="Y57:Y58"/>
    <mergeCell ref="AA57:AA58"/>
    <mergeCell ref="AB57:AB58"/>
    <mergeCell ref="AV55:AW56"/>
    <mergeCell ref="AX55:AX56"/>
    <mergeCell ref="AY55:AY56"/>
    <mergeCell ref="AJ55:AL55"/>
    <mergeCell ref="AM55:AO55"/>
    <mergeCell ref="AP55:AR56"/>
    <mergeCell ref="A57:A58"/>
    <mergeCell ref="B57:B58"/>
    <mergeCell ref="D57:F57"/>
    <mergeCell ref="G57:I57"/>
    <mergeCell ref="J57:L57"/>
    <mergeCell ref="M57:O57"/>
    <mergeCell ref="P57:R57"/>
    <mergeCell ref="AD55:AF55"/>
    <mergeCell ref="AG55:AI55"/>
    <mergeCell ref="A55:A56"/>
    <mergeCell ref="B55:B56"/>
    <mergeCell ref="D55:F55"/>
    <mergeCell ref="G55:I55"/>
    <mergeCell ref="J55:L55"/>
    <mergeCell ref="M55:O55"/>
    <mergeCell ref="P55:R56"/>
    <mergeCell ref="AS55:AU55"/>
    <mergeCell ref="S55:U55"/>
    <mergeCell ref="V55:W56"/>
    <mergeCell ref="X55:X56"/>
    <mergeCell ref="Y55:Y56"/>
    <mergeCell ref="AA55:AA56"/>
    <mergeCell ref="AB55:AB56"/>
    <mergeCell ref="AV53:AW54"/>
    <mergeCell ref="AX53:AX54"/>
    <mergeCell ref="AM53:AO54"/>
    <mergeCell ref="AP53:AR53"/>
    <mergeCell ref="AS53:AU53"/>
    <mergeCell ref="S53:U53"/>
    <mergeCell ref="V53:W54"/>
    <mergeCell ref="X53:X54"/>
    <mergeCell ref="Y53:Y54"/>
    <mergeCell ref="AA53:AA54"/>
    <mergeCell ref="AB53:AB54"/>
    <mergeCell ref="AD53:AF53"/>
    <mergeCell ref="AG53:AI53"/>
    <mergeCell ref="AV51:AW52"/>
    <mergeCell ref="AX51:AX52"/>
    <mergeCell ref="AY51:AY52"/>
    <mergeCell ref="A53:A54"/>
    <mergeCell ref="B53:B54"/>
    <mergeCell ref="D53:F53"/>
    <mergeCell ref="G53:I53"/>
    <mergeCell ref="J53:L53"/>
    <mergeCell ref="M53:O54"/>
    <mergeCell ref="P53:R53"/>
    <mergeCell ref="AD51:AF51"/>
    <mergeCell ref="AG51:AI51"/>
    <mergeCell ref="AJ51:AL52"/>
    <mergeCell ref="AM51:AO51"/>
    <mergeCell ref="AP51:AR51"/>
    <mergeCell ref="AS51:AU51"/>
    <mergeCell ref="S51:U51"/>
    <mergeCell ref="V51:W52"/>
    <mergeCell ref="X51:X52"/>
    <mergeCell ref="Y51:Y52"/>
    <mergeCell ref="AA51:AA52"/>
    <mergeCell ref="AB51:AB52"/>
    <mergeCell ref="AY53:AY54"/>
    <mergeCell ref="AJ53:AL53"/>
    <mergeCell ref="AJ49:AL49"/>
    <mergeCell ref="AM49:AO49"/>
    <mergeCell ref="AP49:AR49"/>
    <mergeCell ref="AS49:AU49"/>
    <mergeCell ref="S49:U49"/>
    <mergeCell ref="V49:W50"/>
    <mergeCell ref="X49:X50"/>
    <mergeCell ref="Y49:Y50"/>
    <mergeCell ref="AA49:AA50"/>
    <mergeCell ref="AB49:AB50"/>
    <mergeCell ref="A51:A52"/>
    <mergeCell ref="B51:B52"/>
    <mergeCell ref="D51:F51"/>
    <mergeCell ref="G51:I51"/>
    <mergeCell ref="J51:L52"/>
    <mergeCell ref="M51:O51"/>
    <mergeCell ref="P51:R51"/>
    <mergeCell ref="AD49:AF49"/>
    <mergeCell ref="AG49:AI50"/>
    <mergeCell ref="AX47:AX48"/>
    <mergeCell ref="AY47:AY48"/>
    <mergeCell ref="A49:A50"/>
    <mergeCell ref="B49:B50"/>
    <mergeCell ref="D49:F49"/>
    <mergeCell ref="G49:I50"/>
    <mergeCell ref="J49:L49"/>
    <mergeCell ref="M49:O49"/>
    <mergeCell ref="P49:R49"/>
    <mergeCell ref="AD47:AF48"/>
    <mergeCell ref="AG47:AI47"/>
    <mergeCell ref="AJ47:AL47"/>
    <mergeCell ref="AM47:AO47"/>
    <mergeCell ref="AP47:AR47"/>
    <mergeCell ref="AS47:AU47"/>
    <mergeCell ref="S47:U47"/>
    <mergeCell ref="V47:W48"/>
    <mergeCell ref="X47:X48"/>
    <mergeCell ref="Y47:Y48"/>
    <mergeCell ref="AA47:AA48"/>
    <mergeCell ref="AB47:AB48"/>
    <mergeCell ref="AV49:AW50"/>
    <mergeCell ref="AX49:AX50"/>
    <mergeCell ref="AY49:AY50"/>
    <mergeCell ref="AV46:AW46"/>
    <mergeCell ref="A47:A48"/>
    <mergeCell ref="B47:B48"/>
    <mergeCell ref="D47:F48"/>
    <mergeCell ref="G47:I47"/>
    <mergeCell ref="J47:L47"/>
    <mergeCell ref="M47:O47"/>
    <mergeCell ref="P47:R47"/>
    <mergeCell ref="S46:U46"/>
    <mergeCell ref="V46:W46"/>
    <mergeCell ref="AD46:AF46"/>
    <mergeCell ref="AG46:AI46"/>
    <mergeCell ref="AJ46:AL46"/>
    <mergeCell ref="AM46:AO46"/>
    <mergeCell ref="AV47:AW48"/>
    <mergeCell ref="AV43:AW44"/>
    <mergeCell ref="AX43:AX44"/>
    <mergeCell ref="AY43:AY44"/>
    <mergeCell ref="G45:R45"/>
    <mergeCell ref="AG45:AR45"/>
    <mergeCell ref="D46:F46"/>
    <mergeCell ref="G46:I46"/>
    <mergeCell ref="J46:L46"/>
    <mergeCell ref="M46:O46"/>
    <mergeCell ref="P46:R46"/>
    <mergeCell ref="AD43:AF43"/>
    <mergeCell ref="AG43:AI43"/>
    <mergeCell ref="AJ43:AL43"/>
    <mergeCell ref="AM43:AO43"/>
    <mergeCell ref="AP43:AR43"/>
    <mergeCell ref="AS43:AU44"/>
    <mergeCell ref="S43:U44"/>
    <mergeCell ref="V43:W44"/>
    <mergeCell ref="X43:X44"/>
    <mergeCell ref="Y43:Y44"/>
    <mergeCell ref="AA43:AA44"/>
    <mergeCell ref="AB43:AB44"/>
    <mergeCell ref="AP46:AR46"/>
    <mergeCell ref="AS46:AU46"/>
    <mergeCell ref="AM41:AO41"/>
    <mergeCell ref="AP41:AR42"/>
    <mergeCell ref="AS41:AU41"/>
    <mergeCell ref="S41:U41"/>
    <mergeCell ref="V41:W42"/>
    <mergeCell ref="X41:X42"/>
    <mergeCell ref="Y41:Y42"/>
    <mergeCell ref="AA41:AA42"/>
    <mergeCell ref="AB41:AB42"/>
    <mergeCell ref="A43:A44"/>
    <mergeCell ref="B43:B44"/>
    <mergeCell ref="D43:F43"/>
    <mergeCell ref="G43:I43"/>
    <mergeCell ref="J43:L43"/>
    <mergeCell ref="M43:O43"/>
    <mergeCell ref="P43:R43"/>
    <mergeCell ref="AD41:AF41"/>
    <mergeCell ref="AG41:AI41"/>
    <mergeCell ref="AY39:AY40"/>
    <mergeCell ref="A41:A42"/>
    <mergeCell ref="B41:B42"/>
    <mergeCell ref="D41:F41"/>
    <mergeCell ref="G41:I41"/>
    <mergeCell ref="J41:L41"/>
    <mergeCell ref="M41:O41"/>
    <mergeCell ref="P41:R42"/>
    <mergeCell ref="AD39:AF39"/>
    <mergeCell ref="AG39:AI39"/>
    <mergeCell ref="AJ39:AL39"/>
    <mergeCell ref="AM39:AO40"/>
    <mergeCell ref="AP39:AR39"/>
    <mergeCell ref="AS39:AU39"/>
    <mergeCell ref="S39:U39"/>
    <mergeCell ref="V39:W40"/>
    <mergeCell ref="X39:X40"/>
    <mergeCell ref="Y39:Y40"/>
    <mergeCell ref="AA39:AA40"/>
    <mergeCell ref="AB39:AB40"/>
    <mergeCell ref="AV41:AW42"/>
    <mergeCell ref="AX41:AX42"/>
    <mergeCell ref="AY41:AY42"/>
    <mergeCell ref="AJ41:AL41"/>
    <mergeCell ref="AV37:AW38"/>
    <mergeCell ref="AX37:AX38"/>
    <mergeCell ref="AY37:AY38"/>
    <mergeCell ref="A39:A40"/>
    <mergeCell ref="B39:B40"/>
    <mergeCell ref="D39:F39"/>
    <mergeCell ref="G39:I39"/>
    <mergeCell ref="J39:L39"/>
    <mergeCell ref="M39:O40"/>
    <mergeCell ref="P39:R39"/>
    <mergeCell ref="AD37:AF37"/>
    <mergeCell ref="AG37:AI37"/>
    <mergeCell ref="AJ37:AL38"/>
    <mergeCell ref="AM37:AO37"/>
    <mergeCell ref="AP37:AR37"/>
    <mergeCell ref="AS37:AU37"/>
    <mergeCell ref="S37:U37"/>
    <mergeCell ref="V37:W38"/>
    <mergeCell ref="X37:X38"/>
    <mergeCell ref="Y37:Y38"/>
    <mergeCell ref="AA37:AA38"/>
    <mergeCell ref="AB37:AB38"/>
    <mergeCell ref="AV39:AW40"/>
    <mergeCell ref="AX39:AX40"/>
    <mergeCell ref="AJ35:AL35"/>
    <mergeCell ref="AM35:AO35"/>
    <mergeCell ref="AP35:AR35"/>
    <mergeCell ref="AS35:AU35"/>
    <mergeCell ref="S35:U35"/>
    <mergeCell ref="V35:W36"/>
    <mergeCell ref="X35:X36"/>
    <mergeCell ref="Y35:Y36"/>
    <mergeCell ref="AA35:AA36"/>
    <mergeCell ref="AB35:AB36"/>
    <mergeCell ref="A37:A38"/>
    <mergeCell ref="B37:B38"/>
    <mergeCell ref="D37:F37"/>
    <mergeCell ref="G37:I37"/>
    <mergeCell ref="J37:L38"/>
    <mergeCell ref="M37:O37"/>
    <mergeCell ref="P37:R37"/>
    <mergeCell ref="AD35:AF35"/>
    <mergeCell ref="AG35:AI36"/>
    <mergeCell ref="AX33:AX34"/>
    <mergeCell ref="AY33:AY34"/>
    <mergeCell ref="A35:A36"/>
    <mergeCell ref="B35:B36"/>
    <mergeCell ref="D35:F35"/>
    <mergeCell ref="G35:I36"/>
    <mergeCell ref="J35:L35"/>
    <mergeCell ref="M35:O35"/>
    <mergeCell ref="P35:R35"/>
    <mergeCell ref="AD33:AF34"/>
    <mergeCell ref="AG33:AI33"/>
    <mergeCell ref="AJ33:AL33"/>
    <mergeCell ref="AM33:AO33"/>
    <mergeCell ref="AP33:AR33"/>
    <mergeCell ref="AS33:AU33"/>
    <mergeCell ref="S33:U33"/>
    <mergeCell ref="V33:W34"/>
    <mergeCell ref="X33:X34"/>
    <mergeCell ref="Y33:Y34"/>
    <mergeCell ref="AA33:AA34"/>
    <mergeCell ref="AB33:AB34"/>
    <mergeCell ref="AV35:AW36"/>
    <mergeCell ref="AX35:AX36"/>
    <mergeCell ref="AY35:AY36"/>
    <mergeCell ref="AV32:AW32"/>
    <mergeCell ref="A33:A34"/>
    <mergeCell ref="B33:B34"/>
    <mergeCell ref="D33:F34"/>
    <mergeCell ref="G33:I33"/>
    <mergeCell ref="J33:L33"/>
    <mergeCell ref="M33:O33"/>
    <mergeCell ref="P33:R33"/>
    <mergeCell ref="S32:U32"/>
    <mergeCell ref="V32:W32"/>
    <mergeCell ref="AD32:AF32"/>
    <mergeCell ref="AG32:AI32"/>
    <mergeCell ref="AJ32:AL32"/>
    <mergeCell ref="AM32:AO32"/>
    <mergeCell ref="AV33:AW34"/>
    <mergeCell ref="AV29:AW30"/>
    <mergeCell ref="AX29:AX30"/>
    <mergeCell ref="AY29:AY30"/>
    <mergeCell ref="G31:R31"/>
    <mergeCell ref="AG31:AR31"/>
    <mergeCell ref="D32:F32"/>
    <mergeCell ref="G32:I32"/>
    <mergeCell ref="J32:L32"/>
    <mergeCell ref="M32:O32"/>
    <mergeCell ref="P32:R32"/>
    <mergeCell ref="AD29:AF29"/>
    <mergeCell ref="AG29:AI29"/>
    <mergeCell ref="AJ29:AL29"/>
    <mergeCell ref="AM29:AO29"/>
    <mergeCell ref="AP29:AR29"/>
    <mergeCell ref="AS29:AU30"/>
    <mergeCell ref="S29:U30"/>
    <mergeCell ref="V29:W30"/>
    <mergeCell ref="X29:X30"/>
    <mergeCell ref="Y29:Y30"/>
    <mergeCell ref="AA29:AA30"/>
    <mergeCell ref="AB29:AB30"/>
    <mergeCell ref="AP32:AR32"/>
    <mergeCell ref="AS32:AU32"/>
    <mergeCell ref="AM27:AO27"/>
    <mergeCell ref="AP27:AR28"/>
    <mergeCell ref="AS27:AU27"/>
    <mergeCell ref="S27:U27"/>
    <mergeCell ref="V27:W28"/>
    <mergeCell ref="X27:X28"/>
    <mergeCell ref="Y27:Y28"/>
    <mergeCell ref="AA27:AA28"/>
    <mergeCell ref="AB27:AB28"/>
    <mergeCell ref="A29:A30"/>
    <mergeCell ref="B29:B30"/>
    <mergeCell ref="D29:F29"/>
    <mergeCell ref="G29:I29"/>
    <mergeCell ref="J29:L29"/>
    <mergeCell ref="M29:O29"/>
    <mergeCell ref="P29:R29"/>
    <mergeCell ref="AD27:AF27"/>
    <mergeCell ref="AG27:AI27"/>
    <mergeCell ref="AY25:AY26"/>
    <mergeCell ref="A27:A28"/>
    <mergeCell ref="B27:B28"/>
    <mergeCell ref="D27:F27"/>
    <mergeCell ref="G27:I27"/>
    <mergeCell ref="J27:L27"/>
    <mergeCell ref="M27:O27"/>
    <mergeCell ref="P27:R28"/>
    <mergeCell ref="AD25:AF25"/>
    <mergeCell ref="AG25:AI25"/>
    <mergeCell ref="AJ25:AL25"/>
    <mergeCell ref="AM25:AO26"/>
    <mergeCell ref="AP25:AR25"/>
    <mergeCell ref="AS25:AU25"/>
    <mergeCell ref="S25:U25"/>
    <mergeCell ref="V25:W26"/>
    <mergeCell ref="X25:X26"/>
    <mergeCell ref="Y25:Y26"/>
    <mergeCell ref="AA25:AA26"/>
    <mergeCell ref="AB25:AB26"/>
    <mergeCell ref="AV27:AW28"/>
    <mergeCell ref="AX27:AX28"/>
    <mergeCell ref="AY27:AY28"/>
    <mergeCell ref="AJ27:AL27"/>
    <mergeCell ref="AV23:AW24"/>
    <mergeCell ref="AX23:AX24"/>
    <mergeCell ref="AY23:AY24"/>
    <mergeCell ref="A25:A26"/>
    <mergeCell ref="B25:B26"/>
    <mergeCell ref="D25:F25"/>
    <mergeCell ref="G25:I25"/>
    <mergeCell ref="J25:L25"/>
    <mergeCell ref="M25:O26"/>
    <mergeCell ref="P25:R25"/>
    <mergeCell ref="AD23:AF23"/>
    <mergeCell ref="AG23:AI23"/>
    <mergeCell ref="AJ23:AL24"/>
    <mergeCell ref="AM23:AO23"/>
    <mergeCell ref="AP23:AR23"/>
    <mergeCell ref="AS23:AU23"/>
    <mergeCell ref="S23:U23"/>
    <mergeCell ref="V23:W24"/>
    <mergeCell ref="X23:X24"/>
    <mergeCell ref="Y23:Y24"/>
    <mergeCell ref="AA23:AA24"/>
    <mergeCell ref="AB23:AB24"/>
    <mergeCell ref="AV25:AW26"/>
    <mergeCell ref="AX25:AX26"/>
    <mergeCell ref="AJ21:AL21"/>
    <mergeCell ref="AM21:AO21"/>
    <mergeCell ref="AP21:AR21"/>
    <mergeCell ref="AS21:AU21"/>
    <mergeCell ref="S21:U21"/>
    <mergeCell ref="V21:W22"/>
    <mergeCell ref="X21:X22"/>
    <mergeCell ref="Y21:Y22"/>
    <mergeCell ref="AA21:AA22"/>
    <mergeCell ref="AB21:AB22"/>
    <mergeCell ref="A23:A24"/>
    <mergeCell ref="B23:B24"/>
    <mergeCell ref="D23:F23"/>
    <mergeCell ref="G23:I23"/>
    <mergeCell ref="J23:L24"/>
    <mergeCell ref="M23:O23"/>
    <mergeCell ref="P23:R23"/>
    <mergeCell ref="AD21:AF21"/>
    <mergeCell ref="AG21:AI22"/>
    <mergeCell ref="AX19:AX20"/>
    <mergeCell ref="AY19:AY20"/>
    <mergeCell ref="A21:A22"/>
    <mergeCell ref="B21:B22"/>
    <mergeCell ref="D21:F21"/>
    <mergeCell ref="G21:I22"/>
    <mergeCell ref="J21:L21"/>
    <mergeCell ref="M21:O21"/>
    <mergeCell ref="P21:R21"/>
    <mergeCell ref="AD19:AF20"/>
    <mergeCell ref="AG19:AI19"/>
    <mergeCell ref="AJ19:AL19"/>
    <mergeCell ref="AM19:AO19"/>
    <mergeCell ref="AP19:AR19"/>
    <mergeCell ref="AS19:AU19"/>
    <mergeCell ref="S19:U19"/>
    <mergeCell ref="V19:W20"/>
    <mergeCell ref="X19:X20"/>
    <mergeCell ref="Y19:Y20"/>
    <mergeCell ref="AA19:AA20"/>
    <mergeCell ref="AB19:AB20"/>
    <mergeCell ref="AV21:AW22"/>
    <mergeCell ref="AX21:AX22"/>
    <mergeCell ref="AY21:AY22"/>
    <mergeCell ref="AV18:AW18"/>
    <mergeCell ref="A19:A20"/>
    <mergeCell ref="B19:B20"/>
    <mergeCell ref="D19:F20"/>
    <mergeCell ref="G19:I19"/>
    <mergeCell ref="J19:L19"/>
    <mergeCell ref="M19:O19"/>
    <mergeCell ref="P19:R19"/>
    <mergeCell ref="S18:U18"/>
    <mergeCell ref="V18:W18"/>
    <mergeCell ref="AD18:AF18"/>
    <mergeCell ref="AG18:AI18"/>
    <mergeCell ref="AJ18:AL18"/>
    <mergeCell ref="AM18:AO18"/>
    <mergeCell ref="AV19:AW20"/>
    <mergeCell ref="AV15:AW16"/>
    <mergeCell ref="AX15:AX16"/>
    <mergeCell ref="AY15:AY16"/>
    <mergeCell ref="G17:R17"/>
    <mergeCell ref="AG17:AR17"/>
    <mergeCell ref="D18:F18"/>
    <mergeCell ref="G18:I18"/>
    <mergeCell ref="J18:L18"/>
    <mergeCell ref="M18:O18"/>
    <mergeCell ref="P18:R18"/>
    <mergeCell ref="AD15:AF15"/>
    <mergeCell ref="AG15:AI15"/>
    <mergeCell ref="AJ15:AL15"/>
    <mergeCell ref="AM15:AO15"/>
    <mergeCell ref="AP15:AR15"/>
    <mergeCell ref="AS15:AU16"/>
    <mergeCell ref="S15:U16"/>
    <mergeCell ref="V15:W16"/>
    <mergeCell ref="X15:X16"/>
    <mergeCell ref="Y15:Y16"/>
    <mergeCell ref="AA15:AA16"/>
    <mergeCell ref="AB15:AB16"/>
    <mergeCell ref="AP18:AR18"/>
    <mergeCell ref="AS18:AU18"/>
    <mergeCell ref="AM13:AO13"/>
    <mergeCell ref="AP13:AR14"/>
    <mergeCell ref="AS13:AU13"/>
    <mergeCell ref="S13:U13"/>
    <mergeCell ref="V13:W14"/>
    <mergeCell ref="X13:X14"/>
    <mergeCell ref="Y13:Y14"/>
    <mergeCell ref="AA13:AA14"/>
    <mergeCell ref="AB13:AB14"/>
    <mergeCell ref="A15:A16"/>
    <mergeCell ref="B15:B16"/>
    <mergeCell ref="D15:F15"/>
    <mergeCell ref="G15:I15"/>
    <mergeCell ref="J15:L15"/>
    <mergeCell ref="M15:O15"/>
    <mergeCell ref="P15:R15"/>
    <mergeCell ref="AD13:AF13"/>
    <mergeCell ref="AG13:AI13"/>
    <mergeCell ref="AY11:AY12"/>
    <mergeCell ref="A13:A14"/>
    <mergeCell ref="B13:B14"/>
    <mergeCell ref="D13:F13"/>
    <mergeCell ref="G13:I13"/>
    <mergeCell ref="J13:L13"/>
    <mergeCell ref="M13:O13"/>
    <mergeCell ref="P13:R14"/>
    <mergeCell ref="AD11:AF11"/>
    <mergeCell ref="AG11:AI11"/>
    <mergeCell ref="AJ11:AL11"/>
    <mergeCell ref="AM11:AO12"/>
    <mergeCell ref="AP11:AR11"/>
    <mergeCell ref="AS11:AU11"/>
    <mergeCell ref="S11:U11"/>
    <mergeCell ref="V11:W12"/>
    <mergeCell ref="X11:X12"/>
    <mergeCell ref="Y11:Y12"/>
    <mergeCell ref="AA11:AA12"/>
    <mergeCell ref="AB11:AB12"/>
    <mergeCell ref="AV13:AW14"/>
    <mergeCell ref="AX13:AX14"/>
    <mergeCell ref="AY13:AY14"/>
    <mergeCell ref="AJ13:AL13"/>
    <mergeCell ref="AV9:AW10"/>
    <mergeCell ref="AX9:AX10"/>
    <mergeCell ref="AY9:AY10"/>
    <mergeCell ref="A11:A12"/>
    <mergeCell ref="B11:B12"/>
    <mergeCell ref="D11:F11"/>
    <mergeCell ref="G11:I11"/>
    <mergeCell ref="J11:L11"/>
    <mergeCell ref="M11:O12"/>
    <mergeCell ref="P11:R11"/>
    <mergeCell ref="AD9:AF9"/>
    <mergeCell ref="AG9:AI9"/>
    <mergeCell ref="AJ9:AL10"/>
    <mergeCell ref="AM9:AO9"/>
    <mergeCell ref="AP9:AR9"/>
    <mergeCell ref="AS9:AU9"/>
    <mergeCell ref="S9:U9"/>
    <mergeCell ref="V9:W10"/>
    <mergeCell ref="X9:X10"/>
    <mergeCell ref="Y9:Y10"/>
    <mergeCell ref="AA9:AA10"/>
    <mergeCell ref="AB9:AB10"/>
    <mergeCell ref="AV11:AW12"/>
    <mergeCell ref="AX11:AX12"/>
    <mergeCell ref="AJ7:AL7"/>
    <mergeCell ref="AM7:AO7"/>
    <mergeCell ref="AP7:AR7"/>
    <mergeCell ref="AS7:AU7"/>
    <mergeCell ref="S7:U7"/>
    <mergeCell ref="V7:W8"/>
    <mergeCell ref="X7:X8"/>
    <mergeCell ref="Y7:Y8"/>
    <mergeCell ref="AA7:AA8"/>
    <mergeCell ref="AB7:AB8"/>
    <mergeCell ref="A9:A10"/>
    <mergeCell ref="B9:B10"/>
    <mergeCell ref="D9:F9"/>
    <mergeCell ref="G9:I9"/>
    <mergeCell ref="J9:L10"/>
    <mergeCell ref="M9:O9"/>
    <mergeCell ref="P9:R9"/>
    <mergeCell ref="AD7:AF7"/>
    <mergeCell ref="AG7:AI8"/>
    <mergeCell ref="AX5:AX6"/>
    <mergeCell ref="AY5:AY6"/>
    <mergeCell ref="A7:A8"/>
    <mergeCell ref="B7:B8"/>
    <mergeCell ref="D7:F7"/>
    <mergeCell ref="G7:I8"/>
    <mergeCell ref="J7:L7"/>
    <mergeCell ref="M7:O7"/>
    <mergeCell ref="P7:R7"/>
    <mergeCell ref="AD5:AF6"/>
    <mergeCell ref="AG5:AI5"/>
    <mergeCell ref="AJ5:AL5"/>
    <mergeCell ref="AM5:AO5"/>
    <mergeCell ref="AP5:AR5"/>
    <mergeCell ref="AS5:AU5"/>
    <mergeCell ref="S5:U5"/>
    <mergeCell ref="V5:W6"/>
    <mergeCell ref="X5:X6"/>
    <mergeCell ref="Y5:Y6"/>
    <mergeCell ref="AA5:AA6"/>
    <mergeCell ref="AB5:AB6"/>
    <mergeCell ref="AV7:AW8"/>
    <mergeCell ref="AX7:AX8"/>
    <mergeCell ref="AY7:AY8"/>
    <mergeCell ref="AV4:AW4"/>
    <mergeCell ref="A5:A6"/>
    <mergeCell ref="B5:B6"/>
    <mergeCell ref="D5:F6"/>
    <mergeCell ref="G5:I5"/>
    <mergeCell ref="J5:L5"/>
    <mergeCell ref="M5:O5"/>
    <mergeCell ref="P5:R5"/>
    <mergeCell ref="S4:U4"/>
    <mergeCell ref="V4:W4"/>
    <mergeCell ref="AD4:AF4"/>
    <mergeCell ref="AG4:AI4"/>
    <mergeCell ref="AJ4:AL4"/>
    <mergeCell ref="AM4:AO4"/>
    <mergeCell ref="AV5:AW6"/>
    <mergeCell ref="C1:AT1"/>
    <mergeCell ref="D2:AL2"/>
    <mergeCell ref="G3:R3"/>
    <mergeCell ref="AG3:AR3"/>
    <mergeCell ref="D4:F4"/>
    <mergeCell ref="G4:I4"/>
    <mergeCell ref="J4:L4"/>
    <mergeCell ref="M4:O4"/>
    <mergeCell ref="P4:R4"/>
    <mergeCell ref="AP4:AR4"/>
    <mergeCell ref="AS4:AU4"/>
  </mergeCells>
  <conditionalFormatting sqref="P5:R5">
    <cfRule type="expression" dxfId="259" priority="240">
      <formula>P5&lt;&gt;""</formula>
    </cfRule>
  </conditionalFormatting>
  <conditionalFormatting sqref="M5:O5">
    <cfRule type="expression" dxfId="258" priority="239">
      <formula>M5&lt;&gt;""</formula>
    </cfRule>
  </conditionalFormatting>
  <conditionalFormatting sqref="J5:L5">
    <cfRule type="expression" dxfId="257" priority="238">
      <formula>J5&lt;&gt;""</formula>
    </cfRule>
  </conditionalFormatting>
  <conditionalFormatting sqref="G5:I5">
    <cfRule type="expression" dxfId="256" priority="237">
      <formula>G5&lt;&gt;""</formula>
    </cfRule>
  </conditionalFormatting>
  <conditionalFormatting sqref="D7:F7">
    <cfRule type="expression" dxfId="255" priority="236">
      <formula>D7&lt;&gt;""</formula>
    </cfRule>
  </conditionalFormatting>
  <conditionalFormatting sqref="J7:L7">
    <cfRule type="expression" dxfId="254" priority="235">
      <formula>J7&lt;&gt;""</formula>
    </cfRule>
  </conditionalFormatting>
  <conditionalFormatting sqref="M7:O7">
    <cfRule type="expression" dxfId="253" priority="234">
      <formula>M7&lt;&gt;""</formula>
    </cfRule>
  </conditionalFormatting>
  <conditionalFormatting sqref="P7:R7">
    <cfRule type="expression" dxfId="252" priority="233">
      <formula>P7&lt;&gt;""</formula>
    </cfRule>
  </conditionalFormatting>
  <conditionalFormatting sqref="P9:R9">
    <cfRule type="expression" dxfId="251" priority="232">
      <formula>P9&lt;&gt;""</formula>
    </cfRule>
  </conditionalFormatting>
  <conditionalFormatting sqref="M9:O9">
    <cfRule type="expression" dxfId="250" priority="231">
      <formula>M9&lt;&gt;""</formula>
    </cfRule>
  </conditionalFormatting>
  <conditionalFormatting sqref="G9:I9">
    <cfRule type="expression" dxfId="249" priority="230">
      <formula>G9&lt;&gt;""</formula>
    </cfRule>
  </conditionalFormatting>
  <conditionalFormatting sqref="D9:F9">
    <cfRule type="expression" dxfId="248" priority="229">
      <formula>D9&lt;&gt;""</formula>
    </cfRule>
  </conditionalFormatting>
  <conditionalFormatting sqref="D11:F11">
    <cfRule type="expression" dxfId="247" priority="228">
      <formula>D11&lt;&gt;""</formula>
    </cfRule>
  </conditionalFormatting>
  <conditionalFormatting sqref="G11:I11">
    <cfRule type="expression" dxfId="246" priority="227">
      <formula>G11&lt;&gt;""</formula>
    </cfRule>
  </conditionalFormatting>
  <conditionalFormatting sqref="J11:L11">
    <cfRule type="expression" dxfId="245" priority="226">
      <formula>J11&lt;&gt;""</formula>
    </cfRule>
  </conditionalFormatting>
  <conditionalFormatting sqref="P11:R11">
    <cfRule type="expression" dxfId="244" priority="225">
      <formula>P11&lt;&gt;""</formula>
    </cfRule>
  </conditionalFormatting>
  <conditionalFormatting sqref="M13:O13">
    <cfRule type="expression" dxfId="243" priority="224">
      <formula>M13&lt;&gt;""</formula>
    </cfRule>
  </conditionalFormatting>
  <conditionalFormatting sqref="J13:L13">
    <cfRule type="expression" dxfId="242" priority="223">
      <formula>J13&lt;&gt;""</formula>
    </cfRule>
  </conditionalFormatting>
  <conditionalFormatting sqref="G13:I13">
    <cfRule type="expression" dxfId="241" priority="222">
      <formula>G13&lt;&gt;""</formula>
    </cfRule>
  </conditionalFormatting>
  <conditionalFormatting sqref="D13:F13">
    <cfRule type="expression" dxfId="240" priority="221">
      <formula>D13&lt;&gt;""</formula>
    </cfRule>
  </conditionalFormatting>
  <conditionalFormatting sqref="S5:U5">
    <cfRule type="expression" dxfId="239" priority="220">
      <formula>S5&lt;&gt;""</formula>
    </cfRule>
  </conditionalFormatting>
  <conditionalFormatting sqref="S7:U7">
    <cfRule type="expression" dxfId="238" priority="219">
      <formula>S7&lt;&gt;""</formula>
    </cfRule>
  </conditionalFormatting>
  <conditionalFormatting sqref="S9:U9">
    <cfRule type="expression" dxfId="237" priority="218">
      <formula>S9&lt;&gt;""</formula>
    </cfRule>
  </conditionalFormatting>
  <conditionalFormatting sqref="S11:U11">
    <cfRule type="expression" dxfId="236" priority="217">
      <formula>S11&lt;&gt;""</formula>
    </cfRule>
  </conditionalFormatting>
  <conditionalFormatting sqref="S13:U13">
    <cfRule type="expression" dxfId="235" priority="216">
      <formula>S13&lt;&gt;""</formula>
    </cfRule>
  </conditionalFormatting>
  <conditionalFormatting sqref="D15:F15">
    <cfRule type="expression" dxfId="234" priority="215">
      <formula>D15&lt;&gt;""</formula>
    </cfRule>
  </conditionalFormatting>
  <conditionalFormatting sqref="G15:I15">
    <cfRule type="expression" dxfId="233" priority="214">
      <formula>G15&lt;&gt;""</formula>
    </cfRule>
  </conditionalFormatting>
  <conditionalFormatting sqref="J15:L15">
    <cfRule type="expression" dxfId="232" priority="213">
      <formula>J15&lt;&gt;""</formula>
    </cfRule>
  </conditionalFormatting>
  <conditionalFormatting sqref="M15:O15">
    <cfRule type="expression" dxfId="231" priority="212">
      <formula>M15&lt;&gt;""</formula>
    </cfRule>
  </conditionalFormatting>
  <conditionalFormatting sqref="P15:R15">
    <cfRule type="expression" dxfId="230" priority="211">
      <formula>P15&lt;&gt;""</formula>
    </cfRule>
  </conditionalFormatting>
  <conditionalFormatting sqref="P19:R19">
    <cfRule type="expression" dxfId="229" priority="210">
      <formula>P19&lt;&gt;""</formula>
    </cfRule>
  </conditionalFormatting>
  <conditionalFormatting sqref="M19:O19">
    <cfRule type="expression" dxfId="228" priority="209">
      <formula>M19&lt;&gt;""</formula>
    </cfRule>
  </conditionalFormatting>
  <conditionalFormatting sqref="J19:L19">
    <cfRule type="expression" dxfId="227" priority="208">
      <formula>J19&lt;&gt;""</formula>
    </cfRule>
  </conditionalFormatting>
  <conditionalFormatting sqref="G19:I19">
    <cfRule type="expression" dxfId="226" priority="207">
      <formula>G19&lt;&gt;""</formula>
    </cfRule>
  </conditionalFormatting>
  <conditionalFormatting sqref="D21:F21">
    <cfRule type="expression" dxfId="225" priority="206">
      <formula>D21&lt;&gt;""</formula>
    </cfRule>
  </conditionalFormatting>
  <conditionalFormatting sqref="J21:L21">
    <cfRule type="expression" dxfId="224" priority="205">
      <formula>J21&lt;&gt;""</formula>
    </cfRule>
  </conditionalFormatting>
  <conditionalFormatting sqref="M21:O21">
    <cfRule type="expression" dxfId="223" priority="204">
      <formula>M21&lt;&gt;""</formula>
    </cfRule>
  </conditionalFormatting>
  <conditionalFormatting sqref="P21:R21">
    <cfRule type="expression" dxfId="222" priority="203">
      <formula>P21&lt;&gt;""</formula>
    </cfRule>
  </conditionalFormatting>
  <conditionalFormatting sqref="P23:R23">
    <cfRule type="expression" dxfId="221" priority="202">
      <formula>P23&lt;&gt;""</formula>
    </cfRule>
  </conditionalFormatting>
  <conditionalFormatting sqref="M23:O23">
    <cfRule type="expression" dxfId="220" priority="201">
      <formula>M23&lt;&gt;""</formula>
    </cfRule>
  </conditionalFormatting>
  <conditionalFormatting sqref="G23:I23">
    <cfRule type="expression" dxfId="219" priority="200">
      <formula>G23&lt;&gt;""</formula>
    </cfRule>
  </conditionalFormatting>
  <conditionalFormatting sqref="D23:F23">
    <cfRule type="expression" dxfId="218" priority="199">
      <formula>D23&lt;&gt;""</formula>
    </cfRule>
  </conditionalFormatting>
  <conditionalFormatting sqref="D25:F25">
    <cfRule type="expression" dxfId="217" priority="198">
      <formula>D25&lt;&gt;""</formula>
    </cfRule>
  </conditionalFormatting>
  <conditionalFormatting sqref="G25:I25">
    <cfRule type="expression" dxfId="216" priority="197">
      <formula>G25&lt;&gt;""</formula>
    </cfRule>
  </conditionalFormatting>
  <conditionalFormatting sqref="J25:L25">
    <cfRule type="expression" dxfId="215" priority="196">
      <formula>J25&lt;&gt;""</formula>
    </cfRule>
  </conditionalFormatting>
  <conditionalFormatting sqref="P25:R25">
    <cfRule type="expression" dxfId="214" priority="195">
      <formula>P25&lt;&gt;""</formula>
    </cfRule>
  </conditionalFormatting>
  <conditionalFormatting sqref="M27:O27">
    <cfRule type="expression" dxfId="213" priority="194">
      <formula>M27&lt;&gt;""</formula>
    </cfRule>
  </conditionalFormatting>
  <conditionalFormatting sqref="J27:L27">
    <cfRule type="expression" dxfId="212" priority="193">
      <formula>J27&lt;&gt;""</formula>
    </cfRule>
  </conditionalFormatting>
  <conditionalFormatting sqref="G27:I27">
    <cfRule type="expression" dxfId="211" priority="192">
      <formula>G27&lt;&gt;""</formula>
    </cfRule>
  </conditionalFormatting>
  <conditionalFormatting sqref="D27:F27">
    <cfRule type="expression" dxfId="210" priority="191">
      <formula>D27&lt;&gt;""</formula>
    </cfRule>
  </conditionalFormatting>
  <conditionalFormatting sqref="S19:U19">
    <cfRule type="expression" dxfId="209" priority="190">
      <formula>S19&lt;&gt;""</formula>
    </cfRule>
  </conditionalFormatting>
  <conditionalFormatting sqref="S21:U21">
    <cfRule type="expression" dxfId="208" priority="189">
      <formula>S21&lt;&gt;""</formula>
    </cfRule>
  </conditionalFormatting>
  <conditionalFormatting sqref="S23:U23">
    <cfRule type="expression" dxfId="207" priority="188">
      <formula>S23&lt;&gt;""</formula>
    </cfRule>
  </conditionalFormatting>
  <conditionalFormatting sqref="S25:U25">
    <cfRule type="expression" dxfId="206" priority="187">
      <formula>S25&lt;&gt;""</formula>
    </cfRule>
  </conditionalFormatting>
  <conditionalFormatting sqref="S27:U27">
    <cfRule type="expression" dxfId="205" priority="186">
      <formula>S27&lt;&gt;""</formula>
    </cfRule>
  </conditionalFormatting>
  <conditionalFormatting sqref="D29:F29">
    <cfRule type="expression" dxfId="204" priority="185">
      <formula>D29&lt;&gt;""</formula>
    </cfRule>
  </conditionalFormatting>
  <conditionalFormatting sqref="G29:I29">
    <cfRule type="expression" dxfId="203" priority="184">
      <formula>G29&lt;&gt;""</formula>
    </cfRule>
  </conditionalFormatting>
  <conditionalFormatting sqref="J29:L29">
    <cfRule type="expression" dxfId="202" priority="183">
      <formula>J29&lt;&gt;""</formula>
    </cfRule>
  </conditionalFormatting>
  <conditionalFormatting sqref="M29:O29">
    <cfRule type="expression" dxfId="201" priority="182">
      <formula>M29&lt;&gt;""</formula>
    </cfRule>
  </conditionalFormatting>
  <conditionalFormatting sqref="P29:R29">
    <cfRule type="expression" dxfId="200" priority="181">
      <formula>P29&lt;&gt;""</formula>
    </cfRule>
  </conditionalFormatting>
  <conditionalFormatting sqref="P33:R33">
    <cfRule type="expression" dxfId="199" priority="180">
      <formula>P33&lt;&gt;""</formula>
    </cfRule>
  </conditionalFormatting>
  <conditionalFormatting sqref="M33:O33">
    <cfRule type="expression" dxfId="198" priority="179">
      <formula>M33&lt;&gt;""</formula>
    </cfRule>
  </conditionalFormatting>
  <conditionalFormatting sqref="J33:L33">
    <cfRule type="expression" dxfId="197" priority="178">
      <formula>J33&lt;&gt;""</formula>
    </cfRule>
  </conditionalFormatting>
  <conditionalFormatting sqref="G33:I33">
    <cfRule type="expression" dxfId="196" priority="177">
      <formula>G33&lt;&gt;""</formula>
    </cfRule>
  </conditionalFormatting>
  <conditionalFormatting sqref="D35:F35">
    <cfRule type="expression" dxfId="195" priority="176">
      <formula>D35&lt;&gt;""</formula>
    </cfRule>
  </conditionalFormatting>
  <conditionalFormatting sqref="J35:L35">
    <cfRule type="expression" dxfId="194" priority="175">
      <formula>J35&lt;&gt;""</formula>
    </cfRule>
  </conditionalFormatting>
  <conditionalFormatting sqref="M35:O35">
    <cfRule type="expression" dxfId="193" priority="174">
      <formula>M35&lt;&gt;""</formula>
    </cfRule>
  </conditionalFormatting>
  <conditionalFormatting sqref="P35:R35">
    <cfRule type="expression" dxfId="192" priority="173">
      <formula>P35&lt;&gt;""</formula>
    </cfRule>
  </conditionalFormatting>
  <conditionalFormatting sqref="P37:R37">
    <cfRule type="expression" dxfId="191" priority="172">
      <formula>P37&lt;&gt;""</formula>
    </cfRule>
  </conditionalFormatting>
  <conditionalFormatting sqref="M37:O37">
    <cfRule type="expression" dxfId="190" priority="171">
      <formula>M37&lt;&gt;""</formula>
    </cfRule>
  </conditionalFormatting>
  <conditionalFormatting sqref="G37:I37">
    <cfRule type="expression" dxfId="189" priority="170">
      <formula>G37&lt;&gt;""</formula>
    </cfRule>
  </conditionalFormatting>
  <conditionalFormatting sqref="D37:F37">
    <cfRule type="expression" dxfId="188" priority="169">
      <formula>D37&lt;&gt;""</formula>
    </cfRule>
  </conditionalFormatting>
  <conditionalFormatting sqref="D39:F39">
    <cfRule type="expression" dxfId="187" priority="168">
      <formula>D39&lt;&gt;""</formula>
    </cfRule>
  </conditionalFormatting>
  <conditionalFormatting sqref="G39:I39">
    <cfRule type="expression" dxfId="186" priority="167">
      <formula>G39&lt;&gt;""</formula>
    </cfRule>
  </conditionalFormatting>
  <conditionalFormatting sqref="J39:L39">
    <cfRule type="expression" dxfId="185" priority="166">
      <formula>J39&lt;&gt;""</formula>
    </cfRule>
  </conditionalFormatting>
  <conditionalFormatting sqref="P39:R39">
    <cfRule type="expression" dxfId="184" priority="165">
      <formula>P39&lt;&gt;""</formula>
    </cfRule>
  </conditionalFormatting>
  <conditionalFormatting sqref="M41:O41">
    <cfRule type="expression" dxfId="183" priority="164">
      <formula>M41&lt;&gt;""</formula>
    </cfRule>
  </conditionalFormatting>
  <conditionalFormatting sqref="J41:L41">
    <cfRule type="expression" dxfId="182" priority="163">
      <formula>J41&lt;&gt;""</formula>
    </cfRule>
  </conditionalFormatting>
  <conditionalFormatting sqref="G41:I41">
    <cfRule type="expression" dxfId="181" priority="162">
      <formula>G41&lt;&gt;""</formula>
    </cfRule>
  </conditionalFormatting>
  <conditionalFormatting sqref="D41:F41">
    <cfRule type="expression" dxfId="180" priority="161">
      <formula>D41&lt;&gt;""</formula>
    </cfRule>
  </conditionalFormatting>
  <conditionalFormatting sqref="S33:U33">
    <cfRule type="expression" dxfId="179" priority="160">
      <formula>S33&lt;&gt;""</formula>
    </cfRule>
  </conditionalFormatting>
  <conditionalFormatting sqref="S35:U35">
    <cfRule type="expression" dxfId="178" priority="159">
      <formula>S35&lt;&gt;""</formula>
    </cfRule>
  </conditionalFormatting>
  <conditionalFormatting sqref="S37:U37">
    <cfRule type="expression" dxfId="177" priority="158">
      <formula>S37&lt;&gt;""</formula>
    </cfRule>
  </conditionalFormatting>
  <conditionalFormatting sqref="S39:U39">
    <cfRule type="expression" dxfId="176" priority="157">
      <formula>S39&lt;&gt;""</formula>
    </cfRule>
  </conditionalFormatting>
  <conditionalFormatting sqref="S41:U41">
    <cfRule type="expression" dxfId="175" priority="156">
      <formula>S41&lt;&gt;""</formula>
    </cfRule>
  </conditionalFormatting>
  <conditionalFormatting sqref="D43:F43">
    <cfRule type="expression" dxfId="174" priority="155">
      <formula>D43&lt;&gt;""</formula>
    </cfRule>
  </conditionalFormatting>
  <conditionalFormatting sqref="G43:I43">
    <cfRule type="expression" dxfId="173" priority="154">
      <formula>G43&lt;&gt;""</formula>
    </cfRule>
  </conditionalFormatting>
  <conditionalFormatting sqref="J43:L43">
    <cfRule type="expression" dxfId="172" priority="153">
      <formula>J43&lt;&gt;""</formula>
    </cfRule>
  </conditionalFormatting>
  <conditionalFormatting sqref="M43:O43">
    <cfRule type="expression" dxfId="171" priority="152">
      <formula>M43&lt;&gt;""</formula>
    </cfRule>
  </conditionalFormatting>
  <conditionalFormatting sqref="P43:R43">
    <cfRule type="expression" dxfId="170" priority="151">
      <formula>P43&lt;&gt;""</formula>
    </cfRule>
  </conditionalFormatting>
  <conditionalFormatting sqref="P47:R47">
    <cfRule type="expression" dxfId="169" priority="150">
      <formula>P47&lt;&gt;""</formula>
    </cfRule>
  </conditionalFormatting>
  <conditionalFormatting sqref="M47:O47">
    <cfRule type="expression" dxfId="168" priority="149">
      <formula>M47&lt;&gt;""</formula>
    </cfRule>
  </conditionalFormatting>
  <conditionalFormatting sqref="J47:L47">
    <cfRule type="expression" dxfId="167" priority="148">
      <formula>J47&lt;&gt;""</formula>
    </cfRule>
  </conditionalFormatting>
  <conditionalFormatting sqref="G47:I47">
    <cfRule type="expression" dxfId="166" priority="147">
      <formula>G47&lt;&gt;""</formula>
    </cfRule>
  </conditionalFormatting>
  <conditionalFormatting sqref="D49:F49">
    <cfRule type="expression" dxfId="165" priority="146">
      <formula>D49&lt;&gt;""</formula>
    </cfRule>
  </conditionalFormatting>
  <conditionalFormatting sqref="J49:L49">
    <cfRule type="expression" dxfId="164" priority="145">
      <formula>J49&lt;&gt;""</formula>
    </cfRule>
  </conditionalFormatting>
  <conditionalFormatting sqref="M49:O49">
    <cfRule type="expression" dxfId="163" priority="144">
      <formula>M49&lt;&gt;""</formula>
    </cfRule>
  </conditionalFormatting>
  <conditionalFormatting sqref="P49:R49">
    <cfRule type="expression" dxfId="162" priority="143">
      <formula>P49&lt;&gt;""</formula>
    </cfRule>
  </conditionalFormatting>
  <conditionalFormatting sqref="P51:R51">
    <cfRule type="expression" dxfId="161" priority="142">
      <formula>P51&lt;&gt;""</formula>
    </cfRule>
  </conditionalFormatting>
  <conditionalFormatting sqref="M51:O51">
    <cfRule type="expression" dxfId="160" priority="141">
      <formula>M51&lt;&gt;""</formula>
    </cfRule>
  </conditionalFormatting>
  <conditionalFormatting sqref="G51:I51">
    <cfRule type="expression" dxfId="159" priority="140">
      <formula>G51&lt;&gt;""</formula>
    </cfRule>
  </conditionalFormatting>
  <conditionalFormatting sqref="D51:F51">
    <cfRule type="expression" dxfId="158" priority="139">
      <formula>D51&lt;&gt;""</formula>
    </cfRule>
  </conditionalFormatting>
  <conditionalFormatting sqref="D53:F53">
    <cfRule type="expression" dxfId="157" priority="138">
      <formula>D53&lt;&gt;""</formula>
    </cfRule>
  </conditionalFormatting>
  <conditionalFormatting sqref="G53:I53">
    <cfRule type="expression" dxfId="156" priority="137">
      <formula>G53&lt;&gt;""</formula>
    </cfRule>
  </conditionalFormatting>
  <conditionalFormatting sqref="J53:L53">
    <cfRule type="expression" dxfId="155" priority="136">
      <formula>J53&lt;&gt;""</formula>
    </cfRule>
  </conditionalFormatting>
  <conditionalFormatting sqref="P53:R53">
    <cfRule type="expression" dxfId="154" priority="135">
      <formula>P53&lt;&gt;""</formula>
    </cfRule>
  </conditionalFormatting>
  <conditionalFormatting sqref="M55:O55">
    <cfRule type="expression" dxfId="153" priority="134">
      <formula>M55&lt;&gt;""</formula>
    </cfRule>
  </conditionalFormatting>
  <conditionalFormatting sqref="J55:L55">
    <cfRule type="expression" dxfId="152" priority="133">
      <formula>J55&lt;&gt;""</formula>
    </cfRule>
  </conditionalFormatting>
  <conditionalFormatting sqref="G55:I55">
    <cfRule type="expression" dxfId="151" priority="132">
      <formula>G55&lt;&gt;""</formula>
    </cfRule>
  </conditionalFormatting>
  <conditionalFormatting sqref="D55:F55">
    <cfRule type="expression" dxfId="150" priority="131">
      <formula>D55&lt;&gt;""</formula>
    </cfRule>
  </conditionalFormatting>
  <conditionalFormatting sqref="S47:U47">
    <cfRule type="expression" dxfId="149" priority="130">
      <formula>S47&lt;&gt;""</formula>
    </cfRule>
  </conditionalFormatting>
  <conditionalFormatting sqref="S49:U49">
    <cfRule type="expression" dxfId="148" priority="129">
      <formula>S49&lt;&gt;""</formula>
    </cfRule>
  </conditionalFormatting>
  <conditionalFormatting sqref="S51:U51">
    <cfRule type="expression" dxfId="147" priority="128">
      <formula>S51&lt;&gt;""</formula>
    </cfRule>
  </conditionalFormatting>
  <conditionalFormatting sqref="S53:U53">
    <cfRule type="expression" dxfId="146" priority="127">
      <formula>S53&lt;&gt;""</formula>
    </cfRule>
  </conditionalFormatting>
  <conditionalFormatting sqref="S55:U55">
    <cfRule type="expression" dxfId="145" priority="126">
      <formula>S55&lt;&gt;""</formula>
    </cfRule>
  </conditionalFormatting>
  <conditionalFormatting sqref="D57:F57">
    <cfRule type="expression" dxfId="144" priority="125">
      <formula>D57&lt;&gt;""</formula>
    </cfRule>
  </conditionalFormatting>
  <conditionalFormatting sqref="G57:I57">
    <cfRule type="expression" dxfId="143" priority="124">
      <formula>G57&lt;&gt;""</formula>
    </cfRule>
  </conditionalFormatting>
  <conditionalFormatting sqref="J57:L57">
    <cfRule type="expression" dxfId="142" priority="123">
      <formula>J57&lt;&gt;""</formula>
    </cfRule>
  </conditionalFormatting>
  <conditionalFormatting sqref="M57:O57">
    <cfRule type="expression" dxfId="141" priority="122">
      <formula>M57&lt;&gt;""</formula>
    </cfRule>
  </conditionalFormatting>
  <conditionalFormatting sqref="P57:R57">
    <cfRule type="expression" dxfId="140" priority="121">
      <formula>P57&lt;&gt;""</formula>
    </cfRule>
  </conditionalFormatting>
  <conditionalFormatting sqref="AP5:AR5">
    <cfRule type="expression" dxfId="139" priority="120">
      <formula>AP5&lt;&gt;""</formula>
    </cfRule>
  </conditionalFormatting>
  <conditionalFormatting sqref="AM5:AO5">
    <cfRule type="expression" dxfId="138" priority="119">
      <formula>AM5&lt;&gt;""</formula>
    </cfRule>
  </conditionalFormatting>
  <conditionalFormatting sqref="AJ5:AL5">
    <cfRule type="expression" dxfId="137" priority="118">
      <formula>AJ5&lt;&gt;""</formula>
    </cfRule>
  </conditionalFormatting>
  <conditionalFormatting sqref="AG5:AI5">
    <cfRule type="expression" dxfId="136" priority="117">
      <formula>AG5&lt;&gt;""</formula>
    </cfRule>
  </conditionalFormatting>
  <conditionalFormatting sqref="AD7:AF7">
    <cfRule type="expression" dxfId="135" priority="116">
      <formula>AD7&lt;&gt;""</formula>
    </cfRule>
  </conditionalFormatting>
  <conditionalFormatting sqref="AJ7:AL7">
    <cfRule type="expression" dxfId="134" priority="115">
      <formula>AJ7&lt;&gt;""</formula>
    </cfRule>
  </conditionalFormatting>
  <conditionalFormatting sqref="AM7:AO7">
    <cfRule type="expression" dxfId="133" priority="114">
      <formula>AM7&lt;&gt;""</formula>
    </cfRule>
  </conditionalFormatting>
  <conditionalFormatting sqref="AP7:AR7">
    <cfRule type="expression" dxfId="132" priority="113">
      <formula>AP7&lt;&gt;""</formula>
    </cfRule>
  </conditionalFormatting>
  <conditionalFormatting sqref="AP9:AR9">
    <cfRule type="expression" dxfId="131" priority="112">
      <formula>AP9&lt;&gt;""</formula>
    </cfRule>
  </conditionalFormatting>
  <conditionalFormatting sqref="AM9:AO9">
    <cfRule type="expression" dxfId="130" priority="111">
      <formula>AM9&lt;&gt;""</formula>
    </cfRule>
  </conditionalFormatting>
  <conditionalFormatting sqref="AG9:AI9">
    <cfRule type="expression" dxfId="129" priority="110">
      <formula>AG9&lt;&gt;""</formula>
    </cfRule>
  </conditionalFormatting>
  <conditionalFormatting sqref="AD9:AF9">
    <cfRule type="expression" dxfId="128" priority="109">
      <formula>AD9&lt;&gt;""</formula>
    </cfRule>
  </conditionalFormatting>
  <conditionalFormatting sqref="AD11:AF11">
    <cfRule type="expression" dxfId="127" priority="108">
      <formula>AD11&lt;&gt;""</formula>
    </cfRule>
  </conditionalFormatting>
  <conditionalFormatting sqref="AG11:AI11">
    <cfRule type="expression" dxfId="126" priority="107">
      <formula>AG11&lt;&gt;""</formula>
    </cfRule>
  </conditionalFormatting>
  <conditionalFormatting sqref="AJ11:AL11">
    <cfRule type="expression" dxfId="125" priority="106">
      <formula>AJ11&lt;&gt;""</formula>
    </cfRule>
  </conditionalFormatting>
  <conditionalFormatting sqref="AP11:AR11">
    <cfRule type="expression" dxfId="124" priority="105">
      <formula>AP11&lt;&gt;""</formula>
    </cfRule>
  </conditionalFormatting>
  <conditionalFormatting sqref="AM13:AO13">
    <cfRule type="expression" dxfId="123" priority="104">
      <formula>AM13&lt;&gt;""</formula>
    </cfRule>
  </conditionalFormatting>
  <conditionalFormatting sqref="AJ13:AL13">
    <cfRule type="expression" dxfId="122" priority="103">
      <formula>AJ13&lt;&gt;""</formula>
    </cfRule>
  </conditionalFormatting>
  <conditionalFormatting sqref="AG13:AI13">
    <cfRule type="expression" dxfId="121" priority="102">
      <formula>AG13&lt;&gt;""</formula>
    </cfRule>
  </conditionalFormatting>
  <conditionalFormatting sqref="AD13:AF13">
    <cfRule type="expression" dxfId="120" priority="101">
      <formula>AD13&lt;&gt;""</formula>
    </cfRule>
  </conditionalFormatting>
  <conditionalFormatting sqref="AS5:AU5">
    <cfRule type="expression" dxfId="119" priority="100">
      <formula>AS5&lt;&gt;""</formula>
    </cfRule>
  </conditionalFormatting>
  <conditionalFormatting sqref="AS7:AU7">
    <cfRule type="expression" dxfId="118" priority="99">
      <formula>AS7&lt;&gt;""</formula>
    </cfRule>
  </conditionalFormatting>
  <conditionalFormatting sqref="AS9:AU9">
    <cfRule type="expression" dxfId="117" priority="98">
      <formula>AS9&lt;&gt;""</formula>
    </cfRule>
  </conditionalFormatting>
  <conditionalFormatting sqref="AS11:AU11">
    <cfRule type="expression" dxfId="116" priority="97">
      <formula>AS11&lt;&gt;""</formula>
    </cfRule>
  </conditionalFormatting>
  <conditionalFormatting sqref="AS13:AU13">
    <cfRule type="expression" dxfId="115" priority="96">
      <formula>AS13&lt;&gt;""</formula>
    </cfRule>
  </conditionalFormatting>
  <conditionalFormatting sqref="AD15:AF15">
    <cfRule type="expression" dxfId="114" priority="95">
      <formula>AD15&lt;&gt;""</formula>
    </cfRule>
  </conditionalFormatting>
  <conditionalFormatting sqref="AG15:AI15">
    <cfRule type="expression" dxfId="113" priority="94">
      <formula>AG15&lt;&gt;""</formula>
    </cfRule>
  </conditionalFormatting>
  <conditionalFormatting sqref="AJ15:AL15">
    <cfRule type="expression" dxfId="112" priority="93">
      <formula>AJ15&lt;&gt;""</formula>
    </cfRule>
  </conditionalFormatting>
  <conditionalFormatting sqref="AM15:AO15">
    <cfRule type="expression" dxfId="111" priority="92">
      <formula>AM15&lt;&gt;""</formula>
    </cfRule>
  </conditionalFormatting>
  <conditionalFormatting sqref="AP15:AR15">
    <cfRule type="expression" dxfId="110" priority="91">
      <formula>AP15&lt;&gt;""</formula>
    </cfRule>
  </conditionalFormatting>
  <conditionalFormatting sqref="AP19:AR19">
    <cfRule type="expression" dxfId="109" priority="90">
      <formula>AP19&lt;&gt;""</formula>
    </cfRule>
  </conditionalFormatting>
  <conditionalFormatting sqref="AM19:AO19">
    <cfRule type="expression" dxfId="108" priority="89">
      <formula>AM19&lt;&gt;""</formula>
    </cfRule>
  </conditionalFormatting>
  <conditionalFormatting sqref="AJ19:AL19">
    <cfRule type="expression" dxfId="107" priority="88">
      <formula>AJ19&lt;&gt;""</formula>
    </cfRule>
  </conditionalFormatting>
  <conditionalFormatting sqref="AG19:AI19">
    <cfRule type="expression" dxfId="106" priority="87">
      <formula>AG19&lt;&gt;""</formula>
    </cfRule>
  </conditionalFormatting>
  <conditionalFormatting sqref="AD21:AF21">
    <cfRule type="expression" dxfId="105" priority="86">
      <formula>AD21&lt;&gt;""</formula>
    </cfRule>
  </conditionalFormatting>
  <conditionalFormatting sqref="AJ21:AL21">
    <cfRule type="expression" dxfId="104" priority="85">
      <formula>AJ21&lt;&gt;""</formula>
    </cfRule>
  </conditionalFormatting>
  <conditionalFormatting sqref="AM21:AO21">
    <cfRule type="expression" dxfId="103" priority="84">
      <formula>AM21&lt;&gt;""</formula>
    </cfRule>
  </conditionalFormatting>
  <conditionalFormatting sqref="AP21:AR21">
    <cfRule type="expression" dxfId="102" priority="83">
      <formula>AP21&lt;&gt;""</formula>
    </cfRule>
  </conditionalFormatting>
  <conditionalFormatting sqref="AP23:AR23">
    <cfRule type="expression" dxfId="101" priority="82">
      <formula>AP23&lt;&gt;""</formula>
    </cfRule>
  </conditionalFormatting>
  <conditionalFormatting sqref="AM23:AO23">
    <cfRule type="expression" dxfId="100" priority="81">
      <formula>AM23&lt;&gt;""</formula>
    </cfRule>
  </conditionalFormatting>
  <conditionalFormatting sqref="AG23:AI23">
    <cfRule type="expression" dxfId="99" priority="80">
      <formula>AG23&lt;&gt;""</formula>
    </cfRule>
  </conditionalFormatting>
  <conditionalFormatting sqref="AD23:AF23">
    <cfRule type="expression" dxfId="98" priority="79">
      <formula>AD23&lt;&gt;""</formula>
    </cfRule>
  </conditionalFormatting>
  <conditionalFormatting sqref="AD25:AF25">
    <cfRule type="expression" dxfId="97" priority="78">
      <formula>AD25&lt;&gt;""</formula>
    </cfRule>
  </conditionalFormatting>
  <conditionalFormatting sqref="AG25:AI25">
    <cfRule type="expression" dxfId="96" priority="77">
      <formula>AG25&lt;&gt;""</formula>
    </cfRule>
  </conditionalFormatting>
  <conditionalFormatting sqref="AJ25:AL25">
    <cfRule type="expression" dxfId="95" priority="76">
      <formula>AJ25&lt;&gt;""</formula>
    </cfRule>
  </conditionalFormatting>
  <conditionalFormatting sqref="AP25:AR25">
    <cfRule type="expression" dxfId="94" priority="75">
      <formula>AP25&lt;&gt;""</formula>
    </cfRule>
  </conditionalFormatting>
  <conditionalFormatting sqref="AM27:AO27">
    <cfRule type="expression" dxfId="93" priority="74">
      <formula>AM27&lt;&gt;""</formula>
    </cfRule>
  </conditionalFormatting>
  <conditionalFormatting sqref="AJ27:AL27">
    <cfRule type="expression" dxfId="92" priority="73">
      <formula>AJ27&lt;&gt;""</formula>
    </cfRule>
  </conditionalFormatting>
  <conditionalFormatting sqref="AG27:AI27">
    <cfRule type="expression" dxfId="91" priority="72">
      <formula>AG27&lt;&gt;""</formula>
    </cfRule>
  </conditionalFormatting>
  <conditionalFormatting sqref="AD27:AF27">
    <cfRule type="expression" dxfId="90" priority="71">
      <formula>AD27&lt;&gt;""</formula>
    </cfRule>
  </conditionalFormatting>
  <conditionalFormatting sqref="AS19:AU19">
    <cfRule type="expression" dxfId="89" priority="70">
      <formula>AS19&lt;&gt;""</formula>
    </cfRule>
  </conditionalFormatting>
  <conditionalFormatting sqref="AS21:AU21">
    <cfRule type="expression" dxfId="88" priority="69">
      <formula>AS21&lt;&gt;""</formula>
    </cfRule>
  </conditionalFormatting>
  <conditionalFormatting sqref="AS23:AU23">
    <cfRule type="expression" dxfId="87" priority="68">
      <formula>AS23&lt;&gt;""</formula>
    </cfRule>
  </conditionalFormatting>
  <conditionalFormatting sqref="AS25:AU25">
    <cfRule type="expression" dxfId="86" priority="67">
      <formula>AS25&lt;&gt;""</formula>
    </cfRule>
  </conditionalFormatting>
  <conditionalFormatting sqref="AS27:AU27">
    <cfRule type="expression" dxfId="85" priority="66">
      <formula>AS27&lt;&gt;""</formula>
    </cfRule>
  </conditionalFormatting>
  <conditionalFormatting sqref="AD29:AF29">
    <cfRule type="expression" dxfId="84" priority="65">
      <formula>AD29&lt;&gt;""</formula>
    </cfRule>
  </conditionalFormatting>
  <conditionalFormatting sqref="AG29:AI29">
    <cfRule type="expression" dxfId="83" priority="64">
      <formula>AG29&lt;&gt;""</formula>
    </cfRule>
  </conditionalFormatting>
  <conditionalFormatting sqref="AJ29:AL29">
    <cfRule type="expression" dxfId="82" priority="63">
      <formula>AJ29&lt;&gt;""</formula>
    </cfRule>
  </conditionalFormatting>
  <conditionalFormatting sqref="AM29:AO29">
    <cfRule type="expression" dxfId="81" priority="62">
      <formula>AM29&lt;&gt;""</formula>
    </cfRule>
  </conditionalFormatting>
  <conditionalFormatting sqref="AP29:AR29">
    <cfRule type="expression" dxfId="80" priority="61">
      <formula>AP29&lt;&gt;""</formula>
    </cfRule>
  </conditionalFormatting>
  <conditionalFormatting sqref="AP33:AR33">
    <cfRule type="expression" dxfId="79" priority="60">
      <formula>AP33&lt;&gt;""</formula>
    </cfRule>
  </conditionalFormatting>
  <conditionalFormatting sqref="AM33:AO33">
    <cfRule type="expression" dxfId="78" priority="59">
      <formula>AM33&lt;&gt;""</formula>
    </cfRule>
  </conditionalFormatting>
  <conditionalFormatting sqref="AJ33:AL33">
    <cfRule type="expression" dxfId="77" priority="58">
      <formula>AJ33&lt;&gt;""</formula>
    </cfRule>
  </conditionalFormatting>
  <conditionalFormatting sqref="AG33:AI33">
    <cfRule type="expression" dxfId="76" priority="57">
      <formula>AG33&lt;&gt;""</formula>
    </cfRule>
  </conditionalFormatting>
  <conditionalFormatting sqref="AD35:AF35">
    <cfRule type="expression" dxfId="75" priority="56">
      <formula>AD35&lt;&gt;""</formula>
    </cfRule>
  </conditionalFormatting>
  <conditionalFormatting sqref="AJ35:AL35">
    <cfRule type="expression" dxfId="74" priority="55">
      <formula>AJ35&lt;&gt;""</formula>
    </cfRule>
  </conditionalFormatting>
  <conditionalFormatting sqref="AM35:AO35">
    <cfRule type="expression" dxfId="73" priority="54">
      <formula>AM35&lt;&gt;""</formula>
    </cfRule>
  </conditionalFormatting>
  <conditionalFormatting sqref="AP35:AR35">
    <cfRule type="expression" dxfId="72" priority="53">
      <formula>AP35&lt;&gt;""</formula>
    </cfRule>
  </conditionalFormatting>
  <conditionalFormatting sqref="AP37:AR37">
    <cfRule type="expression" dxfId="71" priority="52">
      <formula>AP37&lt;&gt;""</formula>
    </cfRule>
  </conditionalFormatting>
  <conditionalFormatting sqref="AM37:AO37">
    <cfRule type="expression" dxfId="70" priority="51">
      <formula>AM37&lt;&gt;""</formula>
    </cfRule>
  </conditionalFormatting>
  <conditionalFormatting sqref="AG37:AI37">
    <cfRule type="expression" dxfId="69" priority="50">
      <formula>AG37&lt;&gt;""</formula>
    </cfRule>
  </conditionalFormatting>
  <conditionalFormatting sqref="AD37:AF37">
    <cfRule type="expression" dxfId="68" priority="49">
      <formula>AD37&lt;&gt;""</formula>
    </cfRule>
  </conditionalFormatting>
  <conditionalFormatting sqref="AD39:AF39">
    <cfRule type="expression" dxfId="67" priority="48">
      <formula>AD39&lt;&gt;""</formula>
    </cfRule>
  </conditionalFormatting>
  <conditionalFormatting sqref="AG39:AI39">
    <cfRule type="expression" dxfId="66" priority="47">
      <formula>AG39&lt;&gt;""</formula>
    </cfRule>
  </conditionalFormatting>
  <conditionalFormatting sqref="AJ39:AL39">
    <cfRule type="expression" dxfId="65" priority="46">
      <formula>AJ39&lt;&gt;""</formula>
    </cfRule>
  </conditionalFormatting>
  <conditionalFormatting sqref="AP39:AR39">
    <cfRule type="expression" dxfId="64" priority="45">
      <formula>AP39&lt;&gt;""</formula>
    </cfRule>
  </conditionalFormatting>
  <conditionalFormatting sqref="AM41:AO41">
    <cfRule type="expression" dxfId="63" priority="44">
      <formula>AM41&lt;&gt;""</formula>
    </cfRule>
  </conditionalFormatting>
  <conditionalFormatting sqref="AJ41:AL41">
    <cfRule type="expression" dxfId="62" priority="43">
      <formula>AJ41&lt;&gt;""</formula>
    </cfRule>
  </conditionalFormatting>
  <conditionalFormatting sqref="AG41:AI41">
    <cfRule type="expression" dxfId="61" priority="42">
      <formula>AG41&lt;&gt;""</formula>
    </cfRule>
  </conditionalFormatting>
  <conditionalFormatting sqref="AD41:AF41">
    <cfRule type="expression" dxfId="60" priority="41">
      <formula>AD41&lt;&gt;""</formula>
    </cfRule>
  </conditionalFormatting>
  <conditionalFormatting sqref="AS33:AU33">
    <cfRule type="expression" dxfId="59" priority="40">
      <formula>AS33&lt;&gt;""</formula>
    </cfRule>
  </conditionalFormatting>
  <conditionalFormatting sqref="AS35:AU35">
    <cfRule type="expression" dxfId="58" priority="39">
      <formula>AS35&lt;&gt;""</formula>
    </cfRule>
  </conditionalFormatting>
  <conditionalFormatting sqref="AS37:AU37">
    <cfRule type="expression" dxfId="57" priority="38">
      <formula>AS37&lt;&gt;""</formula>
    </cfRule>
  </conditionalFormatting>
  <conditionalFormatting sqref="AS39:AU39">
    <cfRule type="expression" dxfId="56" priority="37">
      <formula>AS39&lt;&gt;""</formula>
    </cfRule>
  </conditionalFormatting>
  <conditionalFormatting sqref="AS41:AU41">
    <cfRule type="expression" dxfId="55" priority="36">
      <formula>AS41&lt;&gt;""</formula>
    </cfRule>
  </conditionalFormatting>
  <conditionalFormatting sqref="AD43:AF43">
    <cfRule type="expression" dxfId="54" priority="35">
      <formula>AD43&lt;&gt;""</formula>
    </cfRule>
  </conditionalFormatting>
  <conditionalFormatting sqref="AG43:AI43">
    <cfRule type="expression" dxfId="53" priority="34">
      <formula>AG43&lt;&gt;""</formula>
    </cfRule>
  </conditionalFormatting>
  <conditionalFormatting sqref="AJ43:AL43">
    <cfRule type="expression" dxfId="52" priority="33">
      <formula>AJ43&lt;&gt;""</formula>
    </cfRule>
  </conditionalFormatting>
  <conditionalFormatting sqref="AM43:AO43">
    <cfRule type="expression" dxfId="51" priority="32">
      <formula>AM43&lt;&gt;""</formula>
    </cfRule>
  </conditionalFormatting>
  <conditionalFormatting sqref="AP43:AR43">
    <cfRule type="expression" dxfId="50" priority="31">
      <formula>AP43&lt;&gt;""</formula>
    </cfRule>
  </conditionalFormatting>
  <conditionalFormatting sqref="AP47:AR47">
    <cfRule type="expression" dxfId="49" priority="30">
      <formula>AP47&lt;&gt;""</formula>
    </cfRule>
  </conditionalFormatting>
  <conditionalFormatting sqref="AM47:AO47">
    <cfRule type="expression" dxfId="48" priority="29">
      <formula>AM47&lt;&gt;""</formula>
    </cfRule>
  </conditionalFormatting>
  <conditionalFormatting sqref="AJ47:AL47">
    <cfRule type="expression" dxfId="47" priority="28">
      <formula>AJ47&lt;&gt;""</formula>
    </cfRule>
  </conditionalFormatting>
  <conditionalFormatting sqref="AG47:AI47">
    <cfRule type="expression" dxfId="46" priority="27">
      <formula>AG47&lt;&gt;""</formula>
    </cfRule>
  </conditionalFormatting>
  <conditionalFormatting sqref="AD49:AF49">
    <cfRule type="expression" dxfId="45" priority="26">
      <formula>AD49&lt;&gt;""</formula>
    </cfRule>
  </conditionalFormatting>
  <conditionalFormatting sqref="AJ49:AL49">
    <cfRule type="expression" dxfId="44" priority="25">
      <formula>AJ49&lt;&gt;""</formula>
    </cfRule>
  </conditionalFormatting>
  <conditionalFormatting sqref="AM49:AO49">
    <cfRule type="expression" dxfId="43" priority="24">
      <formula>AM49&lt;&gt;""</formula>
    </cfRule>
  </conditionalFormatting>
  <conditionalFormatting sqref="AP49:AR49">
    <cfRule type="expression" dxfId="42" priority="23">
      <formula>AP49&lt;&gt;""</formula>
    </cfRule>
  </conditionalFormatting>
  <conditionalFormatting sqref="AP51:AR51">
    <cfRule type="expression" dxfId="41" priority="22">
      <formula>AP51&lt;&gt;""</formula>
    </cfRule>
  </conditionalFormatting>
  <conditionalFormatting sqref="AM51:AO51">
    <cfRule type="expression" dxfId="40" priority="21">
      <formula>AM51&lt;&gt;""</formula>
    </cfRule>
  </conditionalFormatting>
  <conditionalFormatting sqref="AG51:AI51">
    <cfRule type="expression" dxfId="39" priority="20">
      <formula>AG51&lt;&gt;""</formula>
    </cfRule>
  </conditionalFormatting>
  <conditionalFormatting sqref="AD51:AF51">
    <cfRule type="expression" dxfId="38" priority="19">
      <formula>AD51&lt;&gt;""</formula>
    </cfRule>
  </conditionalFormatting>
  <conditionalFormatting sqref="AD53:AF53">
    <cfRule type="expression" dxfId="37" priority="18">
      <formula>AD53&lt;&gt;""</formula>
    </cfRule>
  </conditionalFormatting>
  <conditionalFormatting sqref="AG53:AI53">
    <cfRule type="expression" dxfId="36" priority="17">
      <formula>AG53&lt;&gt;""</formula>
    </cfRule>
  </conditionalFormatting>
  <conditionalFormatting sqref="AJ53:AL53">
    <cfRule type="expression" dxfId="35" priority="16">
      <formula>AJ53&lt;&gt;""</formula>
    </cfRule>
  </conditionalFormatting>
  <conditionalFormatting sqref="AP53:AR53">
    <cfRule type="expression" dxfId="34" priority="15">
      <formula>AP53&lt;&gt;""</formula>
    </cfRule>
  </conditionalFormatting>
  <conditionalFormatting sqref="AM55:AO55">
    <cfRule type="expression" dxfId="33" priority="14">
      <formula>AM55&lt;&gt;""</formula>
    </cfRule>
  </conditionalFormatting>
  <conditionalFormatting sqref="AJ55:AL55">
    <cfRule type="expression" dxfId="32" priority="13">
      <formula>AJ55&lt;&gt;""</formula>
    </cfRule>
  </conditionalFormatting>
  <conditionalFormatting sqref="AG55:AI55">
    <cfRule type="expression" dxfId="31" priority="12">
      <formula>AG55&lt;&gt;""</formula>
    </cfRule>
  </conditionalFormatting>
  <conditionalFormatting sqref="AD55:AF55">
    <cfRule type="expression" dxfId="30" priority="11">
      <formula>AD55&lt;&gt;""</formula>
    </cfRule>
  </conditionalFormatting>
  <conditionalFormatting sqref="AS47:AU47">
    <cfRule type="expression" dxfId="29" priority="10">
      <formula>AS47&lt;&gt;""</formula>
    </cfRule>
  </conditionalFormatting>
  <conditionalFormatting sqref="AS49:AU49">
    <cfRule type="expression" dxfId="28" priority="9">
      <formula>AS49&lt;&gt;""</formula>
    </cfRule>
  </conditionalFormatting>
  <conditionalFormatting sqref="AS51:AU51">
    <cfRule type="expression" dxfId="27" priority="8">
      <formula>AS51&lt;&gt;""</formula>
    </cfRule>
  </conditionalFormatting>
  <conditionalFormatting sqref="AS53:AU53">
    <cfRule type="expression" dxfId="26" priority="7">
      <formula>AS53&lt;&gt;""</formula>
    </cfRule>
  </conditionalFormatting>
  <conditionalFormatting sqref="AS55:AU55">
    <cfRule type="expression" dxfId="25" priority="6">
      <formula>AS55&lt;&gt;""</formula>
    </cfRule>
  </conditionalFormatting>
  <conditionalFormatting sqref="AD57:AF57">
    <cfRule type="expression" dxfId="24" priority="5">
      <formula>AD57&lt;&gt;""</formula>
    </cfRule>
  </conditionalFormatting>
  <conditionalFormatting sqref="AG57:AI57">
    <cfRule type="expression" dxfId="23" priority="4">
      <formula>AG57&lt;&gt;""</formula>
    </cfRule>
  </conditionalFormatting>
  <conditionalFormatting sqref="AJ57:AL57">
    <cfRule type="expression" dxfId="22" priority="3">
      <formula>AJ57&lt;&gt;""</formula>
    </cfRule>
  </conditionalFormatting>
  <conditionalFormatting sqref="AM57:AO57">
    <cfRule type="expression" dxfId="21" priority="2">
      <formula>AM57&lt;&gt;""</formula>
    </cfRule>
  </conditionalFormatting>
  <conditionalFormatting sqref="AP57:AR57">
    <cfRule type="expression" dxfId="20" priority="1">
      <formula>AP57&lt;&gt;""</formula>
    </cfRule>
  </conditionalFormatting>
  <printOptions horizontalCentered="1"/>
  <pageMargins left="0.11811023622047245" right="0.11811023622047245" top="0.15748031496062992" bottom="0.15748031496062992" header="0.31496062992125984" footer="0.31496062992125984"/>
  <pageSetup paperSize="9" scale="75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E1822"/>
  <sheetViews>
    <sheetView workbookViewId="0">
      <selection sqref="A1:E65536"/>
    </sheetView>
  </sheetViews>
  <sheetFormatPr defaultRowHeight="12.75" x14ac:dyDescent="0.2"/>
  <sheetData>
    <row r="1" spans="1:5" x14ac:dyDescent="0.2">
      <c r="A1" t="s">
        <v>100</v>
      </c>
      <c r="B1" t="s">
        <v>6</v>
      </c>
      <c r="C1" t="s">
        <v>101</v>
      </c>
      <c r="D1" t="s">
        <v>5</v>
      </c>
      <c r="E1" t="s">
        <v>44</v>
      </c>
    </row>
    <row r="2" spans="1:5" x14ac:dyDescent="0.2">
      <c r="A2">
        <v>3629</v>
      </c>
      <c r="B2">
        <v>0</v>
      </c>
      <c r="C2" t="s">
        <v>1057</v>
      </c>
      <c r="D2">
        <v>36984</v>
      </c>
      <c r="E2" t="s">
        <v>105</v>
      </c>
    </row>
    <row r="3" spans="1:5" x14ac:dyDescent="0.2">
      <c r="A3">
        <v>3631</v>
      </c>
      <c r="B3">
        <v>0</v>
      </c>
      <c r="C3" t="s">
        <v>1058</v>
      </c>
      <c r="D3">
        <v>37780</v>
      </c>
      <c r="E3" t="s">
        <v>105</v>
      </c>
    </row>
    <row r="4" spans="1:5" x14ac:dyDescent="0.2">
      <c r="A4">
        <v>3006</v>
      </c>
      <c r="B4">
        <v>4</v>
      </c>
      <c r="C4" t="s">
        <v>1059</v>
      </c>
      <c r="D4">
        <v>37780</v>
      </c>
      <c r="E4" t="s">
        <v>105</v>
      </c>
    </row>
    <row r="5" spans="1:5" x14ac:dyDescent="0.2">
      <c r="A5">
        <v>2628</v>
      </c>
      <c r="B5">
        <v>19</v>
      </c>
      <c r="C5" t="s">
        <v>1060</v>
      </c>
      <c r="D5">
        <v>37378</v>
      </c>
      <c r="E5" t="s">
        <v>105</v>
      </c>
    </row>
    <row r="6" spans="1:5" x14ac:dyDescent="0.2">
      <c r="A6">
        <v>3675</v>
      </c>
      <c r="B6">
        <v>0</v>
      </c>
      <c r="C6" t="s">
        <v>1061</v>
      </c>
      <c r="D6">
        <v>37273</v>
      </c>
      <c r="E6" t="s">
        <v>138</v>
      </c>
    </row>
    <row r="7" spans="1:5" x14ac:dyDescent="0.2">
      <c r="A7">
        <v>3101</v>
      </c>
      <c r="B7">
        <v>2</v>
      </c>
      <c r="C7" t="s">
        <v>1062</v>
      </c>
      <c r="D7">
        <v>36959</v>
      </c>
      <c r="E7" t="s">
        <v>1063</v>
      </c>
    </row>
    <row r="8" spans="1:5" x14ac:dyDescent="0.2">
      <c r="A8">
        <v>2984</v>
      </c>
      <c r="B8">
        <v>5</v>
      </c>
      <c r="C8" t="s">
        <v>1064</v>
      </c>
      <c r="D8">
        <v>36640</v>
      </c>
      <c r="E8" t="s">
        <v>1065</v>
      </c>
    </row>
    <row r="9" spans="1:5" x14ac:dyDescent="0.2">
      <c r="A9">
        <v>1911</v>
      </c>
      <c r="B9">
        <v>59</v>
      </c>
      <c r="C9" t="s">
        <v>1066</v>
      </c>
      <c r="D9">
        <v>36223</v>
      </c>
      <c r="E9" t="s">
        <v>1067</v>
      </c>
    </row>
    <row r="10" spans="1:5" x14ac:dyDescent="0.2">
      <c r="A10">
        <v>744</v>
      </c>
      <c r="B10">
        <v>320</v>
      </c>
      <c r="C10" t="s">
        <v>1068</v>
      </c>
      <c r="D10">
        <v>36306</v>
      </c>
      <c r="E10" t="s">
        <v>1069</v>
      </c>
    </row>
    <row r="11" spans="1:5" x14ac:dyDescent="0.2">
      <c r="A11">
        <v>3345</v>
      </c>
      <c r="B11">
        <v>0</v>
      </c>
      <c r="C11" t="s">
        <v>1070</v>
      </c>
      <c r="D11">
        <v>37189</v>
      </c>
      <c r="E11" t="s">
        <v>117</v>
      </c>
    </row>
    <row r="12" spans="1:5" x14ac:dyDescent="0.2">
      <c r="A12">
        <v>2685</v>
      </c>
      <c r="B12">
        <v>16</v>
      </c>
      <c r="C12" t="s">
        <v>1071</v>
      </c>
      <c r="D12">
        <v>36279</v>
      </c>
      <c r="E12" t="s">
        <v>118</v>
      </c>
    </row>
    <row r="13" spans="1:5" x14ac:dyDescent="0.2">
      <c r="A13">
        <v>3079</v>
      </c>
      <c r="B13">
        <v>3</v>
      </c>
      <c r="C13" t="s">
        <v>1072</v>
      </c>
      <c r="D13">
        <v>37837</v>
      </c>
      <c r="E13" t="s">
        <v>114</v>
      </c>
    </row>
    <row r="14" spans="1:5" x14ac:dyDescent="0.2">
      <c r="A14">
        <v>1757</v>
      </c>
      <c r="B14">
        <v>75</v>
      </c>
      <c r="C14" t="s">
        <v>421</v>
      </c>
      <c r="D14">
        <v>36392</v>
      </c>
      <c r="E14" t="s">
        <v>99</v>
      </c>
    </row>
    <row r="15" spans="1:5" x14ac:dyDescent="0.2">
      <c r="A15">
        <v>3280</v>
      </c>
      <c r="B15">
        <v>0</v>
      </c>
      <c r="C15" t="s">
        <v>1073</v>
      </c>
      <c r="D15">
        <v>37321</v>
      </c>
      <c r="E15" t="s">
        <v>99</v>
      </c>
    </row>
    <row r="16" spans="1:5" x14ac:dyDescent="0.2">
      <c r="A16">
        <v>1468</v>
      </c>
      <c r="B16">
        <v>117</v>
      </c>
      <c r="C16" t="s">
        <v>422</v>
      </c>
      <c r="D16">
        <v>37162</v>
      </c>
      <c r="E16" t="s">
        <v>72</v>
      </c>
    </row>
    <row r="17" spans="1:5" x14ac:dyDescent="0.2">
      <c r="A17">
        <v>3419</v>
      </c>
      <c r="B17">
        <v>0</v>
      </c>
      <c r="C17" t="s">
        <v>1074</v>
      </c>
      <c r="D17">
        <v>36862</v>
      </c>
      <c r="E17" t="s">
        <v>74</v>
      </c>
    </row>
    <row r="18" spans="1:5" x14ac:dyDescent="0.2">
      <c r="A18">
        <v>2414</v>
      </c>
      <c r="B18">
        <v>30</v>
      </c>
      <c r="C18" t="s">
        <v>766</v>
      </c>
      <c r="D18">
        <v>37105</v>
      </c>
      <c r="E18" t="s">
        <v>1076</v>
      </c>
    </row>
    <row r="19" spans="1:5" x14ac:dyDescent="0.2">
      <c r="A19">
        <v>2579</v>
      </c>
      <c r="B19">
        <v>21</v>
      </c>
      <c r="C19" t="s">
        <v>1079</v>
      </c>
      <c r="D19">
        <v>37403</v>
      </c>
      <c r="E19" t="s">
        <v>113</v>
      </c>
    </row>
    <row r="20" spans="1:5" x14ac:dyDescent="0.2">
      <c r="A20">
        <v>3531</v>
      </c>
      <c r="B20">
        <v>0</v>
      </c>
      <c r="C20" t="s">
        <v>1080</v>
      </c>
      <c r="D20">
        <v>36932</v>
      </c>
      <c r="E20" t="s">
        <v>105</v>
      </c>
    </row>
    <row r="21" spans="1:5" x14ac:dyDescent="0.2">
      <c r="A21">
        <v>3043</v>
      </c>
      <c r="B21">
        <v>4</v>
      </c>
      <c r="C21" t="s">
        <v>1081</v>
      </c>
      <c r="D21">
        <v>36451</v>
      </c>
      <c r="E21" t="s">
        <v>105</v>
      </c>
    </row>
    <row r="22" spans="1:5" x14ac:dyDescent="0.2">
      <c r="A22">
        <v>2265</v>
      </c>
      <c r="B22">
        <v>37</v>
      </c>
      <c r="C22" t="s">
        <v>423</v>
      </c>
      <c r="D22">
        <v>37007</v>
      </c>
      <c r="E22" t="s">
        <v>165</v>
      </c>
    </row>
    <row r="23" spans="1:5" x14ac:dyDescent="0.2">
      <c r="A23">
        <v>2661</v>
      </c>
      <c r="B23">
        <v>17</v>
      </c>
      <c r="C23" t="s">
        <v>1082</v>
      </c>
      <c r="D23">
        <v>36310</v>
      </c>
      <c r="E23" t="s">
        <v>1083</v>
      </c>
    </row>
    <row r="24" spans="1:5" x14ac:dyDescent="0.2">
      <c r="A24">
        <v>1896</v>
      </c>
      <c r="B24">
        <v>61</v>
      </c>
      <c r="C24" t="s">
        <v>1084</v>
      </c>
      <c r="D24">
        <v>37072</v>
      </c>
      <c r="E24" t="s">
        <v>120</v>
      </c>
    </row>
    <row r="25" spans="1:5" x14ac:dyDescent="0.2">
      <c r="A25">
        <v>2457</v>
      </c>
      <c r="B25">
        <v>27</v>
      </c>
      <c r="C25" t="s">
        <v>1085</v>
      </c>
      <c r="D25">
        <v>37232</v>
      </c>
      <c r="E25" t="s">
        <v>1086</v>
      </c>
    </row>
    <row r="26" spans="1:5" x14ac:dyDescent="0.2">
      <c r="A26">
        <v>3611</v>
      </c>
      <c r="B26">
        <v>0</v>
      </c>
      <c r="C26" t="s">
        <v>1087</v>
      </c>
      <c r="D26">
        <v>36959</v>
      </c>
      <c r="E26" t="s">
        <v>105</v>
      </c>
    </row>
    <row r="27" spans="1:5" x14ac:dyDescent="0.2">
      <c r="A27">
        <v>2595</v>
      </c>
      <c r="B27">
        <v>20</v>
      </c>
      <c r="C27" t="s">
        <v>1088</v>
      </c>
      <c r="D27">
        <v>37184</v>
      </c>
      <c r="E27" t="s">
        <v>1089</v>
      </c>
    </row>
    <row r="28" spans="1:5" x14ac:dyDescent="0.2">
      <c r="A28">
        <v>2931</v>
      </c>
      <c r="B28">
        <v>7</v>
      </c>
      <c r="C28" t="s">
        <v>1090</v>
      </c>
      <c r="D28">
        <v>37090</v>
      </c>
      <c r="E28" t="s">
        <v>120</v>
      </c>
    </row>
    <row r="29" spans="1:5" x14ac:dyDescent="0.2">
      <c r="A29">
        <v>1678</v>
      </c>
      <c r="B29">
        <v>86</v>
      </c>
      <c r="C29" t="s">
        <v>116</v>
      </c>
      <c r="D29">
        <v>36540</v>
      </c>
      <c r="E29" t="s">
        <v>1091</v>
      </c>
    </row>
    <row r="30" spans="1:5" x14ac:dyDescent="0.2">
      <c r="A30">
        <v>3326</v>
      </c>
      <c r="B30">
        <v>0</v>
      </c>
      <c r="C30" t="s">
        <v>1092</v>
      </c>
      <c r="D30">
        <v>37781</v>
      </c>
      <c r="E30" t="s">
        <v>120</v>
      </c>
    </row>
    <row r="31" spans="1:5" x14ac:dyDescent="0.2">
      <c r="A31">
        <v>1557</v>
      </c>
      <c r="B31">
        <v>101</v>
      </c>
      <c r="C31" t="s">
        <v>1093</v>
      </c>
      <c r="D31">
        <v>36166</v>
      </c>
      <c r="E31" t="s">
        <v>117</v>
      </c>
    </row>
    <row r="32" spans="1:5" x14ac:dyDescent="0.2">
      <c r="A32">
        <v>1933</v>
      </c>
      <c r="B32">
        <v>58</v>
      </c>
      <c r="C32" t="s">
        <v>1094</v>
      </c>
      <c r="D32">
        <v>36644</v>
      </c>
      <c r="E32" t="s">
        <v>105</v>
      </c>
    </row>
    <row r="33" spans="1:5" x14ac:dyDescent="0.2">
      <c r="A33">
        <v>2736</v>
      </c>
      <c r="B33">
        <v>13</v>
      </c>
      <c r="C33" t="s">
        <v>1095</v>
      </c>
      <c r="D33">
        <v>36689</v>
      </c>
      <c r="E33" t="s">
        <v>251</v>
      </c>
    </row>
    <row r="34" spans="1:5" x14ac:dyDescent="0.2">
      <c r="A34">
        <v>3571</v>
      </c>
      <c r="B34">
        <v>0</v>
      </c>
      <c r="C34" t="s">
        <v>1096</v>
      </c>
      <c r="D34">
        <v>37424</v>
      </c>
      <c r="E34" t="s">
        <v>1063</v>
      </c>
    </row>
    <row r="35" spans="1:5" x14ac:dyDescent="0.2">
      <c r="A35">
        <v>3144</v>
      </c>
      <c r="B35">
        <v>1</v>
      </c>
      <c r="C35" t="s">
        <v>1098</v>
      </c>
      <c r="D35">
        <v>36526</v>
      </c>
      <c r="E35" t="s">
        <v>1099</v>
      </c>
    </row>
    <row r="36" spans="1:5" x14ac:dyDescent="0.2">
      <c r="A36">
        <v>3308</v>
      </c>
      <c r="B36">
        <v>0</v>
      </c>
      <c r="C36" t="s">
        <v>1100</v>
      </c>
      <c r="D36">
        <v>37223</v>
      </c>
      <c r="E36" t="s">
        <v>231</v>
      </c>
    </row>
    <row r="37" spans="1:5" x14ac:dyDescent="0.2">
      <c r="A37">
        <v>3423</v>
      </c>
      <c r="B37">
        <v>0</v>
      </c>
      <c r="C37" t="s">
        <v>1101</v>
      </c>
      <c r="D37">
        <v>37142</v>
      </c>
      <c r="E37" t="s">
        <v>227</v>
      </c>
    </row>
    <row r="38" spans="1:5" x14ac:dyDescent="0.2">
      <c r="A38">
        <v>3687</v>
      </c>
      <c r="B38">
        <v>0</v>
      </c>
      <c r="C38" t="s">
        <v>1102</v>
      </c>
      <c r="D38">
        <v>37842</v>
      </c>
      <c r="E38" t="s">
        <v>105</v>
      </c>
    </row>
    <row r="39" spans="1:5" x14ac:dyDescent="0.2">
      <c r="A39">
        <v>3602</v>
      </c>
      <c r="B39">
        <v>0</v>
      </c>
      <c r="C39" t="s">
        <v>1103</v>
      </c>
      <c r="D39">
        <v>36182</v>
      </c>
      <c r="E39" t="s">
        <v>1104</v>
      </c>
    </row>
    <row r="40" spans="1:5" x14ac:dyDescent="0.2">
      <c r="A40">
        <v>2829</v>
      </c>
      <c r="B40">
        <v>10</v>
      </c>
      <c r="C40" t="s">
        <v>1106</v>
      </c>
      <c r="D40">
        <v>36946</v>
      </c>
      <c r="E40" t="s">
        <v>1107</v>
      </c>
    </row>
    <row r="41" spans="1:5" x14ac:dyDescent="0.2">
      <c r="A41">
        <v>1123</v>
      </c>
      <c r="B41">
        <v>185</v>
      </c>
      <c r="C41" t="s">
        <v>123</v>
      </c>
      <c r="D41">
        <v>36561</v>
      </c>
      <c r="E41" t="s">
        <v>124</v>
      </c>
    </row>
    <row r="42" spans="1:5" x14ac:dyDescent="0.2">
      <c r="A42">
        <v>2907</v>
      </c>
      <c r="B42">
        <v>7</v>
      </c>
      <c r="C42" t="s">
        <v>1108</v>
      </c>
      <c r="D42">
        <v>36355</v>
      </c>
      <c r="E42" t="s">
        <v>109</v>
      </c>
    </row>
    <row r="43" spans="1:5" x14ac:dyDescent="0.2">
      <c r="A43">
        <v>2943</v>
      </c>
      <c r="B43">
        <v>6</v>
      </c>
      <c r="C43" t="s">
        <v>1109</v>
      </c>
      <c r="D43">
        <v>37483</v>
      </c>
      <c r="E43" t="s">
        <v>120</v>
      </c>
    </row>
    <row r="44" spans="1:5" x14ac:dyDescent="0.2">
      <c r="A44">
        <v>2543</v>
      </c>
      <c r="B44">
        <v>23</v>
      </c>
      <c r="C44" t="s">
        <v>424</v>
      </c>
      <c r="D44">
        <v>36534</v>
      </c>
      <c r="E44" t="s">
        <v>113</v>
      </c>
    </row>
    <row r="45" spans="1:5" x14ac:dyDescent="0.2">
      <c r="A45">
        <v>3402</v>
      </c>
      <c r="B45">
        <v>0</v>
      </c>
      <c r="C45" t="s">
        <v>1110</v>
      </c>
      <c r="D45">
        <v>37372</v>
      </c>
      <c r="E45" t="s">
        <v>1111</v>
      </c>
    </row>
    <row r="46" spans="1:5" x14ac:dyDescent="0.2">
      <c r="A46">
        <v>871</v>
      </c>
      <c r="B46">
        <v>263</v>
      </c>
      <c r="C46" t="s">
        <v>125</v>
      </c>
      <c r="D46">
        <v>36274</v>
      </c>
      <c r="E46" t="s">
        <v>1078</v>
      </c>
    </row>
    <row r="47" spans="1:5" x14ac:dyDescent="0.2">
      <c r="A47">
        <v>1901</v>
      </c>
      <c r="B47">
        <v>60</v>
      </c>
      <c r="C47" t="s">
        <v>1112</v>
      </c>
      <c r="D47">
        <v>36649</v>
      </c>
      <c r="E47" t="s">
        <v>105</v>
      </c>
    </row>
    <row r="48" spans="1:5" x14ac:dyDescent="0.2">
      <c r="A48">
        <v>2518</v>
      </c>
      <c r="B48">
        <v>24</v>
      </c>
      <c r="C48" t="s">
        <v>425</v>
      </c>
      <c r="D48">
        <v>36775</v>
      </c>
      <c r="E48" t="s">
        <v>74</v>
      </c>
    </row>
    <row r="49" spans="1:5" x14ac:dyDescent="0.2">
      <c r="A49">
        <v>3041</v>
      </c>
      <c r="B49">
        <v>4</v>
      </c>
      <c r="C49" t="s">
        <v>1113</v>
      </c>
      <c r="D49">
        <v>37665</v>
      </c>
      <c r="E49" t="s">
        <v>105</v>
      </c>
    </row>
    <row r="50" spans="1:5" x14ac:dyDescent="0.2">
      <c r="A50">
        <v>1985</v>
      </c>
      <c r="B50">
        <v>53</v>
      </c>
      <c r="C50" t="s">
        <v>426</v>
      </c>
      <c r="D50">
        <v>36950</v>
      </c>
      <c r="E50" t="s">
        <v>105</v>
      </c>
    </row>
    <row r="51" spans="1:5" x14ac:dyDescent="0.2">
      <c r="A51">
        <v>3236</v>
      </c>
      <c r="B51">
        <v>0</v>
      </c>
      <c r="C51" t="s">
        <v>426</v>
      </c>
      <c r="D51">
        <v>36668</v>
      </c>
      <c r="E51" t="s">
        <v>132</v>
      </c>
    </row>
    <row r="52" spans="1:5" x14ac:dyDescent="0.2">
      <c r="A52">
        <v>3086</v>
      </c>
      <c r="B52">
        <v>3</v>
      </c>
      <c r="C52" t="s">
        <v>1114</v>
      </c>
      <c r="D52">
        <v>36234</v>
      </c>
      <c r="E52" t="s">
        <v>290</v>
      </c>
    </row>
    <row r="53" spans="1:5" x14ac:dyDescent="0.2">
      <c r="A53">
        <v>2940</v>
      </c>
      <c r="B53">
        <v>6</v>
      </c>
      <c r="C53" t="s">
        <v>1115</v>
      </c>
      <c r="D53">
        <v>36365</v>
      </c>
      <c r="E53" t="s">
        <v>129</v>
      </c>
    </row>
    <row r="54" spans="1:5" x14ac:dyDescent="0.2">
      <c r="A54">
        <v>3407</v>
      </c>
      <c r="B54">
        <v>0</v>
      </c>
      <c r="C54" t="s">
        <v>1116</v>
      </c>
      <c r="D54">
        <v>37050</v>
      </c>
      <c r="E54" t="s">
        <v>110</v>
      </c>
    </row>
    <row r="55" spans="1:5" x14ac:dyDescent="0.2">
      <c r="A55">
        <v>1979</v>
      </c>
      <c r="B55">
        <v>54</v>
      </c>
      <c r="C55" t="s">
        <v>1117</v>
      </c>
      <c r="D55">
        <v>36771</v>
      </c>
      <c r="E55" t="s">
        <v>113</v>
      </c>
    </row>
    <row r="56" spans="1:5" x14ac:dyDescent="0.2">
      <c r="A56">
        <v>3068</v>
      </c>
      <c r="B56">
        <v>3</v>
      </c>
      <c r="C56" t="s">
        <v>1119</v>
      </c>
      <c r="D56">
        <v>36653</v>
      </c>
      <c r="E56" t="s">
        <v>122</v>
      </c>
    </row>
    <row r="57" spans="1:5" x14ac:dyDescent="0.2">
      <c r="A57">
        <v>1865</v>
      </c>
      <c r="B57">
        <v>64</v>
      </c>
      <c r="C57" t="s">
        <v>1120</v>
      </c>
      <c r="D57">
        <v>37222</v>
      </c>
      <c r="E57" t="s">
        <v>1121</v>
      </c>
    </row>
    <row r="58" spans="1:5" x14ac:dyDescent="0.2">
      <c r="A58">
        <v>3356</v>
      </c>
      <c r="B58">
        <v>0</v>
      </c>
      <c r="C58" t="s">
        <v>1122</v>
      </c>
      <c r="D58">
        <v>37111</v>
      </c>
      <c r="E58" t="s">
        <v>118</v>
      </c>
    </row>
    <row r="59" spans="1:5" x14ac:dyDescent="0.2">
      <c r="A59">
        <v>1791</v>
      </c>
      <c r="B59">
        <v>73</v>
      </c>
      <c r="C59" t="s">
        <v>1123</v>
      </c>
      <c r="D59">
        <v>37758</v>
      </c>
      <c r="E59" t="s">
        <v>118</v>
      </c>
    </row>
    <row r="60" spans="1:5" x14ac:dyDescent="0.2">
      <c r="A60">
        <v>1272</v>
      </c>
      <c r="B60">
        <v>153</v>
      </c>
      <c r="C60" t="s">
        <v>1124</v>
      </c>
      <c r="D60">
        <v>36430</v>
      </c>
      <c r="E60" t="s">
        <v>113</v>
      </c>
    </row>
    <row r="61" spans="1:5" x14ac:dyDescent="0.2">
      <c r="A61">
        <v>2552</v>
      </c>
      <c r="B61">
        <v>23</v>
      </c>
      <c r="C61" t="s">
        <v>767</v>
      </c>
      <c r="D61">
        <v>36915</v>
      </c>
      <c r="E61" t="s">
        <v>163</v>
      </c>
    </row>
    <row r="62" spans="1:5" x14ac:dyDescent="0.2">
      <c r="A62">
        <v>3666</v>
      </c>
      <c r="B62">
        <v>0</v>
      </c>
      <c r="C62" t="s">
        <v>1125</v>
      </c>
      <c r="D62">
        <v>36526</v>
      </c>
      <c r="E62" t="s">
        <v>128</v>
      </c>
    </row>
    <row r="63" spans="1:5" x14ac:dyDescent="0.2">
      <c r="A63">
        <v>2111</v>
      </c>
      <c r="B63">
        <v>46</v>
      </c>
      <c r="C63" t="s">
        <v>1126</v>
      </c>
      <c r="D63">
        <v>37160</v>
      </c>
      <c r="E63" t="s">
        <v>105</v>
      </c>
    </row>
    <row r="64" spans="1:5" x14ac:dyDescent="0.2">
      <c r="A64">
        <v>2077</v>
      </c>
      <c r="B64">
        <v>47</v>
      </c>
      <c r="C64" t="s">
        <v>131</v>
      </c>
      <c r="D64">
        <v>36688</v>
      </c>
      <c r="E64" t="s">
        <v>128</v>
      </c>
    </row>
    <row r="65" spans="1:5" x14ac:dyDescent="0.2">
      <c r="A65">
        <v>2244</v>
      </c>
      <c r="B65">
        <v>38</v>
      </c>
      <c r="C65" t="s">
        <v>631</v>
      </c>
      <c r="D65">
        <v>36845</v>
      </c>
      <c r="E65" t="s">
        <v>139</v>
      </c>
    </row>
    <row r="66" spans="1:5" x14ac:dyDescent="0.2">
      <c r="A66">
        <v>1995</v>
      </c>
      <c r="B66">
        <v>53</v>
      </c>
      <c r="C66" t="s">
        <v>1127</v>
      </c>
      <c r="D66">
        <v>36787</v>
      </c>
      <c r="E66" t="s">
        <v>105</v>
      </c>
    </row>
    <row r="67" spans="1:5" x14ac:dyDescent="0.2">
      <c r="A67">
        <v>2128</v>
      </c>
      <c r="B67">
        <v>45</v>
      </c>
      <c r="C67" t="s">
        <v>768</v>
      </c>
      <c r="D67">
        <v>37437</v>
      </c>
      <c r="E67" t="s">
        <v>110</v>
      </c>
    </row>
    <row r="68" spans="1:5" x14ac:dyDescent="0.2">
      <c r="A68">
        <v>1699</v>
      </c>
      <c r="B68">
        <v>83</v>
      </c>
      <c r="C68" t="s">
        <v>632</v>
      </c>
      <c r="D68">
        <v>36713</v>
      </c>
      <c r="E68" t="s">
        <v>183</v>
      </c>
    </row>
    <row r="69" spans="1:5" x14ac:dyDescent="0.2">
      <c r="A69">
        <v>2965</v>
      </c>
      <c r="B69">
        <v>5</v>
      </c>
      <c r="C69" t="s">
        <v>1130</v>
      </c>
      <c r="D69">
        <v>36965</v>
      </c>
      <c r="E69" t="s">
        <v>105</v>
      </c>
    </row>
    <row r="70" spans="1:5" x14ac:dyDescent="0.2">
      <c r="A70">
        <v>826</v>
      </c>
      <c r="B70">
        <v>287</v>
      </c>
      <c r="C70" t="s">
        <v>428</v>
      </c>
      <c r="D70">
        <v>36268</v>
      </c>
      <c r="E70" t="s">
        <v>120</v>
      </c>
    </row>
    <row r="71" spans="1:5" x14ac:dyDescent="0.2">
      <c r="A71">
        <v>2219</v>
      </c>
      <c r="B71">
        <v>40</v>
      </c>
      <c r="C71" t="s">
        <v>378</v>
      </c>
      <c r="D71">
        <v>37257</v>
      </c>
      <c r="E71" t="s">
        <v>105</v>
      </c>
    </row>
    <row r="72" spans="1:5" x14ac:dyDescent="0.2">
      <c r="A72">
        <v>3688</v>
      </c>
      <c r="B72">
        <v>0</v>
      </c>
      <c r="C72" t="s">
        <v>1131</v>
      </c>
      <c r="D72">
        <v>36979</v>
      </c>
      <c r="E72" t="s">
        <v>105</v>
      </c>
    </row>
    <row r="73" spans="1:5" x14ac:dyDescent="0.2">
      <c r="A73">
        <v>1809</v>
      </c>
      <c r="B73">
        <v>71</v>
      </c>
      <c r="C73" t="s">
        <v>429</v>
      </c>
      <c r="D73">
        <v>37216</v>
      </c>
      <c r="E73" t="s">
        <v>105</v>
      </c>
    </row>
    <row r="74" spans="1:5" x14ac:dyDescent="0.2">
      <c r="A74">
        <v>2300</v>
      </c>
      <c r="B74">
        <v>35</v>
      </c>
      <c r="C74" t="s">
        <v>430</v>
      </c>
      <c r="D74">
        <v>36995</v>
      </c>
      <c r="E74" t="s">
        <v>1089</v>
      </c>
    </row>
    <row r="75" spans="1:5" x14ac:dyDescent="0.2">
      <c r="A75">
        <v>1903</v>
      </c>
      <c r="B75">
        <v>60</v>
      </c>
      <c r="C75" t="s">
        <v>431</v>
      </c>
      <c r="D75">
        <v>36689</v>
      </c>
      <c r="E75" t="s">
        <v>1121</v>
      </c>
    </row>
    <row r="76" spans="1:5" x14ac:dyDescent="0.2">
      <c r="A76">
        <v>2597</v>
      </c>
      <c r="B76">
        <v>20</v>
      </c>
      <c r="C76" t="s">
        <v>1133</v>
      </c>
      <c r="D76">
        <v>36271</v>
      </c>
      <c r="E76" t="s">
        <v>208</v>
      </c>
    </row>
    <row r="77" spans="1:5" x14ac:dyDescent="0.2">
      <c r="A77">
        <v>2135</v>
      </c>
      <c r="B77">
        <v>44</v>
      </c>
      <c r="C77" t="s">
        <v>134</v>
      </c>
      <c r="D77">
        <v>36622</v>
      </c>
      <c r="E77" t="s">
        <v>105</v>
      </c>
    </row>
    <row r="78" spans="1:5" x14ac:dyDescent="0.2">
      <c r="A78">
        <v>2995</v>
      </c>
      <c r="B78">
        <v>5</v>
      </c>
      <c r="C78" t="s">
        <v>1134</v>
      </c>
      <c r="D78">
        <v>37133</v>
      </c>
      <c r="E78" t="s">
        <v>118</v>
      </c>
    </row>
    <row r="79" spans="1:5" x14ac:dyDescent="0.2">
      <c r="A79">
        <v>2614</v>
      </c>
      <c r="B79">
        <v>19</v>
      </c>
      <c r="C79" t="s">
        <v>135</v>
      </c>
      <c r="D79">
        <v>36615</v>
      </c>
      <c r="E79" t="s">
        <v>110</v>
      </c>
    </row>
    <row r="80" spans="1:5" x14ac:dyDescent="0.2">
      <c r="A80">
        <v>2425</v>
      </c>
      <c r="B80">
        <v>29</v>
      </c>
      <c r="C80" t="s">
        <v>1135</v>
      </c>
      <c r="D80">
        <v>36892</v>
      </c>
      <c r="E80" t="s">
        <v>103</v>
      </c>
    </row>
    <row r="81" spans="1:5" x14ac:dyDescent="0.2">
      <c r="A81">
        <v>2101</v>
      </c>
      <c r="B81">
        <v>46</v>
      </c>
      <c r="C81" t="s">
        <v>633</v>
      </c>
      <c r="D81">
        <v>36355</v>
      </c>
      <c r="E81" t="s">
        <v>1136</v>
      </c>
    </row>
    <row r="82" spans="1:5" x14ac:dyDescent="0.2">
      <c r="A82">
        <v>3408</v>
      </c>
      <c r="B82">
        <v>0</v>
      </c>
      <c r="C82" t="s">
        <v>1137</v>
      </c>
      <c r="D82">
        <v>36526</v>
      </c>
      <c r="E82" t="s">
        <v>1129</v>
      </c>
    </row>
    <row r="83" spans="1:5" x14ac:dyDescent="0.2">
      <c r="A83">
        <v>2812</v>
      </c>
      <c r="B83">
        <v>11</v>
      </c>
      <c r="C83" t="s">
        <v>1138</v>
      </c>
      <c r="D83">
        <v>36616</v>
      </c>
      <c r="E83" t="s">
        <v>105</v>
      </c>
    </row>
    <row r="84" spans="1:5" x14ac:dyDescent="0.2">
      <c r="A84">
        <v>2051</v>
      </c>
      <c r="B84">
        <v>49</v>
      </c>
      <c r="C84" t="s">
        <v>1140</v>
      </c>
      <c r="D84">
        <v>37321</v>
      </c>
      <c r="E84" t="s">
        <v>227</v>
      </c>
    </row>
    <row r="85" spans="1:5" x14ac:dyDescent="0.2">
      <c r="A85">
        <v>1563</v>
      </c>
      <c r="B85">
        <v>101</v>
      </c>
      <c r="C85" t="s">
        <v>1141</v>
      </c>
      <c r="D85">
        <v>36647</v>
      </c>
      <c r="E85" t="s">
        <v>1142</v>
      </c>
    </row>
    <row r="86" spans="1:5" x14ac:dyDescent="0.2">
      <c r="A86">
        <v>3367</v>
      </c>
      <c r="B86">
        <v>0</v>
      </c>
      <c r="C86" t="s">
        <v>1144</v>
      </c>
      <c r="D86">
        <v>37134</v>
      </c>
      <c r="E86" t="s">
        <v>1145</v>
      </c>
    </row>
    <row r="87" spans="1:5" x14ac:dyDescent="0.2">
      <c r="A87">
        <v>1489</v>
      </c>
      <c r="B87">
        <v>114</v>
      </c>
      <c r="C87" t="s">
        <v>432</v>
      </c>
      <c r="D87">
        <v>36542</v>
      </c>
      <c r="E87" t="s">
        <v>99</v>
      </c>
    </row>
    <row r="88" spans="1:5" x14ac:dyDescent="0.2">
      <c r="A88">
        <v>2087</v>
      </c>
      <c r="B88">
        <v>47</v>
      </c>
      <c r="C88" t="s">
        <v>1146</v>
      </c>
      <c r="D88">
        <v>36911</v>
      </c>
      <c r="E88" t="s">
        <v>113</v>
      </c>
    </row>
    <row r="89" spans="1:5" x14ac:dyDescent="0.2">
      <c r="A89">
        <v>1680</v>
      </c>
      <c r="B89">
        <v>86</v>
      </c>
      <c r="C89" t="s">
        <v>433</v>
      </c>
      <c r="D89">
        <v>36321</v>
      </c>
      <c r="E89" t="s">
        <v>141</v>
      </c>
    </row>
    <row r="90" spans="1:5" x14ac:dyDescent="0.2">
      <c r="A90">
        <v>2353</v>
      </c>
      <c r="B90">
        <v>33</v>
      </c>
      <c r="C90" t="s">
        <v>1147</v>
      </c>
      <c r="D90">
        <v>36196</v>
      </c>
      <c r="E90" t="s">
        <v>1148</v>
      </c>
    </row>
    <row r="91" spans="1:5" x14ac:dyDescent="0.2">
      <c r="A91">
        <v>2388</v>
      </c>
      <c r="B91">
        <v>31</v>
      </c>
      <c r="C91" t="s">
        <v>1149</v>
      </c>
      <c r="D91">
        <v>37406</v>
      </c>
      <c r="E91" t="s">
        <v>1150</v>
      </c>
    </row>
    <row r="92" spans="1:5" x14ac:dyDescent="0.2">
      <c r="A92">
        <v>2991</v>
      </c>
      <c r="B92">
        <v>5</v>
      </c>
      <c r="C92" t="s">
        <v>1151</v>
      </c>
      <c r="D92">
        <v>36165</v>
      </c>
      <c r="E92" t="s">
        <v>120</v>
      </c>
    </row>
    <row r="93" spans="1:5" x14ac:dyDescent="0.2">
      <c r="A93">
        <v>1975</v>
      </c>
      <c r="B93">
        <v>54</v>
      </c>
      <c r="C93" t="s">
        <v>434</v>
      </c>
      <c r="D93">
        <v>36968</v>
      </c>
      <c r="E93" t="s">
        <v>115</v>
      </c>
    </row>
    <row r="94" spans="1:5" x14ac:dyDescent="0.2">
      <c r="A94">
        <v>2458</v>
      </c>
      <c r="B94">
        <v>27</v>
      </c>
      <c r="C94" t="s">
        <v>1152</v>
      </c>
      <c r="D94">
        <v>36888</v>
      </c>
      <c r="E94" t="s">
        <v>1153</v>
      </c>
    </row>
    <row r="95" spans="1:5" x14ac:dyDescent="0.2">
      <c r="A95">
        <v>2203</v>
      </c>
      <c r="B95">
        <v>41</v>
      </c>
      <c r="C95" t="s">
        <v>1154</v>
      </c>
      <c r="D95">
        <v>36985</v>
      </c>
      <c r="E95" t="s">
        <v>1155</v>
      </c>
    </row>
    <row r="96" spans="1:5" x14ac:dyDescent="0.2">
      <c r="A96">
        <v>1306</v>
      </c>
      <c r="B96">
        <v>147</v>
      </c>
      <c r="C96" t="s">
        <v>1156</v>
      </c>
      <c r="D96">
        <v>36237</v>
      </c>
      <c r="E96" t="s">
        <v>165</v>
      </c>
    </row>
    <row r="97" spans="1:5" x14ac:dyDescent="0.2">
      <c r="A97">
        <v>707</v>
      </c>
      <c r="B97">
        <v>336</v>
      </c>
      <c r="C97" t="s">
        <v>143</v>
      </c>
      <c r="D97">
        <v>36418</v>
      </c>
      <c r="E97" t="s">
        <v>144</v>
      </c>
    </row>
    <row r="98" spans="1:5" x14ac:dyDescent="0.2">
      <c r="A98">
        <v>3040</v>
      </c>
      <c r="B98">
        <v>4</v>
      </c>
      <c r="C98" t="s">
        <v>1157</v>
      </c>
      <c r="D98">
        <v>36466</v>
      </c>
      <c r="E98" t="s">
        <v>213</v>
      </c>
    </row>
    <row r="99" spans="1:5" x14ac:dyDescent="0.2">
      <c r="A99">
        <v>1413</v>
      </c>
      <c r="B99">
        <v>129</v>
      </c>
      <c r="C99" t="s">
        <v>146</v>
      </c>
      <c r="D99">
        <v>36492</v>
      </c>
      <c r="E99" t="s">
        <v>120</v>
      </c>
    </row>
    <row r="100" spans="1:5" x14ac:dyDescent="0.2">
      <c r="A100">
        <v>2182</v>
      </c>
      <c r="B100">
        <v>42</v>
      </c>
      <c r="C100" t="s">
        <v>435</v>
      </c>
      <c r="D100">
        <v>36183</v>
      </c>
      <c r="E100" t="s">
        <v>200</v>
      </c>
    </row>
    <row r="101" spans="1:5" x14ac:dyDescent="0.2">
      <c r="A101">
        <v>3364</v>
      </c>
      <c r="B101">
        <v>0</v>
      </c>
      <c r="C101" t="s">
        <v>1159</v>
      </c>
      <c r="D101">
        <v>37320</v>
      </c>
      <c r="E101" t="s">
        <v>117</v>
      </c>
    </row>
    <row r="102" spans="1:5" x14ac:dyDescent="0.2">
      <c r="A102">
        <v>2319</v>
      </c>
      <c r="B102">
        <v>34</v>
      </c>
      <c r="C102" t="s">
        <v>1160</v>
      </c>
      <c r="D102">
        <v>36306</v>
      </c>
      <c r="E102" t="s">
        <v>120</v>
      </c>
    </row>
    <row r="103" spans="1:5" x14ac:dyDescent="0.2">
      <c r="A103">
        <v>2728</v>
      </c>
      <c r="B103">
        <v>14</v>
      </c>
      <c r="C103" t="s">
        <v>1161</v>
      </c>
      <c r="D103">
        <v>37226</v>
      </c>
      <c r="E103" t="s">
        <v>1162</v>
      </c>
    </row>
    <row r="104" spans="1:5" x14ac:dyDescent="0.2">
      <c r="A104">
        <v>2564</v>
      </c>
      <c r="B104">
        <v>22</v>
      </c>
      <c r="C104" t="s">
        <v>1164</v>
      </c>
      <c r="D104">
        <v>36970</v>
      </c>
      <c r="E104" t="s">
        <v>1165</v>
      </c>
    </row>
    <row r="105" spans="1:5" x14ac:dyDescent="0.2">
      <c r="A105">
        <v>3201</v>
      </c>
      <c r="B105">
        <v>0</v>
      </c>
      <c r="C105" t="s">
        <v>1166</v>
      </c>
      <c r="D105">
        <v>37930</v>
      </c>
      <c r="E105" t="s">
        <v>72</v>
      </c>
    </row>
    <row r="106" spans="1:5" x14ac:dyDescent="0.2">
      <c r="A106">
        <v>2134</v>
      </c>
      <c r="B106">
        <v>45</v>
      </c>
      <c r="C106" t="s">
        <v>1167</v>
      </c>
      <c r="D106">
        <v>36663</v>
      </c>
      <c r="E106" t="s">
        <v>1168</v>
      </c>
    </row>
    <row r="107" spans="1:5" x14ac:dyDescent="0.2">
      <c r="A107">
        <v>2671</v>
      </c>
      <c r="B107">
        <v>16</v>
      </c>
      <c r="C107" t="s">
        <v>436</v>
      </c>
      <c r="D107">
        <v>36826</v>
      </c>
      <c r="E107" t="s">
        <v>120</v>
      </c>
    </row>
    <row r="108" spans="1:5" x14ac:dyDescent="0.2">
      <c r="A108">
        <v>2645</v>
      </c>
      <c r="B108">
        <v>18</v>
      </c>
      <c r="C108" t="s">
        <v>1169</v>
      </c>
      <c r="D108">
        <v>37313</v>
      </c>
      <c r="E108" t="s">
        <v>105</v>
      </c>
    </row>
    <row r="109" spans="1:5" x14ac:dyDescent="0.2">
      <c r="A109">
        <v>3483</v>
      </c>
      <c r="B109">
        <v>0</v>
      </c>
      <c r="C109" t="s">
        <v>1170</v>
      </c>
      <c r="D109">
        <v>36724</v>
      </c>
      <c r="E109" t="s">
        <v>1155</v>
      </c>
    </row>
    <row r="110" spans="1:5" x14ac:dyDescent="0.2">
      <c r="A110">
        <v>3427</v>
      </c>
      <c r="B110">
        <v>0</v>
      </c>
      <c r="C110" t="s">
        <v>1172</v>
      </c>
      <c r="D110">
        <v>37327</v>
      </c>
      <c r="E110" t="s">
        <v>1107</v>
      </c>
    </row>
    <row r="111" spans="1:5" x14ac:dyDescent="0.2">
      <c r="A111">
        <v>1883</v>
      </c>
      <c r="B111">
        <v>62</v>
      </c>
      <c r="C111" t="s">
        <v>1173</v>
      </c>
      <c r="D111">
        <v>37087</v>
      </c>
      <c r="E111" t="s">
        <v>1174</v>
      </c>
    </row>
    <row r="112" spans="1:5" x14ac:dyDescent="0.2">
      <c r="A112">
        <v>2775</v>
      </c>
      <c r="B112">
        <v>12</v>
      </c>
      <c r="C112" t="s">
        <v>1175</v>
      </c>
      <c r="D112">
        <v>36960</v>
      </c>
      <c r="E112" t="s">
        <v>120</v>
      </c>
    </row>
    <row r="113" spans="1:5" x14ac:dyDescent="0.2">
      <c r="A113">
        <v>1367</v>
      </c>
      <c r="B113">
        <v>137</v>
      </c>
      <c r="C113" t="s">
        <v>149</v>
      </c>
      <c r="D113">
        <v>36170</v>
      </c>
      <c r="E113" t="s">
        <v>1176</v>
      </c>
    </row>
    <row r="114" spans="1:5" x14ac:dyDescent="0.2">
      <c r="A114">
        <v>2069</v>
      </c>
      <c r="B114">
        <v>48</v>
      </c>
      <c r="C114" t="s">
        <v>1177</v>
      </c>
      <c r="D114">
        <v>36165</v>
      </c>
      <c r="E114" t="s">
        <v>115</v>
      </c>
    </row>
    <row r="115" spans="1:5" x14ac:dyDescent="0.2">
      <c r="A115">
        <v>3195</v>
      </c>
      <c r="B115">
        <v>0</v>
      </c>
      <c r="C115" t="s">
        <v>150</v>
      </c>
      <c r="D115">
        <v>36536</v>
      </c>
      <c r="E115" t="s">
        <v>105</v>
      </c>
    </row>
    <row r="116" spans="1:5" x14ac:dyDescent="0.2">
      <c r="A116">
        <v>1497</v>
      </c>
      <c r="B116">
        <v>112</v>
      </c>
      <c r="C116" t="s">
        <v>151</v>
      </c>
      <c r="D116">
        <v>36209</v>
      </c>
      <c r="E116" t="s">
        <v>128</v>
      </c>
    </row>
    <row r="117" spans="1:5" x14ac:dyDescent="0.2">
      <c r="A117">
        <v>2089</v>
      </c>
      <c r="B117">
        <v>46</v>
      </c>
      <c r="C117" t="s">
        <v>152</v>
      </c>
      <c r="D117">
        <v>36608</v>
      </c>
      <c r="E117" t="s">
        <v>105</v>
      </c>
    </row>
    <row r="118" spans="1:5" x14ac:dyDescent="0.2">
      <c r="A118">
        <v>2973</v>
      </c>
      <c r="B118">
        <v>5</v>
      </c>
      <c r="C118" t="s">
        <v>1179</v>
      </c>
      <c r="D118">
        <v>37763</v>
      </c>
      <c r="E118" t="s">
        <v>99</v>
      </c>
    </row>
    <row r="119" spans="1:5" x14ac:dyDescent="0.2">
      <c r="A119">
        <v>2733</v>
      </c>
      <c r="B119">
        <v>13</v>
      </c>
      <c r="C119" t="s">
        <v>153</v>
      </c>
      <c r="D119">
        <v>36652</v>
      </c>
      <c r="E119" t="s">
        <v>105</v>
      </c>
    </row>
    <row r="120" spans="1:5" x14ac:dyDescent="0.2">
      <c r="A120">
        <v>3155</v>
      </c>
      <c r="B120">
        <v>1</v>
      </c>
      <c r="C120" t="s">
        <v>1180</v>
      </c>
      <c r="D120">
        <v>37382</v>
      </c>
      <c r="E120" t="s">
        <v>126</v>
      </c>
    </row>
    <row r="121" spans="1:5" x14ac:dyDescent="0.2">
      <c r="A121">
        <v>2421</v>
      </c>
      <c r="B121">
        <v>29</v>
      </c>
      <c r="C121" t="s">
        <v>1181</v>
      </c>
      <c r="D121">
        <v>37328</v>
      </c>
      <c r="E121" t="s">
        <v>1078</v>
      </c>
    </row>
    <row r="122" spans="1:5" x14ac:dyDescent="0.2">
      <c r="A122">
        <v>2177</v>
      </c>
      <c r="B122">
        <v>42</v>
      </c>
      <c r="C122" t="s">
        <v>156</v>
      </c>
      <c r="D122">
        <v>36526</v>
      </c>
      <c r="E122" t="s">
        <v>165</v>
      </c>
    </row>
    <row r="123" spans="1:5" x14ac:dyDescent="0.2">
      <c r="A123">
        <v>1405</v>
      </c>
      <c r="B123">
        <v>131</v>
      </c>
      <c r="C123" t="s">
        <v>157</v>
      </c>
      <c r="D123">
        <v>36264</v>
      </c>
      <c r="E123" t="s">
        <v>1182</v>
      </c>
    </row>
    <row r="124" spans="1:5" x14ac:dyDescent="0.2">
      <c r="A124">
        <v>2789</v>
      </c>
      <c r="B124">
        <v>12</v>
      </c>
      <c r="C124" t="s">
        <v>1183</v>
      </c>
      <c r="D124">
        <v>37135</v>
      </c>
      <c r="E124" t="s">
        <v>1184</v>
      </c>
    </row>
    <row r="125" spans="1:5" x14ac:dyDescent="0.2">
      <c r="A125">
        <v>2369</v>
      </c>
      <c r="B125">
        <v>32</v>
      </c>
      <c r="C125" t="s">
        <v>1185</v>
      </c>
      <c r="D125">
        <v>37773</v>
      </c>
      <c r="E125" t="s">
        <v>99</v>
      </c>
    </row>
    <row r="126" spans="1:5" x14ac:dyDescent="0.2">
      <c r="A126">
        <v>2571</v>
      </c>
      <c r="B126">
        <v>21</v>
      </c>
      <c r="C126" t="s">
        <v>634</v>
      </c>
      <c r="D126">
        <v>36955</v>
      </c>
      <c r="E126" t="s">
        <v>99</v>
      </c>
    </row>
    <row r="127" spans="1:5" x14ac:dyDescent="0.2">
      <c r="A127">
        <v>1514</v>
      </c>
      <c r="B127">
        <v>109</v>
      </c>
      <c r="C127" t="s">
        <v>158</v>
      </c>
      <c r="D127">
        <v>36424</v>
      </c>
      <c r="E127" t="s">
        <v>1121</v>
      </c>
    </row>
    <row r="128" spans="1:5" x14ac:dyDescent="0.2">
      <c r="A128">
        <v>1204</v>
      </c>
      <c r="B128">
        <v>167</v>
      </c>
      <c r="C128" t="s">
        <v>159</v>
      </c>
      <c r="D128">
        <v>36412</v>
      </c>
      <c r="E128" t="s">
        <v>103</v>
      </c>
    </row>
    <row r="129" spans="1:5" x14ac:dyDescent="0.2">
      <c r="A129">
        <v>3189</v>
      </c>
      <c r="B129">
        <v>1</v>
      </c>
      <c r="C129" t="s">
        <v>1187</v>
      </c>
      <c r="D129">
        <v>36669</v>
      </c>
      <c r="E129" t="s">
        <v>103</v>
      </c>
    </row>
    <row r="130" spans="1:5" x14ac:dyDescent="0.2">
      <c r="A130">
        <v>3546</v>
      </c>
      <c r="B130">
        <v>0</v>
      </c>
      <c r="C130" t="s">
        <v>1188</v>
      </c>
      <c r="D130">
        <v>37090</v>
      </c>
      <c r="E130" t="s">
        <v>1063</v>
      </c>
    </row>
    <row r="131" spans="1:5" x14ac:dyDescent="0.2">
      <c r="A131">
        <v>1523</v>
      </c>
      <c r="B131">
        <v>107</v>
      </c>
      <c r="C131" t="s">
        <v>161</v>
      </c>
      <c r="D131">
        <v>36179</v>
      </c>
      <c r="E131" t="s">
        <v>105</v>
      </c>
    </row>
    <row r="132" spans="1:5" x14ac:dyDescent="0.2">
      <c r="A132">
        <v>2773</v>
      </c>
      <c r="B132">
        <v>12</v>
      </c>
      <c r="C132" t="s">
        <v>1190</v>
      </c>
      <c r="D132">
        <v>37690</v>
      </c>
      <c r="E132" t="s">
        <v>1191</v>
      </c>
    </row>
    <row r="133" spans="1:5" x14ac:dyDescent="0.2">
      <c r="A133">
        <v>2393</v>
      </c>
      <c r="B133">
        <v>30</v>
      </c>
      <c r="C133" t="s">
        <v>635</v>
      </c>
      <c r="D133">
        <v>36800</v>
      </c>
      <c r="E133" t="s">
        <v>105</v>
      </c>
    </row>
    <row r="134" spans="1:5" x14ac:dyDescent="0.2">
      <c r="A134">
        <v>3398</v>
      </c>
      <c r="B134">
        <v>0</v>
      </c>
      <c r="C134" t="s">
        <v>1194</v>
      </c>
      <c r="D134">
        <v>37726</v>
      </c>
      <c r="E134" t="s">
        <v>120</v>
      </c>
    </row>
    <row r="135" spans="1:5" x14ac:dyDescent="0.2">
      <c r="A135">
        <v>1159</v>
      </c>
      <c r="B135">
        <v>176</v>
      </c>
      <c r="C135" t="s">
        <v>162</v>
      </c>
      <c r="D135">
        <v>36544</v>
      </c>
      <c r="E135" t="s">
        <v>1097</v>
      </c>
    </row>
    <row r="136" spans="1:5" x14ac:dyDescent="0.2">
      <c r="A136">
        <v>1558</v>
      </c>
      <c r="B136">
        <v>101</v>
      </c>
      <c r="C136" t="s">
        <v>1195</v>
      </c>
      <c r="D136">
        <v>36872</v>
      </c>
      <c r="E136" t="s">
        <v>126</v>
      </c>
    </row>
    <row r="137" spans="1:5" x14ac:dyDescent="0.2">
      <c r="A137">
        <v>3052</v>
      </c>
      <c r="B137">
        <v>4</v>
      </c>
      <c r="C137" t="s">
        <v>1196</v>
      </c>
      <c r="D137">
        <v>37501</v>
      </c>
      <c r="E137" t="s">
        <v>1089</v>
      </c>
    </row>
    <row r="138" spans="1:5" x14ac:dyDescent="0.2">
      <c r="A138">
        <v>3274</v>
      </c>
      <c r="B138">
        <v>0</v>
      </c>
      <c r="C138" t="s">
        <v>1198</v>
      </c>
      <c r="D138">
        <v>37775</v>
      </c>
      <c r="E138" t="s">
        <v>1199</v>
      </c>
    </row>
    <row r="139" spans="1:5" x14ac:dyDescent="0.2">
      <c r="A139">
        <v>3446</v>
      </c>
      <c r="B139">
        <v>0</v>
      </c>
      <c r="C139" t="s">
        <v>1200</v>
      </c>
      <c r="D139">
        <v>37446</v>
      </c>
      <c r="E139" t="s">
        <v>105</v>
      </c>
    </row>
    <row r="140" spans="1:5" x14ac:dyDescent="0.2">
      <c r="A140">
        <v>3363</v>
      </c>
      <c r="B140">
        <v>0</v>
      </c>
      <c r="C140" t="s">
        <v>1201</v>
      </c>
      <c r="D140">
        <v>37773</v>
      </c>
      <c r="E140" t="s">
        <v>1202</v>
      </c>
    </row>
    <row r="141" spans="1:5" x14ac:dyDescent="0.2">
      <c r="A141">
        <v>1956</v>
      </c>
      <c r="B141">
        <v>55</v>
      </c>
      <c r="C141" t="s">
        <v>769</v>
      </c>
      <c r="D141">
        <v>36440</v>
      </c>
      <c r="E141" t="s">
        <v>113</v>
      </c>
    </row>
    <row r="142" spans="1:5" x14ac:dyDescent="0.2">
      <c r="A142">
        <v>1388</v>
      </c>
      <c r="B142">
        <v>133</v>
      </c>
      <c r="C142" t="s">
        <v>380</v>
      </c>
      <c r="D142">
        <v>36729</v>
      </c>
      <c r="E142" t="s">
        <v>120</v>
      </c>
    </row>
    <row r="143" spans="1:5" x14ac:dyDescent="0.2">
      <c r="A143">
        <v>1840</v>
      </c>
      <c r="B143">
        <v>68</v>
      </c>
      <c r="C143" t="s">
        <v>770</v>
      </c>
      <c r="D143">
        <v>37075</v>
      </c>
      <c r="E143" t="s">
        <v>109</v>
      </c>
    </row>
    <row r="144" spans="1:5" x14ac:dyDescent="0.2">
      <c r="A144">
        <v>3610</v>
      </c>
      <c r="B144">
        <v>0</v>
      </c>
      <c r="C144" t="s">
        <v>1203</v>
      </c>
      <c r="D144">
        <v>37629</v>
      </c>
      <c r="E144" t="s">
        <v>1204</v>
      </c>
    </row>
    <row r="145" spans="1:5" x14ac:dyDescent="0.2">
      <c r="A145">
        <v>2013</v>
      </c>
      <c r="B145">
        <v>51</v>
      </c>
      <c r="C145" t="s">
        <v>437</v>
      </c>
      <c r="D145">
        <v>36387</v>
      </c>
      <c r="E145" t="s">
        <v>165</v>
      </c>
    </row>
    <row r="146" spans="1:5" x14ac:dyDescent="0.2">
      <c r="A146">
        <v>2980</v>
      </c>
      <c r="B146">
        <v>5</v>
      </c>
      <c r="C146" t="s">
        <v>1205</v>
      </c>
      <c r="D146">
        <v>36596</v>
      </c>
      <c r="E146" t="s">
        <v>105</v>
      </c>
    </row>
    <row r="147" spans="1:5" x14ac:dyDescent="0.2">
      <c r="A147">
        <v>2233</v>
      </c>
      <c r="B147">
        <v>39</v>
      </c>
      <c r="C147" t="s">
        <v>1206</v>
      </c>
      <c r="D147">
        <v>36797</v>
      </c>
      <c r="E147" t="s">
        <v>614</v>
      </c>
    </row>
    <row r="148" spans="1:5" x14ac:dyDescent="0.2">
      <c r="A148">
        <v>2655</v>
      </c>
      <c r="B148">
        <v>18</v>
      </c>
      <c r="C148" t="s">
        <v>1207</v>
      </c>
      <c r="D148">
        <v>36190</v>
      </c>
      <c r="E148" t="s">
        <v>166</v>
      </c>
    </row>
    <row r="149" spans="1:5" x14ac:dyDescent="0.2">
      <c r="A149">
        <v>908</v>
      </c>
      <c r="B149">
        <v>251</v>
      </c>
      <c r="C149" t="s">
        <v>167</v>
      </c>
      <c r="D149">
        <v>36669</v>
      </c>
      <c r="E149" t="s">
        <v>103</v>
      </c>
    </row>
    <row r="150" spans="1:5" x14ac:dyDescent="0.2">
      <c r="A150">
        <v>2656</v>
      </c>
      <c r="B150">
        <v>17</v>
      </c>
      <c r="C150" t="s">
        <v>381</v>
      </c>
      <c r="D150">
        <v>36850</v>
      </c>
      <c r="E150" t="s">
        <v>1143</v>
      </c>
    </row>
    <row r="151" spans="1:5" x14ac:dyDescent="0.2">
      <c r="A151">
        <v>3674</v>
      </c>
      <c r="B151">
        <v>0</v>
      </c>
      <c r="C151" t="s">
        <v>1208</v>
      </c>
      <c r="D151">
        <v>37622</v>
      </c>
      <c r="E151" t="s">
        <v>136</v>
      </c>
    </row>
    <row r="152" spans="1:5" x14ac:dyDescent="0.2">
      <c r="A152">
        <v>945</v>
      </c>
      <c r="B152">
        <v>237</v>
      </c>
      <c r="C152" t="s">
        <v>169</v>
      </c>
      <c r="D152">
        <v>36188</v>
      </c>
      <c r="E152" t="s">
        <v>113</v>
      </c>
    </row>
    <row r="153" spans="1:5" x14ac:dyDescent="0.2">
      <c r="A153">
        <v>3232</v>
      </c>
      <c r="B153">
        <v>0</v>
      </c>
      <c r="C153" t="s">
        <v>1209</v>
      </c>
      <c r="D153">
        <v>37500</v>
      </c>
      <c r="E153" t="s">
        <v>133</v>
      </c>
    </row>
    <row r="154" spans="1:5" x14ac:dyDescent="0.2">
      <c r="A154">
        <v>3638</v>
      </c>
      <c r="B154">
        <v>0</v>
      </c>
      <c r="C154" t="s">
        <v>1210</v>
      </c>
      <c r="D154">
        <v>37244</v>
      </c>
      <c r="E154" t="s">
        <v>138</v>
      </c>
    </row>
    <row r="155" spans="1:5" x14ac:dyDescent="0.2">
      <c r="A155">
        <v>3636</v>
      </c>
      <c r="B155">
        <v>0</v>
      </c>
      <c r="C155" t="s">
        <v>1211</v>
      </c>
      <c r="D155">
        <v>37244</v>
      </c>
      <c r="E155" t="s">
        <v>138</v>
      </c>
    </row>
    <row r="156" spans="1:5" x14ac:dyDescent="0.2">
      <c r="A156">
        <v>2903</v>
      </c>
      <c r="B156">
        <v>8</v>
      </c>
      <c r="C156" t="s">
        <v>1212</v>
      </c>
      <c r="D156">
        <v>37194</v>
      </c>
      <c r="E156" t="s">
        <v>105</v>
      </c>
    </row>
    <row r="157" spans="1:5" x14ac:dyDescent="0.2">
      <c r="A157">
        <v>3336</v>
      </c>
      <c r="B157">
        <v>0</v>
      </c>
      <c r="C157" t="s">
        <v>1213</v>
      </c>
      <c r="D157">
        <v>36935</v>
      </c>
      <c r="E157" t="s">
        <v>1214</v>
      </c>
    </row>
    <row r="158" spans="1:5" x14ac:dyDescent="0.2">
      <c r="A158">
        <v>2459</v>
      </c>
      <c r="B158">
        <v>27</v>
      </c>
      <c r="C158" t="s">
        <v>771</v>
      </c>
      <c r="D158">
        <v>36201</v>
      </c>
      <c r="E158" t="s">
        <v>1063</v>
      </c>
    </row>
    <row r="159" spans="1:5" x14ac:dyDescent="0.2">
      <c r="A159">
        <v>1538</v>
      </c>
      <c r="B159">
        <v>104</v>
      </c>
      <c r="C159" t="s">
        <v>172</v>
      </c>
      <c r="D159">
        <v>36332</v>
      </c>
      <c r="E159" t="s">
        <v>128</v>
      </c>
    </row>
    <row r="160" spans="1:5" x14ac:dyDescent="0.2">
      <c r="A160">
        <v>2363</v>
      </c>
      <c r="B160">
        <v>32</v>
      </c>
      <c r="C160" t="s">
        <v>1215</v>
      </c>
      <c r="D160">
        <v>37278</v>
      </c>
      <c r="E160" t="s">
        <v>99</v>
      </c>
    </row>
    <row r="161" spans="1:5" x14ac:dyDescent="0.2">
      <c r="A161">
        <v>2348</v>
      </c>
      <c r="B161">
        <v>33</v>
      </c>
      <c r="C161" t="s">
        <v>1216</v>
      </c>
      <c r="D161">
        <v>36750</v>
      </c>
      <c r="E161" t="s">
        <v>72</v>
      </c>
    </row>
    <row r="162" spans="1:5" x14ac:dyDescent="0.2">
      <c r="A162">
        <v>3539</v>
      </c>
      <c r="B162">
        <v>0</v>
      </c>
      <c r="C162" t="s">
        <v>1217</v>
      </c>
      <c r="D162">
        <v>37162</v>
      </c>
      <c r="E162" t="s">
        <v>105</v>
      </c>
    </row>
    <row r="163" spans="1:5" x14ac:dyDescent="0.2">
      <c r="A163">
        <v>3661</v>
      </c>
      <c r="B163">
        <v>0</v>
      </c>
      <c r="C163" t="s">
        <v>1219</v>
      </c>
      <c r="D163">
        <v>37419</v>
      </c>
      <c r="E163" t="s">
        <v>120</v>
      </c>
    </row>
    <row r="164" spans="1:5" x14ac:dyDescent="0.2">
      <c r="A164">
        <v>2365</v>
      </c>
      <c r="B164">
        <v>32</v>
      </c>
      <c r="C164" t="s">
        <v>636</v>
      </c>
      <c r="D164">
        <v>37038</v>
      </c>
      <c r="E164" t="s">
        <v>1193</v>
      </c>
    </row>
    <row r="165" spans="1:5" x14ac:dyDescent="0.2">
      <c r="A165">
        <v>1899</v>
      </c>
      <c r="B165">
        <v>61</v>
      </c>
      <c r="C165" t="s">
        <v>1220</v>
      </c>
      <c r="D165">
        <v>37553</v>
      </c>
      <c r="E165" t="s">
        <v>213</v>
      </c>
    </row>
    <row r="166" spans="1:5" x14ac:dyDescent="0.2">
      <c r="A166">
        <v>3432</v>
      </c>
      <c r="B166">
        <v>0</v>
      </c>
      <c r="C166" t="s">
        <v>1221</v>
      </c>
      <c r="D166">
        <v>36977</v>
      </c>
      <c r="E166" t="s">
        <v>165</v>
      </c>
    </row>
    <row r="167" spans="1:5" x14ac:dyDescent="0.2">
      <c r="A167">
        <v>3430</v>
      </c>
      <c r="B167">
        <v>0</v>
      </c>
      <c r="C167" t="s">
        <v>1223</v>
      </c>
      <c r="D167">
        <v>36964</v>
      </c>
      <c r="E167" t="s">
        <v>1163</v>
      </c>
    </row>
    <row r="168" spans="1:5" x14ac:dyDescent="0.2">
      <c r="A168">
        <v>3487</v>
      </c>
      <c r="B168">
        <v>0</v>
      </c>
      <c r="C168" t="s">
        <v>1224</v>
      </c>
      <c r="D168">
        <v>37184</v>
      </c>
      <c r="E168" t="s">
        <v>1089</v>
      </c>
    </row>
    <row r="169" spans="1:5" x14ac:dyDescent="0.2">
      <c r="A169">
        <v>3000</v>
      </c>
      <c r="B169">
        <v>5</v>
      </c>
      <c r="C169" t="s">
        <v>1225</v>
      </c>
      <c r="D169">
        <v>37425</v>
      </c>
      <c r="E169" t="s">
        <v>1089</v>
      </c>
    </row>
    <row r="170" spans="1:5" x14ac:dyDescent="0.2">
      <c r="A170">
        <v>2381</v>
      </c>
      <c r="B170">
        <v>31</v>
      </c>
      <c r="C170" t="s">
        <v>382</v>
      </c>
      <c r="D170">
        <v>36979</v>
      </c>
      <c r="E170" t="s">
        <v>1143</v>
      </c>
    </row>
    <row r="171" spans="1:5" x14ac:dyDescent="0.2">
      <c r="A171">
        <v>3475</v>
      </c>
      <c r="B171">
        <v>0</v>
      </c>
      <c r="C171" t="s">
        <v>1226</v>
      </c>
      <c r="D171">
        <v>37257</v>
      </c>
      <c r="E171" t="s">
        <v>1227</v>
      </c>
    </row>
    <row r="172" spans="1:5" x14ac:dyDescent="0.2">
      <c r="A172">
        <v>3169</v>
      </c>
      <c r="B172">
        <v>1</v>
      </c>
      <c r="C172" t="s">
        <v>1228</v>
      </c>
      <c r="D172">
        <v>37196</v>
      </c>
      <c r="E172" t="s">
        <v>105</v>
      </c>
    </row>
    <row r="173" spans="1:5" x14ac:dyDescent="0.2">
      <c r="A173">
        <v>2526</v>
      </c>
      <c r="B173">
        <v>24</v>
      </c>
      <c r="C173" t="s">
        <v>1229</v>
      </c>
      <c r="D173">
        <v>36680</v>
      </c>
      <c r="E173" t="s">
        <v>113</v>
      </c>
    </row>
    <row r="174" spans="1:5" x14ac:dyDescent="0.2">
      <c r="A174">
        <v>2397</v>
      </c>
      <c r="B174">
        <v>30</v>
      </c>
      <c r="C174" t="s">
        <v>637</v>
      </c>
      <c r="D174">
        <v>37176</v>
      </c>
      <c r="E174" t="s">
        <v>99</v>
      </c>
    </row>
    <row r="175" spans="1:5" x14ac:dyDescent="0.2">
      <c r="A175">
        <v>1776</v>
      </c>
      <c r="B175">
        <v>74</v>
      </c>
      <c r="C175" t="s">
        <v>1230</v>
      </c>
      <c r="D175">
        <v>36335</v>
      </c>
      <c r="E175" t="s">
        <v>107</v>
      </c>
    </row>
    <row r="176" spans="1:5" x14ac:dyDescent="0.2">
      <c r="A176">
        <v>3167</v>
      </c>
      <c r="B176">
        <v>1</v>
      </c>
      <c r="C176" t="s">
        <v>1231</v>
      </c>
      <c r="D176">
        <v>36847</v>
      </c>
      <c r="E176" t="s">
        <v>120</v>
      </c>
    </row>
    <row r="177" spans="1:5" x14ac:dyDescent="0.2">
      <c r="A177">
        <v>2928</v>
      </c>
      <c r="B177">
        <v>7</v>
      </c>
      <c r="C177" t="s">
        <v>1232</v>
      </c>
      <c r="D177">
        <v>36707</v>
      </c>
      <c r="E177" t="s">
        <v>120</v>
      </c>
    </row>
    <row r="178" spans="1:5" x14ac:dyDescent="0.2">
      <c r="A178">
        <v>2453</v>
      </c>
      <c r="B178">
        <v>27</v>
      </c>
      <c r="C178" t="s">
        <v>638</v>
      </c>
      <c r="D178">
        <v>36820</v>
      </c>
      <c r="E178" t="s">
        <v>99</v>
      </c>
    </row>
    <row r="179" spans="1:5" x14ac:dyDescent="0.2">
      <c r="A179">
        <v>3650</v>
      </c>
      <c r="B179">
        <v>0</v>
      </c>
      <c r="C179" t="s">
        <v>1233</v>
      </c>
      <c r="D179">
        <v>36460</v>
      </c>
      <c r="E179" t="s">
        <v>1234</v>
      </c>
    </row>
    <row r="180" spans="1:5" x14ac:dyDescent="0.2">
      <c r="A180">
        <v>1967</v>
      </c>
      <c r="B180">
        <v>54</v>
      </c>
      <c r="C180" t="s">
        <v>439</v>
      </c>
      <c r="D180">
        <v>36369</v>
      </c>
      <c r="E180" t="s">
        <v>127</v>
      </c>
    </row>
    <row r="181" spans="1:5" x14ac:dyDescent="0.2">
      <c r="A181">
        <v>2686</v>
      </c>
      <c r="B181">
        <v>16</v>
      </c>
      <c r="C181" t="s">
        <v>1235</v>
      </c>
      <c r="D181">
        <v>36770</v>
      </c>
      <c r="E181" t="s">
        <v>127</v>
      </c>
    </row>
    <row r="182" spans="1:5" x14ac:dyDescent="0.2">
      <c r="A182">
        <v>3379</v>
      </c>
      <c r="B182">
        <v>0</v>
      </c>
      <c r="C182" t="s">
        <v>1236</v>
      </c>
      <c r="D182">
        <v>37235</v>
      </c>
      <c r="E182" t="s">
        <v>113</v>
      </c>
    </row>
    <row r="183" spans="1:5" x14ac:dyDescent="0.2">
      <c r="A183">
        <v>2537</v>
      </c>
      <c r="B183">
        <v>24</v>
      </c>
      <c r="C183" t="s">
        <v>772</v>
      </c>
      <c r="D183">
        <v>38308</v>
      </c>
      <c r="E183" t="s">
        <v>110</v>
      </c>
    </row>
    <row r="184" spans="1:5" x14ac:dyDescent="0.2">
      <c r="A184">
        <v>3689</v>
      </c>
      <c r="B184">
        <v>0</v>
      </c>
      <c r="C184" t="s">
        <v>1238</v>
      </c>
      <c r="D184">
        <v>37474</v>
      </c>
      <c r="E184" t="s">
        <v>105</v>
      </c>
    </row>
    <row r="185" spans="1:5" x14ac:dyDescent="0.2">
      <c r="A185">
        <v>1229</v>
      </c>
      <c r="B185">
        <v>161</v>
      </c>
      <c r="C185" t="s">
        <v>639</v>
      </c>
      <c r="D185">
        <v>36579</v>
      </c>
      <c r="E185" t="s">
        <v>111</v>
      </c>
    </row>
    <row r="186" spans="1:5" x14ac:dyDescent="0.2">
      <c r="A186">
        <v>1646</v>
      </c>
      <c r="B186">
        <v>90</v>
      </c>
      <c r="C186" t="s">
        <v>174</v>
      </c>
      <c r="D186">
        <v>36337</v>
      </c>
      <c r="E186" t="s">
        <v>1239</v>
      </c>
    </row>
    <row r="187" spans="1:5" x14ac:dyDescent="0.2">
      <c r="A187">
        <v>1820</v>
      </c>
      <c r="B187">
        <v>70</v>
      </c>
      <c r="C187" t="s">
        <v>773</v>
      </c>
      <c r="D187">
        <v>36495</v>
      </c>
      <c r="E187" t="s">
        <v>1162</v>
      </c>
    </row>
    <row r="188" spans="1:5" x14ac:dyDescent="0.2">
      <c r="A188">
        <v>2144</v>
      </c>
      <c r="B188">
        <v>44</v>
      </c>
      <c r="C188" t="s">
        <v>440</v>
      </c>
      <c r="D188">
        <v>36584</v>
      </c>
      <c r="E188" t="s">
        <v>1143</v>
      </c>
    </row>
    <row r="189" spans="1:5" x14ac:dyDescent="0.2">
      <c r="A189">
        <v>3409</v>
      </c>
      <c r="B189">
        <v>0</v>
      </c>
      <c r="C189" t="s">
        <v>1240</v>
      </c>
      <c r="D189">
        <v>36798</v>
      </c>
      <c r="E189" t="s">
        <v>365</v>
      </c>
    </row>
    <row r="190" spans="1:5" x14ac:dyDescent="0.2">
      <c r="A190">
        <v>2148</v>
      </c>
      <c r="B190">
        <v>44</v>
      </c>
      <c r="C190" t="s">
        <v>1241</v>
      </c>
      <c r="D190">
        <v>36650</v>
      </c>
      <c r="E190" t="s">
        <v>376</v>
      </c>
    </row>
    <row r="191" spans="1:5" x14ac:dyDescent="0.2">
      <c r="A191">
        <v>2918</v>
      </c>
      <c r="B191">
        <v>7</v>
      </c>
      <c r="C191" t="s">
        <v>1242</v>
      </c>
      <c r="D191">
        <v>37091</v>
      </c>
      <c r="E191" t="s">
        <v>1155</v>
      </c>
    </row>
    <row r="192" spans="1:5" x14ac:dyDescent="0.2">
      <c r="A192">
        <v>2225</v>
      </c>
      <c r="B192">
        <v>39</v>
      </c>
      <c r="C192" t="s">
        <v>640</v>
      </c>
      <c r="D192">
        <v>37060</v>
      </c>
      <c r="E192" t="s">
        <v>1204</v>
      </c>
    </row>
    <row r="193" spans="1:5" x14ac:dyDescent="0.2">
      <c r="A193">
        <v>3365</v>
      </c>
      <c r="B193">
        <v>0</v>
      </c>
      <c r="C193" t="s">
        <v>1243</v>
      </c>
      <c r="D193">
        <v>36605</v>
      </c>
      <c r="E193" t="s">
        <v>164</v>
      </c>
    </row>
    <row r="194" spans="1:5" x14ac:dyDescent="0.2">
      <c r="A194">
        <v>3612</v>
      </c>
      <c r="B194">
        <v>0</v>
      </c>
      <c r="C194" t="s">
        <v>1244</v>
      </c>
      <c r="D194">
        <v>37622</v>
      </c>
      <c r="E194" t="s">
        <v>105</v>
      </c>
    </row>
    <row r="195" spans="1:5" x14ac:dyDescent="0.2">
      <c r="A195">
        <v>2935</v>
      </c>
      <c r="B195">
        <v>7</v>
      </c>
      <c r="C195" t="s">
        <v>1245</v>
      </c>
      <c r="D195">
        <v>36926</v>
      </c>
      <c r="E195" t="s">
        <v>208</v>
      </c>
    </row>
    <row r="196" spans="1:5" x14ac:dyDescent="0.2">
      <c r="A196">
        <v>2947</v>
      </c>
      <c r="B196">
        <v>6</v>
      </c>
      <c r="C196" t="s">
        <v>1246</v>
      </c>
      <c r="D196">
        <v>37573</v>
      </c>
      <c r="E196" t="s">
        <v>282</v>
      </c>
    </row>
    <row r="197" spans="1:5" x14ac:dyDescent="0.2">
      <c r="A197">
        <v>1512</v>
      </c>
      <c r="B197">
        <v>110</v>
      </c>
      <c r="C197" t="s">
        <v>383</v>
      </c>
      <c r="D197">
        <v>36725</v>
      </c>
      <c r="E197" t="s">
        <v>1247</v>
      </c>
    </row>
    <row r="198" spans="1:5" x14ac:dyDescent="0.2">
      <c r="A198">
        <v>1788</v>
      </c>
      <c r="B198">
        <v>73</v>
      </c>
      <c r="C198" t="s">
        <v>441</v>
      </c>
      <c r="D198">
        <v>36613</v>
      </c>
      <c r="E198" t="s">
        <v>72</v>
      </c>
    </row>
    <row r="199" spans="1:5" x14ac:dyDescent="0.2">
      <c r="A199">
        <v>2342</v>
      </c>
      <c r="B199">
        <v>33</v>
      </c>
      <c r="C199" t="s">
        <v>641</v>
      </c>
      <c r="D199">
        <v>36775</v>
      </c>
      <c r="E199" t="s">
        <v>1248</v>
      </c>
    </row>
    <row r="200" spans="1:5" x14ac:dyDescent="0.2">
      <c r="A200">
        <v>3063</v>
      </c>
      <c r="B200">
        <v>3</v>
      </c>
      <c r="C200" t="s">
        <v>1249</v>
      </c>
      <c r="D200">
        <v>36810</v>
      </c>
      <c r="E200" t="s">
        <v>120</v>
      </c>
    </row>
    <row r="201" spans="1:5" x14ac:dyDescent="0.2">
      <c r="A201">
        <v>2495</v>
      </c>
      <c r="B201">
        <v>25</v>
      </c>
      <c r="C201" t="s">
        <v>442</v>
      </c>
      <c r="D201">
        <v>36561</v>
      </c>
      <c r="E201" t="s">
        <v>72</v>
      </c>
    </row>
    <row r="202" spans="1:5" x14ac:dyDescent="0.2">
      <c r="A202">
        <v>2298</v>
      </c>
      <c r="B202">
        <v>35</v>
      </c>
      <c r="C202" t="s">
        <v>443</v>
      </c>
      <c r="D202">
        <v>36561</v>
      </c>
      <c r="E202" t="s">
        <v>72</v>
      </c>
    </row>
    <row r="203" spans="1:5" x14ac:dyDescent="0.2">
      <c r="A203">
        <v>3619</v>
      </c>
      <c r="B203">
        <v>0</v>
      </c>
      <c r="C203" t="s">
        <v>1251</v>
      </c>
      <c r="D203">
        <v>37684</v>
      </c>
      <c r="E203" t="s">
        <v>120</v>
      </c>
    </row>
    <row r="204" spans="1:5" x14ac:dyDescent="0.2">
      <c r="A204">
        <v>1912</v>
      </c>
      <c r="B204">
        <v>59</v>
      </c>
      <c r="C204" t="s">
        <v>1252</v>
      </c>
      <c r="D204">
        <v>36419</v>
      </c>
      <c r="E204" t="s">
        <v>113</v>
      </c>
    </row>
    <row r="205" spans="1:5" x14ac:dyDescent="0.2">
      <c r="A205">
        <v>1599</v>
      </c>
      <c r="B205">
        <v>96</v>
      </c>
      <c r="C205" t="s">
        <v>1253</v>
      </c>
      <c r="D205">
        <v>37298</v>
      </c>
      <c r="E205" t="s">
        <v>132</v>
      </c>
    </row>
    <row r="206" spans="1:5" x14ac:dyDescent="0.2">
      <c r="A206">
        <v>2110</v>
      </c>
      <c r="B206">
        <v>46</v>
      </c>
      <c r="C206" t="s">
        <v>1254</v>
      </c>
      <c r="D206">
        <v>36526</v>
      </c>
      <c r="E206" t="s">
        <v>1255</v>
      </c>
    </row>
    <row r="207" spans="1:5" x14ac:dyDescent="0.2">
      <c r="A207">
        <v>2660</v>
      </c>
      <c r="B207">
        <v>17</v>
      </c>
      <c r="C207" t="s">
        <v>1256</v>
      </c>
      <c r="D207">
        <v>37065</v>
      </c>
      <c r="E207" t="s">
        <v>614</v>
      </c>
    </row>
    <row r="208" spans="1:5" x14ac:dyDescent="0.2">
      <c r="A208">
        <v>3599</v>
      </c>
      <c r="B208">
        <v>0</v>
      </c>
      <c r="C208" t="s">
        <v>1257</v>
      </c>
      <c r="D208">
        <v>36476</v>
      </c>
      <c r="E208" t="s">
        <v>120</v>
      </c>
    </row>
    <row r="209" spans="1:5" x14ac:dyDescent="0.2">
      <c r="A209">
        <v>2625</v>
      </c>
      <c r="B209">
        <v>19</v>
      </c>
      <c r="C209" t="s">
        <v>1258</v>
      </c>
      <c r="D209">
        <v>36473</v>
      </c>
      <c r="E209" t="s">
        <v>115</v>
      </c>
    </row>
    <row r="210" spans="1:5" x14ac:dyDescent="0.2">
      <c r="A210">
        <v>2029</v>
      </c>
      <c r="B210">
        <v>50</v>
      </c>
      <c r="C210" t="s">
        <v>774</v>
      </c>
      <c r="D210">
        <v>37090</v>
      </c>
      <c r="E210" t="s">
        <v>109</v>
      </c>
    </row>
    <row r="211" spans="1:5" x14ac:dyDescent="0.2">
      <c r="A211">
        <v>2493</v>
      </c>
      <c r="B211">
        <v>25</v>
      </c>
      <c r="C211" t="s">
        <v>642</v>
      </c>
      <c r="D211">
        <v>36888</v>
      </c>
      <c r="E211" t="s">
        <v>120</v>
      </c>
    </row>
    <row r="212" spans="1:5" x14ac:dyDescent="0.2">
      <c r="A212">
        <v>1590</v>
      </c>
      <c r="B212">
        <v>97</v>
      </c>
      <c r="C212" t="s">
        <v>643</v>
      </c>
      <c r="D212">
        <v>37148</v>
      </c>
      <c r="E212" t="s">
        <v>99</v>
      </c>
    </row>
    <row r="213" spans="1:5" x14ac:dyDescent="0.2">
      <c r="A213">
        <v>3395</v>
      </c>
      <c r="B213">
        <v>0</v>
      </c>
      <c r="C213" t="s">
        <v>1259</v>
      </c>
      <c r="D213">
        <v>36526</v>
      </c>
      <c r="E213" t="s">
        <v>137</v>
      </c>
    </row>
    <row r="214" spans="1:5" x14ac:dyDescent="0.2">
      <c r="A214">
        <v>3114</v>
      </c>
      <c r="B214">
        <v>2</v>
      </c>
      <c r="C214" t="s">
        <v>1260</v>
      </c>
      <c r="D214">
        <v>36594</v>
      </c>
      <c r="E214" t="s">
        <v>1129</v>
      </c>
    </row>
    <row r="215" spans="1:5" x14ac:dyDescent="0.2">
      <c r="A215">
        <v>2295</v>
      </c>
      <c r="B215">
        <v>36</v>
      </c>
      <c r="C215" t="s">
        <v>1261</v>
      </c>
      <c r="D215">
        <v>37539</v>
      </c>
      <c r="E215" t="s">
        <v>105</v>
      </c>
    </row>
    <row r="216" spans="1:5" x14ac:dyDescent="0.2">
      <c r="A216">
        <v>2034</v>
      </c>
      <c r="B216">
        <v>50</v>
      </c>
      <c r="C216" t="s">
        <v>1262</v>
      </c>
      <c r="D216">
        <v>37099</v>
      </c>
      <c r="E216" t="s">
        <v>1263</v>
      </c>
    </row>
    <row r="217" spans="1:5" x14ac:dyDescent="0.2">
      <c r="A217">
        <v>3358</v>
      </c>
      <c r="B217">
        <v>0</v>
      </c>
      <c r="C217" t="s">
        <v>1264</v>
      </c>
      <c r="D217">
        <v>37046</v>
      </c>
      <c r="E217" t="s">
        <v>1265</v>
      </c>
    </row>
    <row r="218" spans="1:5" x14ac:dyDescent="0.2">
      <c r="A218">
        <v>2469</v>
      </c>
      <c r="B218">
        <v>26</v>
      </c>
      <c r="C218" t="s">
        <v>444</v>
      </c>
      <c r="D218">
        <v>36675</v>
      </c>
      <c r="E218" t="s">
        <v>117</v>
      </c>
    </row>
    <row r="219" spans="1:5" x14ac:dyDescent="0.2">
      <c r="A219">
        <v>2297</v>
      </c>
      <c r="B219">
        <v>35</v>
      </c>
      <c r="C219" t="s">
        <v>445</v>
      </c>
      <c r="D219">
        <v>36833</v>
      </c>
      <c r="E219" t="s">
        <v>446</v>
      </c>
    </row>
    <row r="220" spans="1:5" x14ac:dyDescent="0.2">
      <c r="A220">
        <v>3400</v>
      </c>
      <c r="B220">
        <v>0</v>
      </c>
      <c r="C220" t="s">
        <v>1266</v>
      </c>
      <c r="D220">
        <v>36517</v>
      </c>
      <c r="E220" t="s">
        <v>365</v>
      </c>
    </row>
    <row r="221" spans="1:5" x14ac:dyDescent="0.2">
      <c r="A221">
        <v>3233</v>
      </c>
      <c r="B221">
        <v>0</v>
      </c>
      <c r="C221" t="s">
        <v>1267</v>
      </c>
      <c r="D221">
        <v>36593</v>
      </c>
      <c r="E221" t="s">
        <v>1250</v>
      </c>
    </row>
    <row r="222" spans="1:5" x14ac:dyDescent="0.2">
      <c r="A222">
        <v>2637</v>
      </c>
      <c r="B222">
        <v>19</v>
      </c>
      <c r="C222" t="s">
        <v>775</v>
      </c>
      <c r="D222">
        <v>37362</v>
      </c>
      <c r="E222" t="s">
        <v>120</v>
      </c>
    </row>
    <row r="223" spans="1:5" x14ac:dyDescent="0.2">
      <c r="A223">
        <v>2696</v>
      </c>
      <c r="B223">
        <v>16</v>
      </c>
      <c r="C223" t="s">
        <v>775</v>
      </c>
      <c r="D223">
        <v>36407</v>
      </c>
      <c r="E223" t="s">
        <v>127</v>
      </c>
    </row>
    <row r="224" spans="1:5" x14ac:dyDescent="0.2">
      <c r="A224">
        <v>2629</v>
      </c>
      <c r="B224">
        <v>19</v>
      </c>
      <c r="C224" t="s">
        <v>1268</v>
      </c>
      <c r="D224">
        <v>36488</v>
      </c>
      <c r="E224" t="s">
        <v>145</v>
      </c>
    </row>
    <row r="225" spans="1:5" x14ac:dyDescent="0.2">
      <c r="A225">
        <v>1601</v>
      </c>
      <c r="B225">
        <v>95</v>
      </c>
      <c r="C225" t="s">
        <v>447</v>
      </c>
      <c r="D225">
        <v>36727</v>
      </c>
      <c r="E225" t="s">
        <v>73</v>
      </c>
    </row>
    <row r="226" spans="1:5" x14ac:dyDescent="0.2">
      <c r="A226">
        <v>2774</v>
      </c>
      <c r="B226">
        <v>12</v>
      </c>
      <c r="C226" t="s">
        <v>447</v>
      </c>
      <c r="D226">
        <v>36578</v>
      </c>
      <c r="E226" t="s">
        <v>120</v>
      </c>
    </row>
    <row r="227" spans="1:5" x14ac:dyDescent="0.2">
      <c r="A227">
        <v>2434</v>
      </c>
      <c r="B227">
        <v>28</v>
      </c>
      <c r="C227" t="s">
        <v>448</v>
      </c>
      <c r="D227">
        <v>36928</v>
      </c>
      <c r="E227" t="s">
        <v>72</v>
      </c>
    </row>
    <row r="228" spans="1:5" x14ac:dyDescent="0.2">
      <c r="A228">
        <v>1774</v>
      </c>
      <c r="B228">
        <v>74</v>
      </c>
      <c r="C228" t="s">
        <v>644</v>
      </c>
      <c r="D228">
        <v>36726</v>
      </c>
      <c r="E228" t="s">
        <v>170</v>
      </c>
    </row>
    <row r="229" spans="1:5" x14ac:dyDescent="0.2">
      <c r="A229">
        <v>2301</v>
      </c>
      <c r="B229">
        <v>35</v>
      </c>
      <c r="C229" t="s">
        <v>644</v>
      </c>
      <c r="D229">
        <v>36957</v>
      </c>
      <c r="E229" t="s">
        <v>120</v>
      </c>
    </row>
    <row r="230" spans="1:5" x14ac:dyDescent="0.2">
      <c r="A230">
        <v>2721</v>
      </c>
      <c r="B230">
        <v>14</v>
      </c>
      <c r="C230" t="s">
        <v>644</v>
      </c>
      <c r="D230">
        <v>36683</v>
      </c>
      <c r="E230" t="s">
        <v>1270</v>
      </c>
    </row>
    <row r="231" spans="1:5" x14ac:dyDescent="0.2">
      <c r="A231">
        <v>2588</v>
      </c>
      <c r="B231">
        <v>20</v>
      </c>
      <c r="C231" t="s">
        <v>177</v>
      </c>
      <c r="D231">
        <v>36804</v>
      </c>
      <c r="E231" t="s">
        <v>1270</v>
      </c>
    </row>
    <row r="232" spans="1:5" x14ac:dyDescent="0.2">
      <c r="A232">
        <v>2073</v>
      </c>
      <c r="B232">
        <v>47</v>
      </c>
      <c r="C232" t="s">
        <v>449</v>
      </c>
      <c r="D232">
        <v>37089</v>
      </c>
      <c r="E232" t="s">
        <v>1271</v>
      </c>
    </row>
    <row r="233" spans="1:5" x14ac:dyDescent="0.2">
      <c r="A233">
        <v>3534</v>
      </c>
      <c r="B233">
        <v>0</v>
      </c>
      <c r="C233" t="s">
        <v>1272</v>
      </c>
      <c r="D233">
        <v>36753</v>
      </c>
      <c r="E233" t="s">
        <v>105</v>
      </c>
    </row>
    <row r="234" spans="1:5" x14ac:dyDescent="0.2">
      <c r="A234">
        <v>2108</v>
      </c>
      <c r="B234">
        <v>46</v>
      </c>
      <c r="C234" t="s">
        <v>645</v>
      </c>
      <c r="D234">
        <v>36244</v>
      </c>
      <c r="E234" t="s">
        <v>164</v>
      </c>
    </row>
    <row r="235" spans="1:5" x14ac:dyDescent="0.2">
      <c r="A235">
        <v>3652</v>
      </c>
      <c r="B235">
        <v>0</v>
      </c>
      <c r="C235" t="s">
        <v>1273</v>
      </c>
      <c r="D235">
        <v>37584</v>
      </c>
      <c r="E235" t="s">
        <v>99</v>
      </c>
    </row>
    <row r="236" spans="1:5" x14ac:dyDescent="0.2">
      <c r="A236">
        <v>2706</v>
      </c>
      <c r="B236">
        <v>15</v>
      </c>
      <c r="C236" t="s">
        <v>1274</v>
      </c>
      <c r="D236">
        <v>37529</v>
      </c>
      <c r="E236" t="s">
        <v>113</v>
      </c>
    </row>
    <row r="237" spans="1:5" x14ac:dyDescent="0.2">
      <c r="A237">
        <v>2874</v>
      </c>
      <c r="B237">
        <v>8</v>
      </c>
      <c r="C237" t="s">
        <v>178</v>
      </c>
      <c r="D237">
        <v>36450</v>
      </c>
      <c r="E237" t="s">
        <v>105</v>
      </c>
    </row>
    <row r="238" spans="1:5" x14ac:dyDescent="0.2">
      <c r="A238">
        <v>3334</v>
      </c>
      <c r="B238">
        <v>0</v>
      </c>
      <c r="C238" t="s">
        <v>1275</v>
      </c>
      <c r="D238">
        <v>37117</v>
      </c>
      <c r="E238" t="s">
        <v>119</v>
      </c>
    </row>
    <row r="239" spans="1:5" x14ac:dyDescent="0.2">
      <c r="A239">
        <v>2489</v>
      </c>
      <c r="B239">
        <v>26</v>
      </c>
      <c r="C239" t="s">
        <v>1276</v>
      </c>
      <c r="D239">
        <v>37115</v>
      </c>
      <c r="E239" t="s">
        <v>1069</v>
      </c>
    </row>
    <row r="240" spans="1:5" x14ac:dyDescent="0.2">
      <c r="A240">
        <v>2238</v>
      </c>
      <c r="B240">
        <v>39</v>
      </c>
      <c r="C240" t="s">
        <v>1277</v>
      </c>
      <c r="D240">
        <v>36854</v>
      </c>
      <c r="E240" t="s">
        <v>120</v>
      </c>
    </row>
    <row r="241" spans="1:5" x14ac:dyDescent="0.2">
      <c r="A241">
        <v>1717</v>
      </c>
      <c r="B241">
        <v>82</v>
      </c>
      <c r="C241" t="s">
        <v>1278</v>
      </c>
      <c r="D241">
        <v>37267</v>
      </c>
      <c r="E241" t="s">
        <v>1107</v>
      </c>
    </row>
    <row r="242" spans="1:5" x14ac:dyDescent="0.2">
      <c r="A242">
        <v>2398</v>
      </c>
      <c r="B242">
        <v>30</v>
      </c>
      <c r="C242" t="s">
        <v>181</v>
      </c>
      <c r="D242">
        <v>36697</v>
      </c>
      <c r="E242" t="s">
        <v>110</v>
      </c>
    </row>
    <row r="243" spans="1:5" x14ac:dyDescent="0.2">
      <c r="A243">
        <v>1815</v>
      </c>
      <c r="B243">
        <v>70</v>
      </c>
      <c r="C243" t="s">
        <v>182</v>
      </c>
      <c r="D243">
        <v>36232</v>
      </c>
      <c r="E243" t="s">
        <v>1143</v>
      </c>
    </row>
    <row r="244" spans="1:5" x14ac:dyDescent="0.2">
      <c r="A244">
        <v>2047</v>
      </c>
      <c r="B244">
        <v>49</v>
      </c>
      <c r="C244" t="s">
        <v>1280</v>
      </c>
      <c r="D244">
        <v>36818</v>
      </c>
      <c r="E244" t="s">
        <v>1281</v>
      </c>
    </row>
    <row r="245" spans="1:5" x14ac:dyDescent="0.2">
      <c r="A245">
        <v>3017</v>
      </c>
      <c r="B245">
        <v>4</v>
      </c>
      <c r="C245" t="s">
        <v>1282</v>
      </c>
      <c r="D245">
        <v>37091</v>
      </c>
      <c r="E245" t="s">
        <v>138</v>
      </c>
    </row>
    <row r="246" spans="1:5" x14ac:dyDescent="0.2">
      <c r="A246">
        <v>2172</v>
      </c>
      <c r="B246">
        <v>43</v>
      </c>
      <c r="C246" t="s">
        <v>646</v>
      </c>
      <c r="D246">
        <v>36777</v>
      </c>
      <c r="E246" t="s">
        <v>164</v>
      </c>
    </row>
    <row r="247" spans="1:5" x14ac:dyDescent="0.2">
      <c r="A247">
        <v>3332</v>
      </c>
      <c r="B247">
        <v>0</v>
      </c>
      <c r="C247" t="s">
        <v>1283</v>
      </c>
      <c r="D247">
        <v>36908</v>
      </c>
      <c r="E247" t="s">
        <v>99</v>
      </c>
    </row>
    <row r="248" spans="1:5" x14ac:dyDescent="0.2">
      <c r="A248">
        <v>2410</v>
      </c>
      <c r="B248">
        <v>30</v>
      </c>
      <c r="C248" t="s">
        <v>1284</v>
      </c>
      <c r="D248">
        <v>37132</v>
      </c>
      <c r="E248" t="s">
        <v>75</v>
      </c>
    </row>
    <row r="249" spans="1:5" x14ac:dyDescent="0.2">
      <c r="A249">
        <v>3051</v>
      </c>
      <c r="B249">
        <v>4</v>
      </c>
      <c r="C249" t="s">
        <v>1285</v>
      </c>
      <c r="D249">
        <v>36351</v>
      </c>
      <c r="E249" t="s">
        <v>1286</v>
      </c>
    </row>
    <row r="250" spans="1:5" x14ac:dyDescent="0.2">
      <c r="A250">
        <v>3126</v>
      </c>
      <c r="B250">
        <v>2</v>
      </c>
      <c r="C250" t="s">
        <v>1287</v>
      </c>
      <c r="D250">
        <v>37498</v>
      </c>
      <c r="E250" t="s">
        <v>128</v>
      </c>
    </row>
    <row r="251" spans="1:5" x14ac:dyDescent="0.2">
      <c r="A251">
        <v>3685</v>
      </c>
      <c r="B251">
        <v>0</v>
      </c>
      <c r="C251" t="s">
        <v>1288</v>
      </c>
      <c r="D251">
        <v>36848</v>
      </c>
      <c r="E251" t="s">
        <v>1121</v>
      </c>
    </row>
    <row r="252" spans="1:5" x14ac:dyDescent="0.2">
      <c r="A252">
        <v>1572</v>
      </c>
      <c r="B252">
        <v>100</v>
      </c>
      <c r="C252" t="s">
        <v>1289</v>
      </c>
      <c r="D252">
        <v>36678</v>
      </c>
      <c r="E252" t="s">
        <v>179</v>
      </c>
    </row>
    <row r="253" spans="1:5" x14ac:dyDescent="0.2">
      <c r="A253">
        <v>2286</v>
      </c>
      <c r="B253">
        <v>36</v>
      </c>
      <c r="C253" t="s">
        <v>647</v>
      </c>
      <c r="D253">
        <v>36992</v>
      </c>
      <c r="E253" t="s">
        <v>74</v>
      </c>
    </row>
    <row r="254" spans="1:5" x14ac:dyDescent="0.2">
      <c r="A254">
        <v>3029</v>
      </c>
      <c r="B254">
        <v>4</v>
      </c>
      <c r="C254" t="s">
        <v>776</v>
      </c>
      <c r="D254">
        <v>36965</v>
      </c>
      <c r="E254" t="s">
        <v>163</v>
      </c>
    </row>
    <row r="255" spans="1:5" x14ac:dyDescent="0.2">
      <c r="A255">
        <v>3329</v>
      </c>
      <c r="B255">
        <v>0</v>
      </c>
      <c r="C255" t="s">
        <v>776</v>
      </c>
      <c r="D255">
        <v>37305</v>
      </c>
      <c r="E255" t="s">
        <v>290</v>
      </c>
    </row>
    <row r="256" spans="1:5" x14ac:dyDescent="0.2">
      <c r="A256">
        <v>1946</v>
      </c>
      <c r="B256">
        <v>56</v>
      </c>
      <c r="C256" t="s">
        <v>1290</v>
      </c>
      <c r="D256">
        <v>37507</v>
      </c>
      <c r="E256" t="s">
        <v>120</v>
      </c>
    </row>
    <row r="257" spans="1:5" x14ac:dyDescent="0.2">
      <c r="A257">
        <v>1880</v>
      </c>
      <c r="B257">
        <v>62</v>
      </c>
      <c r="C257" t="s">
        <v>777</v>
      </c>
      <c r="D257">
        <v>37171</v>
      </c>
      <c r="E257" t="s">
        <v>110</v>
      </c>
    </row>
    <row r="258" spans="1:5" x14ac:dyDescent="0.2">
      <c r="A258">
        <v>2210</v>
      </c>
      <c r="B258">
        <v>40</v>
      </c>
      <c r="C258" t="s">
        <v>450</v>
      </c>
      <c r="D258">
        <v>36626</v>
      </c>
      <c r="E258" t="s">
        <v>1121</v>
      </c>
    </row>
    <row r="259" spans="1:5" x14ac:dyDescent="0.2">
      <c r="A259">
        <v>2833</v>
      </c>
      <c r="B259">
        <v>10</v>
      </c>
      <c r="C259" t="s">
        <v>1292</v>
      </c>
      <c r="D259">
        <v>36714</v>
      </c>
      <c r="E259" t="s">
        <v>1293</v>
      </c>
    </row>
    <row r="260" spans="1:5" x14ac:dyDescent="0.2">
      <c r="A260">
        <v>2114</v>
      </c>
      <c r="B260">
        <v>45</v>
      </c>
      <c r="C260" t="s">
        <v>451</v>
      </c>
      <c r="D260">
        <v>36787</v>
      </c>
      <c r="E260" t="s">
        <v>73</v>
      </c>
    </row>
    <row r="261" spans="1:5" x14ac:dyDescent="0.2">
      <c r="A261">
        <v>2752</v>
      </c>
      <c r="B261">
        <v>13</v>
      </c>
      <c r="C261" t="s">
        <v>1294</v>
      </c>
      <c r="D261">
        <v>37507</v>
      </c>
      <c r="E261" t="s">
        <v>120</v>
      </c>
    </row>
    <row r="262" spans="1:5" x14ac:dyDescent="0.2">
      <c r="A262">
        <v>2208</v>
      </c>
      <c r="B262">
        <v>40</v>
      </c>
      <c r="C262" t="s">
        <v>648</v>
      </c>
      <c r="D262">
        <v>36596</v>
      </c>
      <c r="E262" t="s">
        <v>120</v>
      </c>
    </row>
    <row r="263" spans="1:5" x14ac:dyDescent="0.2">
      <c r="A263">
        <v>3128</v>
      </c>
      <c r="B263">
        <v>2</v>
      </c>
      <c r="C263" t="s">
        <v>1295</v>
      </c>
      <c r="D263">
        <v>37650</v>
      </c>
      <c r="E263" t="s">
        <v>1107</v>
      </c>
    </row>
    <row r="264" spans="1:5" x14ac:dyDescent="0.2">
      <c r="A264">
        <v>3094</v>
      </c>
      <c r="B264">
        <v>3</v>
      </c>
      <c r="C264" t="s">
        <v>1296</v>
      </c>
      <c r="D264">
        <v>36758</v>
      </c>
      <c r="E264" t="s">
        <v>1107</v>
      </c>
    </row>
    <row r="265" spans="1:5" x14ac:dyDescent="0.2">
      <c r="A265">
        <v>2452</v>
      </c>
      <c r="B265">
        <v>27</v>
      </c>
      <c r="C265" t="s">
        <v>649</v>
      </c>
      <c r="D265">
        <v>37026</v>
      </c>
      <c r="E265" t="s">
        <v>105</v>
      </c>
    </row>
    <row r="266" spans="1:5" x14ac:dyDescent="0.2">
      <c r="A266">
        <v>2119</v>
      </c>
      <c r="B266">
        <v>45</v>
      </c>
      <c r="C266" t="s">
        <v>184</v>
      </c>
      <c r="D266">
        <v>36806</v>
      </c>
      <c r="E266" t="s">
        <v>1143</v>
      </c>
    </row>
    <row r="267" spans="1:5" x14ac:dyDescent="0.2">
      <c r="A267">
        <v>3272</v>
      </c>
      <c r="B267">
        <v>0</v>
      </c>
      <c r="C267" t="s">
        <v>1297</v>
      </c>
      <c r="D267">
        <v>37439</v>
      </c>
      <c r="E267" t="s">
        <v>136</v>
      </c>
    </row>
    <row r="268" spans="1:5" x14ac:dyDescent="0.2">
      <c r="A268">
        <v>2763</v>
      </c>
      <c r="B268">
        <v>12</v>
      </c>
      <c r="C268" t="s">
        <v>452</v>
      </c>
      <c r="D268">
        <v>36307</v>
      </c>
      <c r="E268" t="s">
        <v>83</v>
      </c>
    </row>
    <row r="269" spans="1:5" x14ac:dyDescent="0.2">
      <c r="A269">
        <v>1552</v>
      </c>
      <c r="B269">
        <v>102</v>
      </c>
      <c r="C269" t="s">
        <v>453</v>
      </c>
      <c r="D269">
        <v>36497</v>
      </c>
      <c r="E269" t="s">
        <v>120</v>
      </c>
    </row>
    <row r="270" spans="1:5" x14ac:dyDescent="0.2">
      <c r="A270">
        <v>2468</v>
      </c>
      <c r="B270">
        <v>26</v>
      </c>
      <c r="C270" t="s">
        <v>650</v>
      </c>
      <c r="D270">
        <v>36390</v>
      </c>
      <c r="E270" t="s">
        <v>139</v>
      </c>
    </row>
    <row r="271" spans="1:5" x14ac:dyDescent="0.2">
      <c r="A271">
        <v>2310</v>
      </c>
      <c r="B271">
        <v>35</v>
      </c>
      <c r="C271" t="s">
        <v>1298</v>
      </c>
      <c r="D271">
        <v>37328</v>
      </c>
      <c r="E271" t="s">
        <v>122</v>
      </c>
    </row>
    <row r="272" spans="1:5" x14ac:dyDescent="0.2">
      <c r="A272">
        <v>1856</v>
      </c>
      <c r="B272">
        <v>65</v>
      </c>
      <c r="C272" t="s">
        <v>185</v>
      </c>
      <c r="D272">
        <v>36737</v>
      </c>
      <c r="E272" t="s">
        <v>186</v>
      </c>
    </row>
    <row r="273" spans="1:5" x14ac:dyDescent="0.2">
      <c r="A273">
        <v>3231</v>
      </c>
      <c r="B273">
        <v>0</v>
      </c>
      <c r="C273" t="s">
        <v>1299</v>
      </c>
      <c r="D273">
        <v>37028</v>
      </c>
      <c r="E273" t="s">
        <v>173</v>
      </c>
    </row>
    <row r="274" spans="1:5" x14ac:dyDescent="0.2">
      <c r="A274">
        <v>3018</v>
      </c>
      <c r="B274">
        <v>4</v>
      </c>
      <c r="C274" t="s">
        <v>1300</v>
      </c>
      <c r="D274">
        <v>37327</v>
      </c>
      <c r="E274" t="s">
        <v>1063</v>
      </c>
    </row>
    <row r="275" spans="1:5" x14ac:dyDescent="0.2">
      <c r="A275">
        <v>2476</v>
      </c>
      <c r="B275">
        <v>26</v>
      </c>
      <c r="C275" t="s">
        <v>1301</v>
      </c>
      <c r="D275">
        <v>36526</v>
      </c>
      <c r="E275" t="s">
        <v>1247</v>
      </c>
    </row>
    <row r="276" spans="1:5" x14ac:dyDescent="0.2">
      <c r="A276">
        <v>1088</v>
      </c>
      <c r="B276">
        <v>195</v>
      </c>
      <c r="C276" t="s">
        <v>187</v>
      </c>
      <c r="D276">
        <v>36299</v>
      </c>
      <c r="E276" t="s">
        <v>72</v>
      </c>
    </row>
    <row r="277" spans="1:5" x14ac:dyDescent="0.2">
      <c r="A277">
        <v>3137</v>
      </c>
      <c r="B277">
        <v>2</v>
      </c>
      <c r="C277" t="s">
        <v>1302</v>
      </c>
      <c r="D277">
        <v>36631</v>
      </c>
      <c r="E277" t="s">
        <v>120</v>
      </c>
    </row>
    <row r="278" spans="1:5" x14ac:dyDescent="0.2">
      <c r="A278">
        <v>1551</v>
      </c>
      <c r="B278">
        <v>102</v>
      </c>
      <c r="C278" t="s">
        <v>1303</v>
      </c>
      <c r="D278">
        <v>36969</v>
      </c>
      <c r="E278" t="s">
        <v>105</v>
      </c>
    </row>
    <row r="279" spans="1:5" x14ac:dyDescent="0.2">
      <c r="A279">
        <v>2847</v>
      </c>
      <c r="B279">
        <v>9</v>
      </c>
      <c r="C279" t="s">
        <v>1304</v>
      </c>
      <c r="D279">
        <v>37760</v>
      </c>
      <c r="E279" t="s">
        <v>72</v>
      </c>
    </row>
    <row r="280" spans="1:5" x14ac:dyDescent="0.2">
      <c r="A280">
        <v>3399</v>
      </c>
      <c r="B280">
        <v>0</v>
      </c>
      <c r="C280" t="s">
        <v>1305</v>
      </c>
      <c r="D280">
        <v>37269</v>
      </c>
      <c r="E280" t="s">
        <v>74</v>
      </c>
    </row>
    <row r="281" spans="1:5" x14ac:dyDescent="0.2">
      <c r="A281">
        <v>2504</v>
      </c>
      <c r="B281">
        <v>25</v>
      </c>
      <c r="C281" t="s">
        <v>1306</v>
      </c>
      <c r="D281">
        <v>36249</v>
      </c>
      <c r="E281" t="s">
        <v>113</v>
      </c>
    </row>
    <row r="282" spans="1:5" x14ac:dyDescent="0.2">
      <c r="A282">
        <v>2098</v>
      </c>
      <c r="B282">
        <v>46</v>
      </c>
      <c r="C282" t="s">
        <v>454</v>
      </c>
      <c r="D282">
        <v>36364</v>
      </c>
      <c r="E282" t="s">
        <v>120</v>
      </c>
    </row>
    <row r="283" spans="1:5" x14ac:dyDescent="0.2">
      <c r="A283">
        <v>1519</v>
      </c>
      <c r="B283">
        <v>108</v>
      </c>
      <c r="C283" t="s">
        <v>651</v>
      </c>
      <c r="D283">
        <v>36840</v>
      </c>
      <c r="E283" t="s">
        <v>1189</v>
      </c>
    </row>
    <row r="284" spans="1:5" x14ac:dyDescent="0.2">
      <c r="A284">
        <v>2396</v>
      </c>
      <c r="B284">
        <v>30</v>
      </c>
      <c r="C284" t="s">
        <v>455</v>
      </c>
      <c r="D284">
        <v>36735</v>
      </c>
      <c r="E284" t="s">
        <v>73</v>
      </c>
    </row>
    <row r="285" spans="1:5" x14ac:dyDescent="0.2">
      <c r="A285">
        <v>2831</v>
      </c>
      <c r="B285">
        <v>10</v>
      </c>
      <c r="C285" t="s">
        <v>1307</v>
      </c>
      <c r="D285">
        <v>36351</v>
      </c>
      <c r="E285" t="s">
        <v>120</v>
      </c>
    </row>
    <row r="286" spans="1:5" x14ac:dyDescent="0.2">
      <c r="A286">
        <v>1686</v>
      </c>
      <c r="B286">
        <v>85</v>
      </c>
      <c r="C286" t="s">
        <v>1308</v>
      </c>
      <c r="D286">
        <v>37061</v>
      </c>
      <c r="E286" t="s">
        <v>1121</v>
      </c>
    </row>
    <row r="287" spans="1:5" x14ac:dyDescent="0.2">
      <c r="A287">
        <v>3035</v>
      </c>
      <c r="B287">
        <v>4</v>
      </c>
      <c r="C287" t="s">
        <v>1309</v>
      </c>
      <c r="D287">
        <v>36542</v>
      </c>
      <c r="E287" t="s">
        <v>200</v>
      </c>
    </row>
    <row r="288" spans="1:5" x14ac:dyDescent="0.2">
      <c r="A288">
        <v>3264</v>
      </c>
      <c r="B288">
        <v>0</v>
      </c>
      <c r="C288" t="s">
        <v>1310</v>
      </c>
      <c r="D288">
        <v>36656</v>
      </c>
      <c r="E288" t="s">
        <v>171</v>
      </c>
    </row>
    <row r="289" spans="1:5" x14ac:dyDescent="0.2">
      <c r="A289">
        <v>2326</v>
      </c>
      <c r="B289">
        <v>34</v>
      </c>
      <c r="C289" t="s">
        <v>1311</v>
      </c>
      <c r="D289">
        <v>37369</v>
      </c>
      <c r="E289" t="s">
        <v>164</v>
      </c>
    </row>
    <row r="290" spans="1:5" x14ac:dyDescent="0.2">
      <c r="A290">
        <v>3412</v>
      </c>
      <c r="B290">
        <v>0</v>
      </c>
      <c r="C290" t="s">
        <v>1312</v>
      </c>
      <c r="D290">
        <v>36526</v>
      </c>
      <c r="E290" t="s">
        <v>630</v>
      </c>
    </row>
    <row r="291" spans="1:5" x14ac:dyDescent="0.2">
      <c r="A291">
        <v>3099</v>
      </c>
      <c r="B291">
        <v>2</v>
      </c>
      <c r="C291" t="s">
        <v>1313</v>
      </c>
      <c r="D291">
        <v>36892</v>
      </c>
      <c r="E291" t="s">
        <v>105</v>
      </c>
    </row>
    <row r="292" spans="1:5" x14ac:dyDescent="0.2">
      <c r="A292">
        <v>2849</v>
      </c>
      <c r="B292">
        <v>9</v>
      </c>
      <c r="C292" t="s">
        <v>1314</v>
      </c>
      <c r="D292">
        <v>37034</v>
      </c>
      <c r="E292" t="s">
        <v>1315</v>
      </c>
    </row>
    <row r="293" spans="1:5" x14ac:dyDescent="0.2">
      <c r="A293">
        <v>2882</v>
      </c>
      <c r="B293">
        <v>8</v>
      </c>
      <c r="C293" t="s">
        <v>1316</v>
      </c>
      <c r="D293">
        <v>36748</v>
      </c>
      <c r="E293" t="s">
        <v>74</v>
      </c>
    </row>
    <row r="294" spans="1:5" x14ac:dyDescent="0.2">
      <c r="A294">
        <v>2670</v>
      </c>
      <c r="B294">
        <v>17</v>
      </c>
      <c r="C294" t="s">
        <v>1317</v>
      </c>
      <c r="D294">
        <v>36395</v>
      </c>
      <c r="E294" t="s">
        <v>1318</v>
      </c>
    </row>
    <row r="295" spans="1:5" x14ac:dyDescent="0.2">
      <c r="A295">
        <v>2934</v>
      </c>
      <c r="B295">
        <v>7</v>
      </c>
      <c r="C295" t="s">
        <v>1319</v>
      </c>
      <c r="D295">
        <v>36479</v>
      </c>
      <c r="E295" t="s">
        <v>1318</v>
      </c>
    </row>
    <row r="296" spans="1:5" x14ac:dyDescent="0.2">
      <c r="A296">
        <v>2836</v>
      </c>
      <c r="B296">
        <v>10</v>
      </c>
      <c r="C296" t="s">
        <v>1320</v>
      </c>
      <c r="D296">
        <v>36976</v>
      </c>
      <c r="E296" t="s">
        <v>1121</v>
      </c>
    </row>
    <row r="297" spans="1:5" x14ac:dyDescent="0.2">
      <c r="A297">
        <v>3659</v>
      </c>
      <c r="B297">
        <v>0</v>
      </c>
      <c r="C297" t="s">
        <v>1321</v>
      </c>
      <c r="D297">
        <v>36699</v>
      </c>
      <c r="E297" t="s">
        <v>183</v>
      </c>
    </row>
    <row r="298" spans="1:5" x14ac:dyDescent="0.2">
      <c r="A298">
        <v>1733</v>
      </c>
      <c r="B298">
        <v>79</v>
      </c>
      <c r="C298" t="s">
        <v>1322</v>
      </c>
      <c r="D298">
        <v>36466</v>
      </c>
      <c r="E298" t="s">
        <v>121</v>
      </c>
    </row>
    <row r="299" spans="1:5" x14ac:dyDescent="0.2">
      <c r="A299">
        <v>3347</v>
      </c>
      <c r="B299">
        <v>0</v>
      </c>
      <c r="C299" t="s">
        <v>1323</v>
      </c>
      <c r="D299">
        <v>36892</v>
      </c>
      <c r="E299" t="s">
        <v>290</v>
      </c>
    </row>
    <row r="300" spans="1:5" x14ac:dyDescent="0.2">
      <c r="A300">
        <v>1900</v>
      </c>
      <c r="B300">
        <v>61</v>
      </c>
      <c r="C300" t="s">
        <v>1324</v>
      </c>
      <c r="D300">
        <v>36981</v>
      </c>
      <c r="E300" t="s">
        <v>113</v>
      </c>
    </row>
    <row r="301" spans="1:5" x14ac:dyDescent="0.2">
      <c r="A301">
        <v>2529</v>
      </c>
      <c r="B301">
        <v>24</v>
      </c>
      <c r="C301" t="s">
        <v>1325</v>
      </c>
      <c r="D301">
        <v>36261</v>
      </c>
      <c r="E301" t="s">
        <v>163</v>
      </c>
    </row>
    <row r="302" spans="1:5" x14ac:dyDescent="0.2">
      <c r="A302">
        <v>1750</v>
      </c>
      <c r="B302">
        <v>76</v>
      </c>
      <c r="C302" t="s">
        <v>189</v>
      </c>
      <c r="D302">
        <v>36859</v>
      </c>
      <c r="E302" t="s">
        <v>1234</v>
      </c>
    </row>
    <row r="303" spans="1:5" x14ac:dyDescent="0.2">
      <c r="A303">
        <v>2158</v>
      </c>
      <c r="B303">
        <v>43</v>
      </c>
      <c r="C303" t="s">
        <v>384</v>
      </c>
      <c r="D303">
        <v>36567</v>
      </c>
      <c r="E303" t="s">
        <v>1326</v>
      </c>
    </row>
    <row r="304" spans="1:5" x14ac:dyDescent="0.2">
      <c r="A304">
        <v>3044</v>
      </c>
      <c r="B304">
        <v>4</v>
      </c>
      <c r="C304" t="s">
        <v>1327</v>
      </c>
      <c r="D304">
        <v>36927</v>
      </c>
      <c r="E304" t="s">
        <v>105</v>
      </c>
    </row>
    <row r="305" spans="1:5" x14ac:dyDescent="0.2">
      <c r="A305">
        <v>2420</v>
      </c>
      <c r="B305">
        <v>29</v>
      </c>
      <c r="C305" t="s">
        <v>190</v>
      </c>
      <c r="D305">
        <v>36172</v>
      </c>
      <c r="E305" t="s">
        <v>84</v>
      </c>
    </row>
    <row r="306" spans="1:5" x14ac:dyDescent="0.2">
      <c r="A306">
        <v>2488</v>
      </c>
      <c r="B306">
        <v>26</v>
      </c>
      <c r="C306" t="s">
        <v>778</v>
      </c>
      <c r="D306">
        <v>37062</v>
      </c>
      <c r="E306" t="s">
        <v>110</v>
      </c>
    </row>
    <row r="307" spans="1:5" x14ac:dyDescent="0.2">
      <c r="A307">
        <v>3413</v>
      </c>
      <c r="B307">
        <v>0</v>
      </c>
      <c r="C307" t="s">
        <v>1328</v>
      </c>
      <c r="D307">
        <v>36892</v>
      </c>
      <c r="E307" t="s">
        <v>630</v>
      </c>
    </row>
    <row r="308" spans="1:5" x14ac:dyDescent="0.2">
      <c r="A308">
        <v>2743</v>
      </c>
      <c r="B308">
        <v>13</v>
      </c>
      <c r="C308" t="s">
        <v>1329</v>
      </c>
      <c r="D308">
        <v>37111</v>
      </c>
      <c r="E308" t="s">
        <v>1330</v>
      </c>
    </row>
    <row r="309" spans="1:5" x14ac:dyDescent="0.2">
      <c r="A309">
        <v>1711</v>
      </c>
      <c r="B309">
        <v>82</v>
      </c>
      <c r="C309" t="s">
        <v>191</v>
      </c>
      <c r="D309">
        <v>36368</v>
      </c>
      <c r="E309" t="s">
        <v>120</v>
      </c>
    </row>
    <row r="310" spans="1:5" x14ac:dyDescent="0.2">
      <c r="A310">
        <v>2283</v>
      </c>
      <c r="B310">
        <v>36</v>
      </c>
      <c r="C310" t="s">
        <v>456</v>
      </c>
      <c r="D310">
        <v>37146</v>
      </c>
      <c r="E310" t="s">
        <v>105</v>
      </c>
    </row>
    <row r="311" spans="1:5" x14ac:dyDescent="0.2">
      <c r="A311">
        <v>2224</v>
      </c>
      <c r="B311">
        <v>39</v>
      </c>
      <c r="C311" t="s">
        <v>457</v>
      </c>
      <c r="D311">
        <v>36961</v>
      </c>
      <c r="E311" t="s">
        <v>99</v>
      </c>
    </row>
    <row r="312" spans="1:5" x14ac:dyDescent="0.2">
      <c r="A312">
        <v>2864</v>
      </c>
      <c r="B312">
        <v>9</v>
      </c>
      <c r="C312" t="s">
        <v>1331</v>
      </c>
      <c r="D312">
        <v>36607</v>
      </c>
      <c r="E312" t="s">
        <v>120</v>
      </c>
    </row>
    <row r="313" spans="1:5" x14ac:dyDescent="0.2">
      <c r="A313">
        <v>1806</v>
      </c>
      <c r="B313">
        <v>71</v>
      </c>
      <c r="C313" t="s">
        <v>192</v>
      </c>
      <c r="D313">
        <v>36917</v>
      </c>
      <c r="E313" t="s">
        <v>1171</v>
      </c>
    </row>
    <row r="314" spans="1:5" x14ac:dyDescent="0.2">
      <c r="A314">
        <v>1253</v>
      </c>
      <c r="B314">
        <v>158</v>
      </c>
      <c r="C314" t="s">
        <v>1333</v>
      </c>
      <c r="D314">
        <v>36600</v>
      </c>
      <c r="E314" t="s">
        <v>1334</v>
      </c>
    </row>
    <row r="315" spans="1:5" x14ac:dyDescent="0.2">
      <c r="A315">
        <v>2568</v>
      </c>
      <c r="B315">
        <v>22</v>
      </c>
      <c r="C315" t="s">
        <v>1335</v>
      </c>
      <c r="D315">
        <v>36953</v>
      </c>
      <c r="E315" t="s">
        <v>1336</v>
      </c>
    </row>
    <row r="316" spans="1:5" x14ac:dyDescent="0.2">
      <c r="A316">
        <v>2368</v>
      </c>
      <c r="B316">
        <v>32</v>
      </c>
      <c r="C316" t="s">
        <v>779</v>
      </c>
      <c r="D316">
        <v>37354</v>
      </c>
      <c r="E316" t="s">
        <v>105</v>
      </c>
    </row>
    <row r="317" spans="1:5" x14ac:dyDescent="0.2">
      <c r="A317">
        <v>1636</v>
      </c>
      <c r="B317">
        <v>91</v>
      </c>
      <c r="C317" t="s">
        <v>652</v>
      </c>
      <c r="D317">
        <v>36569</v>
      </c>
      <c r="E317" t="s">
        <v>105</v>
      </c>
    </row>
    <row r="318" spans="1:5" x14ac:dyDescent="0.2">
      <c r="A318">
        <v>1364</v>
      </c>
      <c r="B318">
        <v>137</v>
      </c>
      <c r="C318" t="s">
        <v>193</v>
      </c>
      <c r="D318">
        <v>36695</v>
      </c>
      <c r="E318" t="s">
        <v>1121</v>
      </c>
    </row>
    <row r="319" spans="1:5" x14ac:dyDescent="0.2">
      <c r="A319">
        <v>2480</v>
      </c>
      <c r="B319">
        <v>26</v>
      </c>
      <c r="C319" t="s">
        <v>1337</v>
      </c>
      <c r="D319">
        <v>36241</v>
      </c>
      <c r="E319" t="s">
        <v>163</v>
      </c>
    </row>
    <row r="320" spans="1:5" x14ac:dyDescent="0.2">
      <c r="A320">
        <v>2911</v>
      </c>
      <c r="B320">
        <v>7</v>
      </c>
      <c r="C320" t="s">
        <v>1338</v>
      </c>
      <c r="D320">
        <v>36667</v>
      </c>
      <c r="E320" t="s">
        <v>1143</v>
      </c>
    </row>
    <row r="321" spans="1:5" x14ac:dyDescent="0.2">
      <c r="A321">
        <v>3120</v>
      </c>
      <c r="B321">
        <v>2</v>
      </c>
      <c r="C321" t="s">
        <v>1339</v>
      </c>
      <c r="D321">
        <v>37190</v>
      </c>
      <c r="E321" t="s">
        <v>165</v>
      </c>
    </row>
    <row r="322" spans="1:5" x14ac:dyDescent="0.2">
      <c r="A322">
        <v>1660</v>
      </c>
      <c r="B322">
        <v>88</v>
      </c>
      <c r="C322" t="s">
        <v>194</v>
      </c>
      <c r="D322">
        <v>36803</v>
      </c>
      <c r="E322" t="s">
        <v>105</v>
      </c>
    </row>
    <row r="323" spans="1:5" x14ac:dyDescent="0.2">
      <c r="A323">
        <v>3415</v>
      </c>
      <c r="B323">
        <v>0</v>
      </c>
      <c r="C323" t="s">
        <v>1340</v>
      </c>
      <c r="D323">
        <v>36718</v>
      </c>
      <c r="E323" t="s">
        <v>142</v>
      </c>
    </row>
    <row r="324" spans="1:5" x14ac:dyDescent="0.2">
      <c r="A324">
        <v>2327</v>
      </c>
      <c r="B324">
        <v>34</v>
      </c>
      <c r="C324" t="s">
        <v>1341</v>
      </c>
      <c r="D324">
        <v>36907</v>
      </c>
      <c r="E324" t="s">
        <v>1143</v>
      </c>
    </row>
    <row r="325" spans="1:5" x14ac:dyDescent="0.2">
      <c r="A325">
        <v>1476</v>
      </c>
      <c r="B325">
        <v>116</v>
      </c>
      <c r="C325" t="s">
        <v>653</v>
      </c>
      <c r="D325">
        <v>36411</v>
      </c>
      <c r="E325" t="s">
        <v>105</v>
      </c>
    </row>
    <row r="326" spans="1:5" x14ac:dyDescent="0.2">
      <c r="A326">
        <v>3480</v>
      </c>
      <c r="B326">
        <v>0</v>
      </c>
      <c r="C326" t="s">
        <v>1344</v>
      </c>
      <c r="D326">
        <v>37257</v>
      </c>
      <c r="E326" t="s">
        <v>74</v>
      </c>
    </row>
    <row r="327" spans="1:5" x14ac:dyDescent="0.2">
      <c r="A327">
        <v>1550</v>
      </c>
      <c r="B327">
        <v>102</v>
      </c>
      <c r="C327" t="s">
        <v>654</v>
      </c>
      <c r="D327">
        <v>36946</v>
      </c>
      <c r="E327" t="s">
        <v>74</v>
      </c>
    </row>
    <row r="328" spans="1:5" x14ac:dyDescent="0.2">
      <c r="A328">
        <v>2921</v>
      </c>
      <c r="B328">
        <v>7</v>
      </c>
      <c r="C328" t="s">
        <v>1345</v>
      </c>
      <c r="D328">
        <v>37294</v>
      </c>
      <c r="E328" t="s">
        <v>74</v>
      </c>
    </row>
    <row r="329" spans="1:5" x14ac:dyDescent="0.2">
      <c r="A329">
        <v>2937</v>
      </c>
      <c r="B329">
        <v>6</v>
      </c>
      <c r="C329" t="s">
        <v>1346</v>
      </c>
      <c r="D329">
        <v>36677</v>
      </c>
      <c r="E329" t="s">
        <v>1121</v>
      </c>
    </row>
    <row r="330" spans="1:5" x14ac:dyDescent="0.2">
      <c r="A330">
        <v>3338</v>
      </c>
      <c r="B330">
        <v>0</v>
      </c>
      <c r="C330" t="s">
        <v>1347</v>
      </c>
      <c r="D330">
        <v>37973</v>
      </c>
      <c r="E330" t="s">
        <v>120</v>
      </c>
    </row>
    <row r="331" spans="1:5" x14ac:dyDescent="0.2">
      <c r="A331">
        <v>1930</v>
      </c>
      <c r="B331">
        <v>58</v>
      </c>
      <c r="C331" t="s">
        <v>780</v>
      </c>
      <c r="D331">
        <v>36595</v>
      </c>
      <c r="E331" t="s">
        <v>109</v>
      </c>
    </row>
    <row r="332" spans="1:5" x14ac:dyDescent="0.2">
      <c r="A332">
        <v>1923</v>
      </c>
      <c r="B332">
        <v>58</v>
      </c>
      <c r="C332" t="s">
        <v>195</v>
      </c>
      <c r="D332">
        <v>36864</v>
      </c>
      <c r="E332" t="s">
        <v>105</v>
      </c>
    </row>
    <row r="333" spans="1:5" x14ac:dyDescent="0.2">
      <c r="A333">
        <v>1862</v>
      </c>
      <c r="B333">
        <v>64</v>
      </c>
      <c r="C333" t="s">
        <v>458</v>
      </c>
      <c r="D333">
        <v>37188</v>
      </c>
      <c r="E333" t="s">
        <v>1129</v>
      </c>
    </row>
    <row r="334" spans="1:5" x14ac:dyDescent="0.2">
      <c r="A334">
        <v>2335</v>
      </c>
      <c r="B334">
        <v>33</v>
      </c>
      <c r="C334" t="s">
        <v>196</v>
      </c>
      <c r="D334">
        <v>36904</v>
      </c>
      <c r="E334" t="s">
        <v>128</v>
      </c>
    </row>
    <row r="335" spans="1:5" x14ac:dyDescent="0.2">
      <c r="A335">
        <v>1959</v>
      </c>
      <c r="B335">
        <v>55</v>
      </c>
      <c r="C335" t="s">
        <v>197</v>
      </c>
      <c r="D335">
        <v>36209</v>
      </c>
      <c r="E335" t="s">
        <v>1163</v>
      </c>
    </row>
    <row r="336" spans="1:5" x14ac:dyDescent="0.2">
      <c r="A336">
        <v>2028</v>
      </c>
      <c r="B336">
        <v>50</v>
      </c>
      <c r="C336" t="s">
        <v>1348</v>
      </c>
      <c r="D336">
        <v>36677</v>
      </c>
      <c r="E336" t="s">
        <v>1076</v>
      </c>
    </row>
    <row r="337" spans="1:5" x14ac:dyDescent="0.2">
      <c r="A337">
        <v>2572</v>
      </c>
      <c r="B337">
        <v>21</v>
      </c>
      <c r="C337" t="s">
        <v>459</v>
      </c>
      <c r="D337">
        <v>37003</v>
      </c>
      <c r="E337" t="s">
        <v>231</v>
      </c>
    </row>
    <row r="338" spans="1:5" x14ac:dyDescent="0.2">
      <c r="A338">
        <v>2431</v>
      </c>
      <c r="B338">
        <v>29</v>
      </c>
      <c r="C338" t="s">
        <v>655</v>
      </c>
      <c r="D338">
        <v>36952</v>
      </c>
      <c r="E338" t="s">
        <v>227</v>
      </c>
    </row>
    <row r="339" spans="1:5" x14ac:dyDescent="0.2">
      <c r="A339">
        <v>2901</v>
      </c>
      <c r="B339">
        <v>8</v>
      </c>
      <c r="C339" t="s">
        <v>1349</v>
      </c>
      <c r="D339">
        <v>36742</v>
      </c>
      <c r="E339" t="s">
        <v>127</v>
      </c>
    </row>
    <row r="340" spans="1:5" x14ac:dyDescent="0.2">
      <c r="A340">
        <v>2212</v>
      </c>
      <c r="B340">
        <v>40</v>
      </c>
      <c r="C340" t="s">
        <v>385</v>
      </c>
      <c r="D340">
        <v>37261</v>
      </c>
      <c r="E340" t="s">
        <v>1342</v>
      </c>
    </row>
    <row r="341" spans="1:5" x14ac:dyDescent="0.2">
      <c r="A341">
        <v>2704</v>
      </c>
      <c r="B341">
        <v>15</v>
      </c>
      <c r="C341" t="s">
        <v>1350</v>
      </c>
      <c r="D341">
        <v>37075</v>
      </c>
      <c r="E341" t="s">
        <v>1155</v>
      </c>
    </row>
    <row r="342" spans="1:5" x14ac:dyDescent="0.2">
      <c r="A342">
        <v>1232</v>
      </c>
      <c r="B342">
        <v>161</v>
      </c>
      <c r="C342" t="s">
        <v>781</v>
      </c>
      <c r="D342">
        <v>36326</v>
      </c>
      <c r="E342" t="s">
        <v>118</v>
      </c>
    </row>
    <row r="343" spans="1:5" x14ac:dyDescent="0.2">
      <c r="A343">
        <v>2816</v>
      </c>
      <c r="B343">
        <v>10</v>
      </c>
      <c r="C343" t="s">
        <v>1351</v>
      </c>
      <c r="D343">
        <v>36394</v>
      </c>
      <c r="E343" t="s">
        <v>1150</v>
      </c>
    </row>
    <row r="344" spans="1:5" x14ac:dyDescent="0.2">
      <c r="A344">
        <v>2100</v>
      </c>
      <c r="B344">
        <v>46</v>
      </c>
      <c r="C344" t="s">
        <v>1352</v>
      </c>
      <c r="D344">
        <v>36685</v>
      </c>
      <c r="E344" t="s">
        <v>1250</v>
      </c>
    </row>
    <row r="345" spans="1:5" x14ac:dyDescent="0.2">
      <c r="A345">
        <v>2530</v>
      </c>
      <c r="B345">
        <v>24</v>
      </c>
      <c r="C345" t="s">
        <v>1353</v>
      </c>
      <c r="D345">
        <v>36680</v>
      </c>
      <c r="E345" t="s">
        <v>1354</v>
      </c>
    </row>
    <row r="346" spans="1:5" x14ac:dyDescent="0.2">
      <c r="A346">
        <v>3433</v>
      </c>
      <c r="B346">
        <v>0</v>
      </c>
      <c r="C346" t="s">
        <v>1355</v>
      </c>
      <c r="D346">
        <v>37370</v>
      </c>
      <c r="E346" t="s">
        <v>120</v>
      </c>
    </row>
    <row r="347" spans="1:5" x14ac:dyDescent="0.2">
      <c r="A347">
        <v>3694</v>
      </c>
      <c r="B347">
        <v>0</v>
      </c>
      <c r="C347" t="s">
        <v>1356</v>
      </c>
      <c r="D347">
        <v>37755</v>
      </c>
      <c r="E347" t="s">
        <v>105</v>
      </c>
    </row>
    <row r="348" spans="1:5" x14ac:dyDescent="0.2">
      <c r="A348">
        <v>3194</v>
      </c>
      <c r="B348">
        <v>0</v>
      </c>
      <c r="C348" t="s">
        <v>198</v>
      </c>
      <c r="D348">
        <v>36562</v>
      </c>
      <c r="E348" t="s">
        <v>105</v>
      </c>
    </row>
    <row r="349" spans="1:5" x14ac:dyDescent="0.2">
      <c r="A349">
        <v>2757</v>
      </c>
      <c r="B349">
        <v>13</v>
      </c>
      <c r="C349" t="s">
        <v>1357</v>
      </c>
      <c r="D349">
        <v>36229</v>
      </c>
      <c r="E349" t="s">
        <v>120</v>
      </c>
    </row>
    <row r="350" spans="1:5" x14ac:dyDescent="0.2">
      <c r="A350">
        <v>2354</v>
      </c>
      <c r="B350">
        <v>33</v>
      </c>
      <c r="C350" t="s">
        <v>1358</v>
      </c>
      <c r="D350">
        <v>36455</v>
      </c>
      <c r="E350" t="s">
        <v>147</v>
      </c>
    </row>
    <row r="351" spans="1:5" x14ac:dyDescent="0.2">
      <c r="A351">
        <v>3042</v>
      </c>
      <c r="B351">
        <v>4</v>
      </c>
      <c r="C351" t="s">
        <v>1359</v>
      </c>
      <c r="D351">
        <v>36247</v>
      </c>
      <c r="E351" t="s">
        <v>1121</v>
      </c>
    </row>
    <row r="352" spans="1:5" x14ac:dyDescent="0.2">
      <c r="A352">
        <v>1352</v>
      </c>
      <c r="B352">
        <v>139</v>
      </c>
      <c r="C352" t="s">
        <v>199</v>
      </c>
      <c r="D352">
        <v>36212</v>
      </c>
      <c r="E352" t="s">
        <v>105</v>
      </c>
    </row>
    <row r="353" spans="1:5" x14ac:dyDescent="0.2">
      <c r="A353">
        <v>3470</v>
      </c>
      <c r="B353">
        <v>0</v>
      </c>
      <c r="C353" t="s">
        <v>1360</v>
      </c>
      <c r="D353">
        <v>36543</v>
      </c>
      <c r="E353" t="s">
        <v>120</v>
      </c>
    </row>
    <row r="354" spans="1:5" x14ac:dyDescent="0.2">
      <c r="A354">
        <v>1566</v>
      </c>
      <c r="B354">
        <v>100</v>
      </c>
      <c r="C354" t="s">
        <v>460</v>
      </c>
      <c r="D354">
        <v>36907</v>
      </c>
      <c r="E354" t="s">
        <v>1089</v>
      </c>
    </row>
    <row r="355" spans="1:5" x14ac:dyDescent="0.2">
      <c r="A355">
        <v>3579</v>
      </c>
      <c r="B355">
        <v>0</v>
      </c>
      <c r="C355" t="s">
        <v>1361</v>
      </c>
      <c r="D355">
        <v>36325</v>
      </c>
      <c r="E355" t="s">
        <v>105</v>
      </c>
    </row>
    <row r="356" spans="1:5" x14ac:dyDescent="0.2">
      <c r="A356">
        <v>3206</v>
      </c>
      <c r="B356">
        <v>0</v>
      </c>
      <c r="C356" t="s">
        <v>1362</v>
      </c>
      <c r="D356">
        <v>36356</v>
      </c>
      <c r="E356" t="s">
        <v>1363</v>
      </c>
    </row>
    <row r="357" spans="1:5" x14ac:dyDescent="0.2">
      <c r="A357">
        <v>3315</v>
      </c>
      <c r="B357">
        <v>0</v>
      </c>
      <c r="C357" t="s">
        <v>1365</v>
      </c>
      <c r="D357">
        <v>36805</v>
      </c>
      <c r="E357" t="s">
        <v>290</v>
      </c>
    </row>
    <row r="358" spans="1:5" x14ac:dyDescent="0.2">
      <c r="A358">
        <v>2484</v>
      </c>
      <c r="B358">
        <v>26</v>
      </c>
      <c r="C358" t="s">
        <v>1366</v>
      </c>
      <c r="D358">
        <v>36946</v>
      </c>
      <c r="E358" t="s">
        <v>1367</v>
      </c>
    </row>
    <row r="359" spans="1:5" x14ac:dyDescent="0.2">
      <c r="A359">
        <v>2988</v>
      </c>
      <c r="B359">
        <v>5</v>
      </c>
      <c r="C359" t="s">
        <v>1368</v>
      </c>
      <c r="D359">
        <v>37052</v>
      </c>
      <c r="E359" t="s">
        <v>120</v>
      </c>
    </row>
    <row r="360" spans="1:5" x14ac:dyDescent="0.2">
      <c r="A360">
        <v>2019</v>
      </c>
      <c r="B360">
        <v>51</v>
      </c>
      <c r="C360" t="s">
        <v>1369</v>
      </c>
      <c r="D360">
        <v>37125</v>
      </c>
      <c r="E360" t="s">
        <v>99</v>
      </c>
    </row>
    <row r="361" spans="1:5" x14ac:dyDescent="0.2">
      <c r="A361">
        <v>2157</v>
      </c>
      <c r="B361">
        <v>43</v>
      </c>
      <c r="C361" t="s">
        <v>461</v>
      </c>
      <c r="D361">
        <v>36569</v>
      </c>
      <c r="E361" t="s">
        <v>290</v>
      </c>
    </row>
    <row r="362" spans="1:5" x14ac:dyDescent="0.2">
      <c r="A362">
        <v>3538</v>
      </c>
      <c r="B362">
        <v>0</v>
      </c>
      <c r="C362" t="s">
        <v>1370</v>
      </c>
      <c r="D362">
        <v>37152</v>
      </c>
      <c r="E362" t="s">
        <v>105</v>
      </c>
    </row>
    <row r="363" spans="1:5" x14ac:dyDescent="0.2">
      <c r="A363">
        <v>2855</v>
      </c>
      <c r="B363">
        <v>9</v>
      </c>
      <c r="C363" t="s">
        <v>1371</v>
      </c>
      <c r="D363">
        <v>36210</v>
      </c>
      <c r="E363" t="s">
        <v>120</v>
      </c>
    </row>
    <row r="364" spans="1:5" x14ac:dyDescent="0.2">
      <c r="A364">
        <v>2477</v>
      </c>
      <c r="B364">
        <v>26</v>
      </c>
      <c r="C364" t="s">
        <v>1372</v>
      </c>
      <c r="D364">
        <v>36705</v>
      </c>
      <c r="E364" t="s">
        <v>120</v>
      </c>
    </row>
    <row r="365" spans="1:5" x14ac:dyDescent="0.2">
      <c r="A365">
        <v>2145</v>
      </c>
      <c r="B365">
        <v>44</v>
      </c>
      <c r="C365" t="s">
        <v>201</v>
      </c>
      <c r="D365">
        <v>36789</v>
      </c>
      <c r="E365" t="s">
        <v>1367</v>
      </c>
    </row>
    <row r="366" spans="1:5" x14ac:dyDescent="0.2">
      <c r="A366">
        <v>3330</v>
      </c>
      <c r="B366">
        <v>0</v>
      </c>
      <c r="C366" t="s">
        <v>1373</v>
      </c>
      <c r="D366">
        <v>37614</v>
      </c>
      <c r="E366" t="s">
        <v>120</v>
      </c>
    </row>
    <row r="367" spans="1:5" x14ac:dyDescent="0.2">
      <c r="A367">
        <v>2235</v>
      </c>
      <c r="B367">
        <v>39</v>
      </c>
      <c r="C367" t="s">
        <v>656</v>
      </c>
      <c r="D367">
        <v>36534</v>
      </c>
      <c r="E367" t="s">
        <v>1374</v>
      </c>
    </row>
    <row r="368" spans="1:5" x14ac:dyDescent="0.2">
      <c r="A368">
        <v>2908</v>
      </c>
      <c r="B368">
        <v>7</v>
      </c>
      <c r="C368" t="s">
        <v>1375</v>
      </c>
      <c r="D368">
        <v>36904</v>
      </c>
      <c r="E368" t="s">
        <v>113</v>
      </c>
    </row>
    <row r="369" spans="1:5" x14ac:dyDescent="0.2">
      <c r="A369">
        <v>1712</v>
      </c>
      <c r="B369">
        <v>82</v>
      </c>
      <c r="C369" t="s">
        <v>462</v>
      </c>
      <c r="D369">
        <v>36748</v>
      </c>
      <c r="E369" t="s">
        <v>99</v>
      </c>
    </row>
    <row r="370" spans="1:5" x14ac:dyDescent="0.2">
      <c r="A370">
        <v>2835</v>
      </c>
      <c r="B370">
        <v>10</v>
      </c>
      <c r="C370" t="s">
        <v>462</v>
      </c>
      <c r="D370">
        <v>36937</v>
      </c>
      <c r="E370" t="s">
        <v>105</v>
      </c>
    </row>
    <row r="371" spans="1:5" x14ac:dyDescent="0.2">
      <c r="A371">
        <v>1377</v>
      </c>
      <c r="B371">
        <v>136</v>
      </c>
      <c r="C371" t="s">
        <v>657</v>
      </c>
      <c r="D371">
        <v>37265</v>
      </c>
      <c r="E371" t="s">
        <v>186</v>
      </c>
    </row>
    <row r="372" spans="1:5" x14ac:dyDescent="0.2">
      <c r="A372">
        <v>2611</v>
      </c>
      <c r="B372">
        <v>19</v>
      </c>
      <c r="C372" t="s">
        <v>386</v>
      </c>
      <c r="D372">
        <v>36674</v>
      </c>
      <c r="E372" t="s">
        <v>99</v>
      </c>
    </row>
    <row r="373" spans="1:5" x14ac:dyDescent="0.2">
      <c r="A373">
        <v>3494</v>
      </c>
      <c r="B373">
        <v>0</v>
      </c>
      <c r="C373" t="s">
        <v>1376</v>
      </c>
      <c r="D373">
        <v>37104</v>
      </c>
      <c r="E373" t="s">
        <v>1143</v>
      </c>
    </row>
    <row r="374" spans="1:5" x14ac:dyDescent="0.2">
      <c r="A374">
        <v>3668</v>
      </c>
      <c r="B374">
        <v>0</v>
      </c>
      <c r="C374" t="s">
        <v>1377</v>
      </c>
      <c r="D374">
        <v>37355</v>
      </c>
      <c r="E374" t="s">
        <v>183</v>
      </c>
    </row>
    <row r="375" spans="1:5" x14ac:dyDescent="0.2">
      <c r="A375">
        <v>3105</v>
      </c>
      <c r="B375">
        <v>2</v>
      </c>
      <c r="C375" t="s">
        <v>1378</v>
      </c>
      <c r="D375">
        <v>37269</v>
      </c>
      <c r="E375" t="s">
        <v>227</v>
      </c>
    </row>
    <row r="376" spans="1:5" x14ac:dyDescent="0.2">
      <c r="A376">
        <v>3603</v>
      </c>
      <c r="B376">
        <v>0</v>
      </c>
      <c r="C376" t="s">
        <v>1379</v>
      </c>
      <c r="D376">
        <v>36615</v>
      </c>
      <c r="E376" t="s">
        <v>120</v>
      </c>
    </row>
    <row r="377" spans="1:5" x14ac:dyDescent="0.2">
      <c r="A377">
        <v>3182</v>
      </c>
      <c r="B377">
        <v>1</v>
      </c>
      <c r="C377" t="s">
        <v>1380</v>
      </c>
      <c r="D377">
        <v>37539</v>
      </c>
      <c r="E377" t="s">
        <v>120</v>
      </c>
    </row>
    <row r="378" spans="1:5" x14ac:dyDescent="0.2">
      <c r="A378">
        <v>2200</v>
      </c>
      <c r="B378">
        <v>41</v>
      </c>
      <c r="C378" t="s">
        <v>1381</v>
      </c>
      <c r="D378">
        <v>37077</v>
      </c>
      <c r="E378" t="s">
        <v>120</v>
      </c>
    </row>
    <row r="379" spans="1:5" x14ac:dyDescent="0.2">
      <c r="A379">
        <v>3503</v>
      </c>
      <c r="B379">
        <v>0</v>
      </c>
      <c r="C379" t="s">
        <v>1383</v>
      </c>
      <c r="D379">
        <v>37071</v>
      </c>
      <c r="E379" t="s">
        <v>105</v>
      </c>
    </row>
    <row r="380" spans="1:5" x14ac:dyDescent="0.2">
      <c r="A380">
        <v>3325</v>
      </c>
      <c r="B380">
        <v>0</v>
      </c>
      <c r="C380" t="s">
        <v>1384</v>
      </c>
      <c r="D380">
        <v>36771</v>
      </c>
      <c r="E380" t="s">
        <v>183</v>
      </c>
    </row>
    <row r="381" spans="1:5" x14ac:dyDescent="0.2">
      <c r="A381">
        <v>3355</v>
      </c>
      <c r="B381">
        <v>0</v>
      </c>
      <c r="C381" t="s">
        <v>1385</v>
      </c>
      <c r="D381">
        <v>37393</v>
      </c>
      <c r="E381" t="s">
        <v>107</v>
      </c>
    </row>
    <row r="382" spans="1:5" x14ac:dyDescent="0.2">
      <c r="A382">
        <v>3291</v>
      </c>
      <c r="B382">
        <v>0</v>
      </c>
      <c r="C382" t="s">
        <v>1386</v>
      </c>
      <c r="D382">
        <v>37344</v>
      </c>
      <c r="E382" t="s">
        <v>1069</v>
      </c>
    </row>
    <row r="383" spans="1:5" x14ac:dyDescent="0.2">
      <c r="A383">
        <v>3049</v>
      </c>
      <c r="B383">
        <v>4</v>
      </c>
      <c r="C383" t="s">
        <v>85</v>
      </c>
      <c r="D383">
        <v>37250</v>
      </c>
      <c r="E383" t="s">
        <v>105</v>
      </c>
    </row>
    <row r="384" spans="1:5" x14ac:dyDescent="0.2">
      <c r="A384">
        <v>3161</v>
      </c>
      <c r="B384">
        <v>1</v>
      </c>
      <c r="C384" t="s">
        <v>1387</v>
      </c>
      <c r="D384">
        <v>36905</v>
      </c>
      <c r="E384" t="s">
        <v>99</v>
      </c>
    </row>
    <row r="385" spans="1:5" x14ac:dyDescent="0.2">
      <c r="A385">
        <v>2960</v>
      </c>
      <c r="B385">
        <v>6</v>
      </c>
      <c r="C385" t="s">
        <v>1388</v>
      </c>
      <c r="D385">
        <v>36497</v>
      </c>
      <c r="E385" t="s">
        <v>166</v>
      </c>
    </row>
    <row r="386" spans="1:5" x14ac:dyDescent="0.2">
      <c r="A386">
        <v>2149</v>
      </c>
      <c r="B386">
        <v>44</v>
      </c>
      <c r="C386" t="s">
        <v>1389</v>
      </c>
      <c r="D386">
        <v>36450</v>
      </c>
      <c r="E386" t="s">
        <v>1218</v>
      </c>
    </row>
    <row r="387" spans="1:5" x14ac:dyDescent="0.2">
      <c r="A387">
        <v>1697</v>
      </c>
      <c r="B387">
        <v>83</v>
      </c>
      <c r="C387" t="s">
        <v>1391</v>
      </c>
      <c r="D387">
        <v>36460</v>
      </c>
      <c r="E387" t="s">
        <v>105</v>
      </c>
    </row>
    <row r="388" spans="1:5" x14ac:dyDescent="0.2">
      <c r="A388">
        <v>3212</v>
      </c>
      <c r="B388">
        <v>0</v>
      </c>
      <c r="C388" t="s">
        <v>1392</v>
      </c>
      <c r="D388">
        <v>37371</v>
      </c>
      <c r="E388" t="s">
        <v>117</v>
      </c>
    </row>
    <row r="389" spans="1:5" x14ac:dyDescent="0.2">
      <c r="A389">
        <v>2589</v>
      </c>
      <c r="B389">
        <v>20</v>
      </c>
      <c r="C389" t="s">
        <v>463</v>
      </c>
      <c r="D389">
        <v>36583</v>
      </c>
      <c r="E389" t="s">
        <v>112</v>
      </c>
    </row>
    <row r="390" spans="1:5" x14ac:dyDescent="0.2">
      <c r="A390">
        <v>3215</v>
      </c>
      <c r="B390">
        <v>0</v>
      </c>
      <c r="C390" t="s">
        <v>1393</v>
      </c>
      <c r="D390">
        <v>36578</v>
      </c>
      <c r="E390" t="s">
        <v>1394</v>
      </c>
    </row>
    <row r="391" spans="1:5" x14ac:dyDescent="0.2">
      <c r="A391">
        <v>1409</v>
      </c>
      <c r="B391">
        <v>130</v>
      </c>
      <c r="C391" t="s">
        <v>203</v>
      </c>
      <c r="D391">
        <v>36242</v>
      </c>
      <c r="E391" t="s">
        <v>105</v>
      </c>
    </row>
    <row r="392" spans="1:5" x14ac:dyDescent="0.2">
      <c r="A392">
        <v>1929</v>
      </c>
      <c r="B392">
        <v>58</v>
      </c>
      <c r="C392" t="s">
        <v>1395</v>
      </c>
      <c r="D392">
        <v>36391</v>
      </c>
      <c r="E392" t="s">
        <v>1162</v>
      </c>
    </row>
    <row r="393" spans="1:5" x14ac:dyDescent="0.2">
      <c r="A393">
        <v>1972</v>
      </c>
      <c r="B393">
        <v>54</v>
      </c>
      <c r="C393" t="s">
        <v>204</v>
      </c>
      <c r="D393">
        <v>36892</v>
      </c>
      <c r="E393" t="s">
        <v>163</v>
      </c>
    </row>
    <row r="394" spans="1:5" x14ac:dyDescent="0.2">
      <c r="A394">
        <v>2467</v>
      </c>
      <c r="B394">
        <v>26</v>
      </c>
      <c r="C394" t="s">
        <v>464</v>
      </c>
      <c r="D394">
        <v>37060</v>
      </c>
      <c r="E394" t="s">
        <v>165</v>
      </c>
    </row>
    <row r="395" spans="1:5" x14ac:dyDescent="0.2">
      <c r="A395">
        <v>3641</v>
      </c>
      <c r="B395">
        <v>0</v>
      </c>
      <c r="C395" t="s">
        <v>1396</v>
      </c>
      <c r="D395">
        <v>37159</v>
      </c>
      <c r="E395" t="s">
        <v>365</v>
      </c>
    </row>
    <row r="396" spans="1:5" x14ac:dyDescent="0.2">
      <c r="A396">
        <v>2485</v>
      </c>
      <c r="B396">
        <v>26</v>
      </c>
      <c r="C396" t="s">
        <v>1397</v>
      </c>
      <c r="D396">
        <v>36363</v>
      </c>
      <c r="E396" t="s">
        <v>165</v>
      </c>
    </row>
    <row r="397" spans="1:5" x14ac:dyDescent="0.2">
      <c r="A397">
        <v>3378</v>
      </c>
      <c r="B397">
        <v>0</v>
      </c>
      <c r="C397" t="s">
        <v>1399</v>
      </c>
      <c r="D397">
        <v>37276</v>
      </c>
      <c r="E397" t="s">
        <v>165</v>
      </c>
    </row>
    <row r="398" spans="1:5" x14ac:dyDescent="0.2">
      <c r="A398">
        <v>3005</v>
      </c>
      <c r="B398">
        <v>4</v>
      </c>
      <c r="C398" t="s">
        <v>1401</v>
      </c>
      <c r="D398">
        <v>36417</v>
      </c>
      <c r="E398" t="s">
        <v>120</v>
      </c>
    </row>
    <row r="399" spans="1:5" x14ac:dyDescent="0.2">
      <c r="A399">
        <v>2853</v>
      </c>
      <c r="B399">
        <v>9</v>
      </c>
      <c r="C399" t="s">
        <v>1402</v>
      </c>
      <c r="D399">
        <v>37488</v>
      </c>
      <c r="E399" t="s">
        <v>120</v>
      </c>
    </row>
    <row r="400" spans="1:5" x14ac:dyDescent="0.2">
      <c r="A400">
        <v>2168</v>
      </c>
      <c r="B400">
        <v>43</v>
      </c>
      <c r="C400" t="s">
        <v>782</v>
      </c>
      <c r="D400">
        <v>36543</v>
      </c>
      <c r="E400" t="s">
        <v>1367</v>
      </c>
    </row>
    <row r="401" spans="1:5" x14ac:dyDescent="0.2">
      <c r="A401">
        <v>3431</v>
      </c>
      <c r="B401">
        <v>0</v>
      </c>
      <c r="C401" t="s">
        <v>1403</v>
      </c>
      <c r="D401">
        <v>36651</v>
      </c>
      <c r="E401" t="s">
        <v>165</v>
      </c>
    </row>
    <row r="402" spans="1:5" x14ac:dyDescent="0.2">
      <c r="A402">
        <v>3122</v>
      </c>
      <c r="B402">
        <v>2</v>
      </c>
      <c r="C402" t="s">
        <v>1404</v>
      </c>
      <c r="D402">
        <v>37009</v>
      </c>
      <c r="E402" t="s">
        <v>120</v>
      </c>
    </row>
    <row r="403" spans="1:5" x14ac:dyDescent="0.2">
      <c r="A403">
        <v>1945</v>
      </c>
      <c r="B403">
        <v>56</v>
      </c>
      <c r="C403" t="s">
        <v>1405</v>
      </c>
      <c r="D403">
        <v>36487</v>
      </c>
      <c r="E403" t="s">
        <v>1121</v>
      </c>
    </row>
    <row r="404" spans="1:5" x14ac:dyDescent="0.2">
      <c r="A404">
        <v>2764</v>
      </c>
      <c r="B404">
        <v>12</v>
      </c>
      <c r="C404" t="s">
        <v>205</v>
      </c>
      <c r="D404">
        <v>36849</v>
      </c>
      <c r="E404" t="s">
        <v>1143</v>
      </c>
    </row>
    <row r="405" spans="1:5" x14ac:dyDescent="0.2">
      <c r="A405">
        <v>3207</v>
      </c>
      <c r="B405">
        <v>0</v>
      </c>
      <c r="C405" t="s">
        <v>1406</v>
      </c>
      <c r="D405">
        <v>37715</v>
      </c>
      <c r="E405" t="s">
        <v>117</v>
      </c>
    </row>
    <row r="406" spans="1:5" x14ac:dyDescent="0.2">
      <c r="A406">
        <v>2086</v>
      </c>
      <c r="B406">
        <v>47</v>
      </c>
      <c r="C406" t="s">
        <v>783</v>
      </c>
      <c r="D406">
        <v>37390</v>
      </c>
      <c r="E406" t="s">
        <v>179</v>
      </c>
    </row>
    <row r="407" spans="1:5" x14ac:dyDescent="0.2">
      <c r="A407">
        <v>1950</v>
      </c>
      <c r="B407">
        <v>56</v>
      </c>
      <c r="C407" t="s">
        <v>1407</v>
      </c>
      <c r="D407">
        <v>36854</v>
      </c>
      <c r="E407" t="s">
        <v>122</v>
      </c>
    </row>
    <row r="408" spans="1:5" x14ac:dyDescent="0.2">
      <c r="A408">
        <v>3237</v>
      </c>
      <c r="B408">
        <v>0</v>
      </c>
      <c r="C408" t="s">
        <v>1408</v>
      </c>
      <c r="D408">
        <v>36800</v>
      </c>
      <c r="E408" t="s">
        <v>133</v>
      </c>
    </row>
    <row r="409" spans="1:5" x14ac:dyDescent="0.2">
      <c r="A409">
        <v>3208</v>
      </c>
      <c r="B409">
        <v>0</v>
      </c>
      <c r="C409" t="s">
        <v>1409</v>
      </c>
      <c r="D409">
        <v>37380</v>
      </c>
      <c r="E409" t="s">
        <v>117</v>
      </c>
    </row>
    <row r="410" spans="1:5" x14ac:dyDescent="0.2">
      <c r="A410">
        <v>1696</v>
      </c>
      <c r="B410">
        <v>84</v>
      </c>
      <c r="C410" t="s">
        <v>1410</v>
      </c>
      <c r="D410">
        <v>36380</v>
      </c>
      <c r="E410" t="s">
        <v>74</v>
      </c>
    </row>
    <row r="411" spans="1:5" x14ac:dyDescent="0.2">
      <c r="A411">
        <v>3657</v>
      </c>
      <c r="B411">
        <v>0</v>
      </c>
      <c r="C411" t="s">
        <v>1411</v>
      </c>
      <c r="D411">
        <v>36786</v>
      </c>
      <c r="E411" t="s">
        <v>1089</v>
      </c>
    </row>
    <row r="412" spans="1:5" x14ac:dyDescent="0.2">
      <c r="A412">
        <v>1297</v>
      </c>
      <c r="B412">
        <v>148</v>
      </c>
      <c r="C412" t="s">
        <v>206</v>
      </c>
      <c r="D412">
        <v>36323</v>
      </c>
      <c r="E412" t="s">
        <v>74</v>
      </c>
    </row>
    <row r="413" spans="1:5" x14ac:dyDescent="0.2">
      <c r="A413">
        <v>2687</v>
      </c>
      <c r="B413">
        <v>16</v>
      </c>
      <c r="C413" t="s">
        <v>1412</v>
      </c>
      <c r="D413">
        <v>37094</v>
      </c>
      <c r="E413" t="s">
        <v>1214</v>
      </c>
    </row>
    <row r="414" spans="1:5" x14ac:dyDescent="0.2">
      <c r="A414">
        <v>3380</v>
      </c>
      <c r="B414">
        <v>0</v>
      </c>
      <c r="C414" t="s">
        <v>1413</v>
      </c>
      <c r="D414">
        <v>37341</v>
      </c>
      <c r="E414" t="s">
        <v>165</v>
      </c>
    </row>
    <row r="415" spans="1:5" x14ac:dyDescent="0.2">
      <c r="A415">
        <v>2723</v>
      </c>
      <c r="B415">
        <v>14</v>
      </c>
      <c r="C415" t="s">
        <v>1415</v>
      </c>
      <c r="D415">
        <v>36219</v>
      </c>
      <c r="E415" t="s">
        <v>111</v>
      </c>
    </row>
    <row r="416" spans="1:5" x14ac:dyDescent="0.2">
      <c r="A416">
        <v>2796</v>
      </c>
      <c r="B416">
        <v>11</v>
      </c>
      <c r="C416" t="s">
        <v>1416</v>
      </c>
      <c r="D416">
        <v>36716</v>
      </c>
      <c r="E416" t="s">
        <v>1178</v>
      </c>
    </row>
    <row r="417" spans="1:5" x14ac:dyDescent="0.2">
      <c r="A417">
        <v>3027</v>
      </c>
      <c r="B417">
        <v>4</v>
      </c>
      <c r="C417" t="s">
        <v>1417</v>
      </c>
      <c r="D417">
        <v>37470</v>
      </c>
      <c r="E417" t="s">
        <v>165</v>
      </c>
    </row>
    <row r="418" spans="1:5" x14ac:dyDescent="0.2">
      <c r="A418">
        <v>2343</v>
      </c>
      <c r="B418">
        <v>33</v>
      </c>
      <c r="C418" t="s">
        <v>1418</v>
      </c>
      <c r="D418">
        <v>36593</v>
      </c>
      <c r="E418" t="s">
        <v>1419</v>
      </c>
    </row>
    <row r="419" spans="1:5" x14ac:dyDescent="0.2">
      <c r="A419">
        <v>585</v>
      </c>
      <c r="B419">
        <v>417</v>
      </c>
      <c r="C419" t="s">
        <v>207</v>
      </c>
      <c r="D419">
        <v>36561</v>
      </c>
      <c r="E419" t="s">
        <v>832</v>
      </c>
    </row>
    <row r="420" spans="1:5" x14ac:dyDescent="0.2">
      <c r="A420">
        <v>2953</v>
      </c>
      <c r="B420">
        <v>6</v>
      </c>
      <c r="C420" t="s">
        <v>1420</v>
      </c>
      <c r="D420">
        <v>36191</v>
      </c>
      <c r="E420" t="s">
        <v>105</v>
      </c>
    </row>
    <row r="421" spans="1:5" x14ac:dyDescent="0.2">
      <c r="A421">
        <v>3482</v>
      </c>
      <c r="B421">
        <v>0</v>
      </c>
      <c r="C421" t="s">
        <v>1421</v>
      </c>
      <c r="D421">
        <v>36640</v>
      </c>
      <c r="E421" t="s">
        <v>105</v>
      </c>
    </row>
    <row r="422" spans="1:5" x14ac:dyDescent="0.2">
      <c r="A422">
        <v>3442</v>
      </c>
      <c r="B422">
        <v>0</v>
      </c>
      <c r="C422" t="s">
        <v>1422</v>
      </c>
      <c r="D422">
        <v>36526</v>
      </c>
      <c r="E422" t="s">
        <v>105</v>
      </c>
    </row>
    <row r="423" spans="1:5" x14ac:dyDescent="0.2">
      <c r="A423">
        <v>2553</v>
      </c>
      <c r="B423">
        <v>23</v>
      </c>
      <c r="C423" t="s">
        <v>1423</v>
      </c>
      <c r="D423">
        <v>36724</v>
      </c>
      <c r="E423" t="s">
        <v>103</v>
      </c>
    </row>
    <row r="424" spans="1:5" x14ac:dyDescent="0.2">
      <c r="A424">
        <v>1858</v>
      </c>
      <c r="B424">
        <v>65</v>
      </c>
      <c r="C424" t="s">
        <v>1424</v>
      </c>
      <c r="D424">
        <v>36563</v>
      </c>
      <c r="E424" t="s">
        <v>147</v>
      </c>
    </row>
    <row r="425" spans="1:5" x14ac:dyDescent="0.2">
      <c r="A425">
        <v>2017</v>
      </c>
      <c r="B425">
        <v>51</v>
      </c>
      <c r="C425" t="s">
        <v>1425</v>
      </c>
      <c r="D425">
        <v>36638</v>
      </c>
      <c r="E425" t="s">
        <v>128</v>
      </c>
    </row>
    <row r="426" spans="1:5" x14ac:dyDescent="0.2">
      <c r="A426">
        <v>3642</v>
      </c>
      <c r="B426">
        <v>0</v>
      </c>
      <c r="C426" t="s">
        <v>1426</v>
      </c>
      <c r="D426">
        <v>37070</v>
      </c>
      <c r="E426" t="s">
        <v>179</v>
      </c>
    </row>
    <row r="427" spans="1:5" x14ac:dyDescent="0.2">
      <c r="A427">
        <v>2273</v>
      </c>
      <c r="B427">
        <v>37</v>
      </c>
      <c r="C427" t="s">
        <v>1427</v>
      </c>
      <c r="D427">
        <v>36892</v>
      </c>
      <c r="E427" t="s">
        <v>1075</v>
      </c>
    </row>
    <row r="428" spans="1:5" x14ac:dyDescent="0.2">
      <c r="A428">
        <v>2807</v>
      </c>
      <c r="B428">
        <v>11</v>
      </c>
      <c r="C428" t="s">
        <v>1428</v>
      </c>
      <c r="D428">
        <v>36189</v>
      </c>
      <c r="E428" t="s">
        <v>1429</v>
      </c>
    </row>
    <row r="429" spans="1:5" x14ac:dyDescent="0.2">
      <c r="A429">
        <v>2748</v>
      </c>
      <c r="B429">
        <v>13</v>
      </c>
      <c r="C429" t="s">
        <v>1430</v>
      </c>
      <c r="D429">
        <v>37303</v>
      </c>
      <c r="E429" t="s">
        <v>113</v>
      </c>
    </row>
    <row r="430" spans="1:5" x14ac:dyDescent="0.2">
      <c r="A430">
        <v>1974</v>
      </c>
      <c r="B430">
        <v>54</v>
      </c>
      <c r="C430" t="s">
        <v>209</v>
      </c>
      <c r="D430">
        <v>37023</v>
      </c>
      <c r="E430" t="s">
        <v>105</v>
      </c>
    </row>
    <row r="431" spans="1:5" x14ac:dyDescent="0.2">
      <c r="A431">
        <v>1515</v>
      </c>
      <c r="B431">
        <v>109</v>
      </c>
      <c r="C431" t="s">
        <v>387</v>
      </c>
      <c r="D431">
        <v>36563</v>
      </c>
      <c r="E431" t="s">
        <v>120</v>
      </c>
    </row>
    <row r="432" spans="1:5" x14ac:dyDescent="0.2">
      <c r="A432">
        <v>1677</v>
      </c>
      <c r="B432">
        <v>86</v>
      </c>
      <c r="C432" t="s">
        <v>210</v>
      </c>
      <c r="D432">
        <v>36563</v>
      </c>
      <c r="E432" t="s">
        <v>105</v>
      </c>
    </row>
    <row r="433" spans="1:5" x14ac:dyDescent="0.2">
      <c r="A433">
        <v>3197</v>
      </c>
      <c r="B433">
        <v>0</v>
      </c>
      <c r="C433" t="s">
        <v>211</v>
      </c>
      <c r="D433">
        <v>36629</v>
      </c>
      <c r="E433" t="s">
        <v>110</v>
      </c>
    </row>
    <row r="434" spans="1:5" x14ac:dyDescent="0.2">
      <c r="A434">
        <v>3540</v>
      </c>
      <c r="B434">
        <v>0</v>
      </c>
      <c r="C434" t="s">
        <v>1432</v>
      </c>
      <c r="D434">
        <v>37111</v>
      </c>
      <c r="E434" t="s">
        <v>105</v>
      </c>
    </row>
    <row r="435" spans="1:5" x14ac:dyDescent="0.2">
      <c r="A435">
        <v>1829</v>
      </c>
      <c r="B435">
        <v>69</v>
      </c>
      <c r="C435" t="s">
        <v>658</v>
      </c>
      <c r="D435">
        <v>37407</v>
      </c>
      <c r="E435" t="s">
        <v>105</v>
      </c>
    </row>
    <row r="436" spans="1:5" x14ac:dyDescent="0.2">
      <c r="A436">
        <v>2103</v>
      </c>
      <c r="B436">
        <v>46</v>
      </c>
      <c r="C436" t="s">
        <v>1434</v>
      </c>
      <c r="D436">
        <v>36916</v>
      </c>
      <c r="E436" t="s">
        <v>1121</v>
      </c>
    </row>
    <row r="437" spans="1:5" x14ac:dyDescent="0.2">
      <c r="A437">
        <v>2061</v>
      </c>
      <c r="B437">
        <v>48</v>
      </c>
      <c r="C437" t="s">
        <v>1435</v>
      </c>
      <c r="D437">
        <v>36335</v>
      </c>
      <c r="E437" t="s">
        <v>1414</v>
      </c>
    </row>
    <row r="438" spans="1:5" x14ac:dyDescent="0.2">
      <c r="A438">
        <v>2662</v>
      </c>
      <c r="B438">
        <v>17</v>
      </c>
      <c r="C438" t="s">
        <v>1436</v>
      </c>
      <c r="D438">
        <v>36526</v>
      </c>
      <c r="E438" t="s">
        <v>137</v>
      </c>
    </row>
    <row r="439" spans="1:5" x14ac:dyDescent="0.2">
      <c r="A439">
        <v>3078</v>
      </c>
      <c r="B439">
        <v>3</v>
      </c>
      <c r="C439" t="s">
        <v>1437</v>
      </c>
      <c r="D439">
        <v>36219</v>
      </c>
      <c r="E439" t="s">
        <v>1165</v>
      </c>
    </row>
    <row r="440" spans="1:5" x14ac:dyDescent="0.2">
      <c r="A440">
        <v>2497</v>
      </c>
      <c r="B440">
        <v>25</v>
      </c>
      <c r="C440" t="s">
        <v>1438</v>
      </c>
      <c r="D440">
        <v>36280</v>
      </c>
      <c r="E440" t="s">
        <v>614</v>
      </c>
    </row>
    <row r="441" spans="1:5" x14ac:dyDescent="0.2">
      <c r="A441">
        <v>2341</v>
      </c>
      <c r="B441">
        <v>33</v>
      </c>
      <c r="C441" t="s">
        <v>465</v>
      </c>
      <c r="D441">
        <v>36934</v>
      </c>
      <c r="E441" t="s">
        <v>105</v>
      </c>
    </row>
    <row r="442" spans="1:5" x14ac:dyDescent="0.2">
      <c r="A442">
        <v>2217</v>
      </c>
      <c r="B442">
        <v>40</v>
      </c>
      <c r="C442" t="s">
        <v>1439</v>
      </c>
      <c r="D442">
        <v>36589</v>
      </c>
      <c r="E442" t="s">
        <v>257</v>
      </c>
    </row>
    <row r="443" spans="1:5" x14ac:dyDescent="0.2">
      <c r="A443">
        <v>3391</v>
      </c>
      <c r="B443">
        <v>0</v>
      </c>
      <c r="C443" t="s">
        <v>1440</v>
      </c>
      <c r="D443">
        <v>37173</v>
      </c>
      <c r="E443" t="s">
        <v>145</v>
      </c>
    </row>
    <row r="444" spans="1:5" x14ac:dyDescent="0.2">
      <c r="A444">
        <v>2809</v>
      </c>
      <c r="B444">
        <v>11</v>
      </c>
      <c r="C444" t="s">
        <v>1441</v>
      </c>
      <c r="D444">
        <v>37608</v>
      </c>
      <c r="E444" t="s">
        <v>105</v>
      </c>
    </row>
    <row r="445" spans="1:5" x14ac:dyDescent="0.2">
      <c r="A445">
        <v>2520</v>
      </c>
      <c r="B445">
        <v>24</v>
      </c>
      <c r="C445" t="s">
        <v>1442</v>
      </c>
      <c r="D445">
        <v>36729</v>
      </c>
      <c r="E445" t="s">
        <v>1129</v>
      </c>
    </row>
    <row r="446" spans="1:5" x14ac:dyDescent="0.2">
      <c r="A446">
        <v>2845</v>
      </c>
      <c r="B446">
        <v>9</v>
      </c>
      <c r="C446" t="s">
        <v>1443</v>
      </c>
      <c r="D446">
        <v>37066</v>
      </c>
      <c r="E446" t="s">
        <v>1129</v>
      </c>
    </row>
    <row r="447" spans="1:5" x14ac:dyDescent="0.2">
      <c r="A447">
        <v>3357</v>
      </c>
      <c r="B447">
        <v>0</v>
      </c>
      <c r="C447" t="s">
        <v>1444</v>
      </c>
      <c r="D447">
        <v>37163</v>
      </c>
      <c r="E447" t="s">
        <v>72</v>
      </c>
    </row>
    <row r="448" spans="1:5" x14ac:dyDescent="0.2">
      <c r="A448">
        <v>939</v>
      </c>
      <c r="B448">
        <v>238</v>
      </c>
      <c r="C448" t="s">
        <v>212</v>
      </c>
      <c r="D448">
        <v>36464</v>
      </c>
      <c r="E448" t="s">
        <v>99</v>
      </c>
    </row>
    <row r="449" spans="1:5" x14ac:dyDescent="0.2">
      <c r="A449">
        <v>1980</v>
      </c>
      <c r="B449">
        <v>54</v>
      </c>
      <c r="C449" t="s">
        <v>1445</v>
      </c>
      <c r="D449">
        <v>36676</v>
      </c>
      <c r="E449" t="s">
        <v>120</v>
      </c>
    </row>
    <row r="450" spans="1:5" x14ac:dyDescent="0.2">
      <c r="A450">
        <v>1928</v>
      </c>
      <c r="B450">
        <v>58</v>
      </c>
      <c r="C450" t="s">
        <v>1446</v>
      </c>
      <c r="D450">
        <v>37035</v>
      </c>
      <c r="E450" t="s">
        <v>176</v>
      </c>
    </row>
    <row r="451" spans="1:5" x14ac:dyDescent="0.2">
      <c r="A451">
        <v>2142</v>
      </c>
      <c r="B451">
        <v>44</v>
      </c>
      <c r="C451" t="s">
        <v>466</v>
      </c>
      <c r="D451">
        <v>36542</v>
      </c>
      <c r="E451" t="s">
        <v>1184</v>
      </c>
    </row>
    <row r="452" spans="1:5" x14ac:dyDescent="0.2">
      <c r="A452">
        <v>3289</v>
      </c>
      <c r="B452">
        <v>0</v>
      </c>
      <c r="C452" t="s">
        <v>1447</v>
      </c>
      <c r="D452">
        <v>37391</v>
      </c>
      <c r="E452" t="s">
        <v>99</v>
      </c>
    </row>
    <row r="453" spans="1:5" x14ac:dyDescent="0.2">
      <c r="A453">
        <v>3288</v>
      </c>
      <c r="B453">
        <v>0</v>
      </c>
      <c r="C453" t="s">
        <v>1448</v>
      </c>
      <c r="D453">
        <v>37391</v>
      </c>
      <c r="E453" t="s">
        <v>99</v>
      </c>
    </row>
    <row r="454" spans="1:5" x14ac:dyDescent="0.2">
      <c r="A454">
        <v>1310</v>
      </c>
      <c r="B454">
        <v>146</v>
      </c>
      <c r="C454" t="s">
        <v>1449</v>
      </c>
      <c r="D454">
        <v>36627</v>
      </c>
      <c r="E454" t="s">
        <v>1334</v>
      </c>
    </row>
    <row r="455" spans="1:5" x14ac:dyDescent="0.2">
      <c r="A455">
        <v>1804</v>
      </c>
      <c r="B455">
        <v>72</v>
      </c>
      <c r="C455" t="s">
        <v>1450</v>
      </c>
      <c r="D455">
        <v>36839</v>
      </c>
      <c r="E455" t="s">
        <v>1451</v>
      </c>
    </row>
    <row r="456" spans="1:5" x14ac:dyDescent="0.2">
      <c r="A456">
        <v>3513</v>
      </c>
      <c r="B456">
        <v>0</v>
      </c>
      <c r="C456" t="s">
        <v>1452</v>
      </c>
      <c r="D456">
        <v>36259</v>
      </c>
      <c r="E456" t="s">
        <v>105</v>
      </c>
    </row>
    <row r="457" spans="1:5" x14ac:dyDescent="0.2">
      <c r="A457">
        <v>1183</v>
      </c>
      <c r="B457">
        <v>170</v>
      </c>
      <c r="C457" t="s">
        <v>214</v>
      </c>
      <c r="D457">
        <v>36708</v>
      </c>
      <c r="E457" t="s">
        <v>1069</v>
      </c>
    </row>
    <row r="458" spans="1:5" x14ac:dyDescent="0.2">
      <c r="A458">
        <v>3248</v>
      </c>
      <c r="B458">
        <v>0</v>
      </c>
      <c r="C458" t="s">
        <v>1453</v>
      </c>
      <c r="D458">
        <v>36661</v>
      </c>
      <c r="E458" t="s">
        <v>175</v>
      </c>
    </row>
    <row r="459" spans="1:5" x14ac:dyDescent="0.2">
      <c r="A459">
        <v>1366</v>
      </c>
      <c r="B459">
        <v>137</v>
      </c>
      <c r="C459" t="s">
        <v>467</v>
      </c>
      <c r="D459">
        <v>36693</v>
      </c>
      <c r="E459" t="s">
        <v>74</v>
      </c>
    </row>
    <row r="460" spans="1:5" x14ac:dyDescent="0.2">
      <c r="A460">
        <v>2072</v>
      </c>
      <c r="B460">
        <v>47</v>
      </c>
      <c r="C460" t="s">
        <v>659</v>
      </c>
      <c r="D460">
        <v>36306</v>
      </c>
      <c r="E460" t="s">
        <v>1222</v>
      </c>
    </row>
    <row r="461" spans="1:5" x14ac:dyDescent="0.2">
      <c r="A461">
        <v>3294</v>
      </c>
      <c r="B461">
        <v>0</v>
      </c>
      <c r="C461" t="s">
        <v>1454</v>
      </c>
      <c r="D461">
        <v>37095</v>
      </c>
      <c r="E461" t="s">
        <v>99</v>
      </c>
    </row>
    <row r="462" spans="1:5" x14ac:dyDescent="0.2">
      <c r="A462">
        <v>3284</v>
      </c>
      <c r="B462">
        <v>0</v>
      </c>
      <c r="C462" t="s">
        <v>1455</v>
      </c>
      <c r="D462">
        <v>37506</v>
      </c>
      <c r="E462" t="s">
        <v>99</v>
      </c>
    </row>
    <row r="463" spans="1:5" x14ac:dyDescent="0.2">
      <c r="A463">
        <v>3090</v>
      </c>
      <c r="B463">
        <v>3</v>
      </c>
      <c r="C463" t="s">
        <v>1456</v>
      </c>
      <c r="D463">
        <v>37041</v>
      </c>
      <c r="E463" t="s">
        <v>120</v>
      </c>
    </row>
    <row r="464" spans="1:5" x14ac:dyDescent="0.2">
      <c r="A464">
        <v>2132</v>
      </c>
      <c r="B464">
        <v>45</v>
      </c>
      <c r="C464" t="s">
        <v>1457</v>
      </c>
      <c r="D464">
        <v>37696</v>
      </c>
      <c r="E464" t="s">
        <v>105</v>
      </c>
    </row>
    <row r="465" spans="1:5" x14ac:dyDescent="0.2">
      <c r="A465">
        <v>3160</v>
      </c>
      <c r="B465">
        <v>1</v>
      </c>
      <c r="C465" t="s">
        <v>1458</v>
      </c>
      <c r="D465">
        <v>37458</v>
      </c>
      <c r="E465" t="s">
        <v>139</v>
      </c>
    </row>
    <row r="466" spans="1:5" x14ac:dyDescent="0.2">
      <c r="A466">
        <v>1193</v>
      </c>
      <c r="B466">
        <v>169</v>
      </c>
      <c r="C466" t="s">
        <v>215</v>
      </c>
      <c r="D466">
        <v>36187</v>
      </c>
      <c r="E466" t="s">
        <v>1191</v>
      </c>
    </row>
    <row r="467" spans="1:5" x14ac:dyDescent="0.2">
      <c r="A467">
        <v>2435</v>
      </c>
      <c r="B467">
        <v>28</v>
      </c>
      <c r="C467" t="s">
        <v>468</v>
      </c>
      <c r="D467">
        <v>36674</v>
      </c>
      <c r="E467" t="s">
        <v>105</v>
      </c>
    </row>
    <row r="468" spans="1:5" x14ac:dyDescent="0.2">
      <c r="A468">
        <v>2821</v>
      </c>
      <c r="B468">
        <v>10</v>
      </c>
      <c r="C468" t="s">
        <v>1459</v>
      </c>
      <c r="D468">
        <v>36861</v>
      </c>
      <c r="E468" t="s">
        <v>170</v>
      </c>
    </row>
    <row r="469" spans="1:5" x14ac:dyDescent="0.2">
      <c r="A469">
        <v>2870</v>
      </c>
      <c r="B469">
        <v>9</v>
      </c>
      <c r="C469" t="s">
        <v>1460</v>
      </c>
      <c r="D469">
        <v>37345</v>
      </c>
      <c r="E469" t="s">
        <v>1186</v>
      </c>
    </row>
    <row r="470" spans="1:5" x14ac:dyDescent="0.2">
      <c r="A470">
        <v>2373</v>
      </c>
      <c r="B470">
        <v>32</v>
      </c>
      <c r="C470" t="s">
        <v>1461</v>
      </c>
      <c r="D470">
        <v>36952</v>
      </c>
      <c r="E470" t="s">
        <v>115</v>
      </c>
    </row>
    <row r="471" spans="1:5" x14ac:dyDescent="0.2">
      <c r="A471">
        <v>3614</v>
      </c>
      <c r="B471">
        <v>0</v>
      </c>
      <c r="C471" t="s">
        <v>1462</v>
      </c>
      <c r="D471">
        <v>37566</v>
      </c>
      <c r="E471" t="s">
        <v>1143</v>
      </c>
    </row>
    <row r="472" spans="1:5" x14ac:dyDescent="0.2">
      <c r="A472">
        <v>3186</v>
      </c>
      <c r="B472">
        <v>1</v>
      </c>
      <c r="C472" t="s">
        <v>1463</v>
      </c>
      <c r="D472">
        <v>37552</v>
      </c>
      <c r="E472" t="s">
        <v>105</v>
      </c>
    </row>
    <row r="473" spans="1:5" x14ac:dyDescent="0.2">
      <c r="A473">
        <v>2426</v>
      </c>
      <c r="B473">
        <v>29</v>
      </c>
      <c r="C473" t="s">
        <v>1464</v>
      </c>
      <c r="D473">
        <v>37562</v>
      </c>
      <c r="E473" t="s">
        <v>1069</v>
      </c>
    </row>
    <row r="474" spans="1:5" x14ac:dyDescent="0.2">
      <c r="A474">
        <v>2270</v>
      </c>
      <c r="B474">
        <v>37</v>
      </c>
      <c r="C474" t="s">
        <v>660</v>
      </c>
      <c r="D474">
        <v>36580</v>
      </c>
      <c r="E474" t="s">
        <v>1374</v>
      </c>
    </row>
    <row r="475" spans="1:5" x14ac:dyDescent="0.2">
      <c r="A475">
        <v>3421</v>
      </c>
      <c r="B475">
        <v>0</v>
      </c>
      <c r="C475" t="s">
        <v>1465</v>
      </c>
      <c r="D475">
        <v>36921</v>
      </c>
      <c r="E475" t="s">
        <v>119</v>
      </c>
    </row>
    <row r="476" spans="1:5" x14ac:dyDescent="0.2">
      <c r="A476">
        <v>1803</v>
      </c>
      <c r="B476">
        <v>72</v>
      </c>
      <c r="C476" t="s">
        <v>1466</v>
      </c>
      <c r="D476">
        <v>36589</v>
      </c>
      <c r="E476" t="s">
        <v>160</v>
      </c>
    </row>
    <row r="477" spans="1:5" x14ac:dyDescent="0.2">
      <c r="A477">
        <v>2565</v>
      </c>
      <c r="B477">
        <v>22</v>
      </c>
      <c r="C477" t="s">
        <v>1466</v>
      </c>
      <c r="D477">
        <v>37629</v>
      </c>
      <c r="E477" t="s">
        <v>109</v>
      </c>
    </row>
    <row r="478" spans="1:5" x14ac:dyDescent="0.2">
      <c r="A478">
        <v>2258</v>
      </c>
      <c r="B478">
        <v>38</v>
      </c>
      <c r="C478" t="s">
        <v>661</v>
      </c>
      <c r="D478">
        <v>36801</v>
      </c>
      <c r="E478" t="s">
        <v>1374</v>
      </c>
    </row>
    <row r="479" spans="1:5" x14ac:dyDescent="0.2">
      <c r="A479">
        <v>3604</v>
      </c>
      <c r="B479">
        <v>0</v>
      </c>
      <c r="C479" t="s">
        <v>1467</v>
      </c>
      <c r="D479">
        <v>37040</v>
      </c>
      <c r="E479" t="s">
        <v>120</v>
      </c>
    </row>
    <row r="480" spans="1:5" x14ac:dyDescent="0.2">
      <c r="A480">
        <v>1715</v>
      </c>
      <c r="B480">
        <v>82</v>
      </c>
      <c r="C480" t="s">
        <v>216</v>
      </c>
      <c r="D480">
        <v>36413</v>
      </c>
      <c r="E480" t="s">
        <v>469</v>
      </c>
    </row>
    <row r="481" spans="1:5" x14ac:dyDescent="0.2">
      <c r="A481">
        <v>2107</v>
      </c>
      <c r="B481">
        <v>46</v>
      </c>
      <c r="C481" t="s">
        <v>1468</v>
      </c>
      <c r="D481">
        <v>37215</v>
      </c>
      <c r="E481" t="s">
        <v>120</v>
      </c>
    </row>
    <row r="482" spans="1:5" x14ac:dyDescent="0.2">
      <c r="A482">
        <v>1752</v>
      </c>
      <c r="B482">
        <v>76</v>
      </c>
      <c r="C482" t="s">
        <v>1469</v>
      </c>
      <c r="D482">
        <v>37213</v>
      </c>
      <c r="E482" t="s">
        <v>120</v>
      </c>
    </row>
    <row r="483" spans="1:5" x14ac:dyDescent="0.2">
      <c r="A483">
        <v>3146</v>
      </c>
      <c r="B483">
        <v>1</v>
      </c>
      <c r="C483" t="s">
        <v>1470</v>
      </c>
      <c r="D483">
        <v>37189</v>
      </c>
      <c r="E483" t="s">
        <v>1139</v>
      </c>
    </row>
    <row r="484" spans="1:5" x14ac:dyDescent="0.2">
      <c r="A484">
        <v>1169</v>
      </c>
      <c r="B484">
        <v>174</v>
      </c>
      <c r="C484" t="s">
        <v>217</v>
      </c>
      <c r="D484">
        <v>36796</v>
      </c>
      <c r="E484" t="s">
        <v>105</v>
      </c>
    </row>
    <row r="485" spans="1:5" x14ac:dyDescent="0.2">
      <c r="A485">
        <v>3311</v>
      </c>
      <c r="B485">
        <v>0</v>
      </c>
      <c r="C485" t="s">
        <v>1471</v>
      </c>
      <c r="D485">
        <v>37426</v>
      </c>
      <c r="E485" t="s">
        <v>120</v>
      </c>
    </row>
    <row r="486" spans="1:5" x14ac:dyDescent="0.2">
      <c r="A486">
        <v>1631</v>
      </c>
      <c r="B486">
        <v>92</v>
      </c>
      <c r="C486" t="s">
        <v>784</v>
      </c>
      <c r="D486">
        <v>37191</v>
      </c>
      <c r="E486" t="s">
        <v>1367</v>
      </c>
    </row>
    <row r="487" spans="1:5" x14ac:dyDescent="0.2">
      <c r="A487">
        <v>1961</v>
      </c>
      <c r="B487">
        <v>55</v>
      </c>
      <c r="C487" t="s">
        <v>470</v>
      </c>
      <c r="D487">
        <v>36610</v>
      </c>
      <c r="E487" t="s">
        <v>105</v>
      </c>
    </row>
    <row r="488" spans="1:5" x14ac:dyDescent="0.2">
      <c r="A488">
        <v>2133</v>
      </c>
      <c r="B488">
        <v>45</v>
      </c>
      <c r="C488" t="s">
        <v>1472</v>
      </c>
      <c r="D488">
        <v>36826</v>
      </c>
      <c r="E488" t="s">
        <v>113</v>
      </c>
    </row>
    <row r="489" spans="1:5" x14ac:dyDescent="0.2">
      <c r="A489">
        <v>2367</v>
      </c>
      <c r="B489">
        <v>32</v>
      </c>
      <c r="C489" t="s">
        <v>1473</v>
      </c>
      <c r="D489">
        <v>36526</v>
      </c>
      <c r="E489" t="s">
        <v>251</v>
      </c>
    </row>
    <row r="490" spans="1:5" x14ac:dyDescent="0.2">
      <c r="A490">
        <v>2593</v>
      </c>
      <c r="B490">
        <v>20</v>
      </c>
      <c r="C490" t="s">
        <v>471</v>
      </c>
      <c r="D490">
        <v>36526</v>
      </c>
      <c r="E490" t="s">
        <v>1099</v>
      </c>
    </row>
    <row r="491" spans="1:5" x14ac:dyDescent="0.2">
      <c r="A491">
        <v>2933</v>
      </c>
      <c r="B491">
        <v>7</v>
      </c>
      <c r="C491" t="s">
        <v>471</v>
      </c>
      <c r="D491">
        <v>37444</v>
      </c>
      <c r="E491" t="s">
        <v>1107</v>
      </c>
    </row>
    <row r="492" spans="1:5" x14ac:dyDescent="0.2">
      <c r="A492">
        <v>1934</v>
      </c>
      <c r="B492">
        <v>57</v>
      </c>
      <c r="C492" t="s">
        <v>472</v>
      </c>
      <c r="D492">
        <v>36604</v>
      </c>
      <c r="E492" t="s">
        <v>110</v>
      </c>
    </row>
    <row r="493" spans="1:5" x14ac:dyDescent="0.2">
      <c r="A493">
        <v>2430</v>
      </c>
      <c r="B493">
        <v>29</v>
      </c>
      <c r="C493" t="s">
        <v>662</v>
      </c>
      <c r="D493">
        <v>37291</v>
      </c>
      <c r="E493" t="s">
        <v>1374</v>
      </c>
    </row>
    <row r="494" spans="1:5" x14ac:dyDescent="0.2">
      <c r="A494">
        <v>2092</v>
      </c>
      <c r="B494">
        <v>46</v>
      </c>
      <c r="C494" t="s">
        <v>388</v>
      </c>
      <c r="D494">
        <v>36341</v>
      </c>
      <c r="E494" t="s">
        <v>138</v>
      </c>
    </row>
    <row r="495" spans="1:5" x14ac:dyDescent="0.2">
      <c r="A495">
        <v>2412</v>
      </c>
      <c r="B495">
        <v>30</v>
      </c>
      <c r="C495" t="s">
        <v>1474</v>
      </c>
      <c r="D495">
        <v>37272</v>
      </c>
      <c r="E495" t="s">
        <v>1330</v>
      </c>
    </row>
    <row r="496" spans="1:5" x14ac:dyDescent="0.2">
      <c r="A496">
        <v>2169</v>
      </c>
      <c r="B496">
        <v>43</v>
      </c>
      <c r="C496" t="s">
        <v>1475</v>
      </c>
      <c r="D496">
        <v>37040</v>
      </c>
      <c r="E496" t="s">
        <v>120</v>
      </c>
    </row>
    <row r="497" spans="1:5" x14ac:dyDescent="0.2">
      <c r="A497">
        <v>670</v>
      </c>
      <c r="B497">
        <v>356</v>
      </c>
      <c r="C497" t="s">
        <v>218</v>
      </c>
      <c r="D497">
        <v>36336</v>
      </c>
      <c r="E497" t="s">
        <v>105</v>
      </c>
    </row>
    <row r="498" spans="1:5" x14ac:dyDescent="0.2">
      <c r="A498">
        <v>3691</v>
      </c>
      <c r="B498">
        <v>0</v>
      </c>
      <c r="C498" t="s">
        <v>1476</v>
      </c>
      <c r="D498">
        <v>37226</v>
      </c>
      <c r="E498" t="s">
        <v>105</v>
      </c>
    </row>
    <row r="499" spans="1:5" x14ac:dyDescent="0.2">
      <c r="A499">
        <v>2433</v>
      </c>
      <c r="B499">
        <v>29</v>
      </c>
      <c r="C499" t="s">
        <v>1477</v>
      </c>
      <c r="D499">
        <v>37307</v>
      </c>
      <c r="E499" t="s">
        <v>1078</v>
      </c>
    </row>
    <row r="500" spans="1:5" x14ac:dyDescent="0.2">
      <c r="A500">
        <v>3613</v>
      </c>
      <c r="B500">
        <v>0</v>
      </c>
      <c r="C500" t="s">
        <v>1478</v>
      </c>
      <c r="D500">
        <v>36586</v>
      </c>
      <c r="E500" t="s">
        <v>105</v>
      </c>
    </row>
    <row r="501" spans="1:5" x14ac:dyDescent="0.2">
      <c r="A501">
        <v>2832</v>
      </c>
      <c r="B501">
        <v>10</v>
      </c>
      <c r="C501" t="s">
        <v>1479</v>
      </c>
      <c r="D501">
        <v>36869</v>
      </c>
      <c r="E501" t="s">
        <v>111</v>
      </c>
    </row>
    <row r="502" spans="1:5" x14ac:dyDescent="0.2">
      <c r="A502">
        <v>2760</v>
      </c>
      <c r="B502">
        <v>12</v>
      </c>
      <c r="C502" t="s">
        <v>389</v>
      </c>
      <c r="D502">
        <v>37474</v>
      </c>
      <c r="E502" t="s">
        <v>1143</v>
      </c>
    </row>
    <row r="503" spans="1:5" x14ac:dyDescent="0.2">
      <c r="A503">
        <v>2386</v>
      </c>
      <c r="B503">
        <v>31</v>
      </c>
      <c r="C503" t="s">
        <v>1480</v>
      </c>
      <c r="D503">
        <v>36863</v>
      </c>
      <c r="E503" t="s">
        <v>105</v>
      </c>
    </row>
    <row r="504" spans="1:5" x14ac:dyDescent="0.2">
      <c r="A504">
        <v>2424</v>
      </c>
      <c r="B504">
        <v>29</v>
      </c>
      <c r="C504" t="s">
        <v>1481</v>
      </c>
      <c r="D504">
        <v>37011</v>
      </c>
      <c r="E504" t="s">
        <v>227</v>
      </c>
    </row>
    <row r="505" spans="1:5" x14ac:dyDescent="0.2">
      <c r="A505">
        <v>1684</v>
      </c>
      <c r="B505">
        <v>86</v>
      </c>
      <c r="C505" t="s">
        <v>1482</v>
      </c>
      <c r="D505">
        <v>36813</v>
      </c>
      <c r="E505" t="s">
        <v>227</v>
      </c>
    </row>
    <row r="506" spans="1:5" x14ac:dyDescent="0.2">
      <c r="A506">
        <v>2237</v>
      </c>
      <c r="B506">
        <v>39</v>
      </c>
      <c r="C506" t="s">
        <v>1483</v>
      </c>
      <c r="D506">
        <v>36651</v>
      </c>
      <c r="E506" t="s">
        <v>105</v>
      </c>
    </row>
    <row r="507" spans="1:5" x14ac:dyDescent="0.2">
      <c r="A507">
        <v>2556</v>
      </c>
      <c r="B507">
        <v>22</v>
      </c>
      <c r="C507" t="s">
        <v>219</v>
      </c>
      <c r="D507">
        <v>36833</v>
      </c>
      <c r="E507" t="s">
        <v>128</v>
      </c>
    </row>
    <row r="508" spans="1:5" x14ac:dyDescent="0.2">
      <c r="A508">
        <v>2542</v>
      </c>
      <c r="B508">
        <v>23</v>
      </c>
      <c r="C508" t="s">
        <v>221</v>
      </c>
      <c r="D508">
        <v>36566</v>
      </c>
      <c r="E508" t="s">
        <v>120</v>
      </c>
    </row>
    <row r="509" spans="1:5" x14ac:dyDescent="0.2">
      <c r="A509">
        <v>2978</v>
      </c>
      <c r="B509">
        <v>5</v>
      </c>
      <c r="C509" t="s">
        <v>1484</v>
      </c>
      <c r="D509">
        <v>37107</v>
      </c>
      <c r="E509" t="s">
        <v>1485</v>
      </c>
    </row>
    <row r="510" spans="1:5" x14ac:dyDescent="0.2">
      <c r="A510">
        <v>1292</v>
      </c>
      <c r="B510">
        <v>149</v>
      </c>
      <c r="C510" t="s">
        <v>223</v>
      </c>
      <c r="D510">
        <v>36174</v>
      </c>
      <c r="E510" t="s">
        <v>105</v>
      </c>
    </row>
    <row r="511" spans="1:5" x14ac:dyDescent="0.2">
      <c r="A511">
        <v>2739</v>
      </c>
      <c r="B511">
        <v>13</v>
      </c>
      <c r="C511" t="s">
        <v>1486</v>
      </c>
      <c r="D511">
        <v>37529</v>
      </c>
      <c r="E511" t="s">
        <v>104</v>
      </c>
    </row>
    <row r="512" spans="1:5" x14ac:dyDescent="0.2">
      <c r="A512">
        <v>3418</v>
      </c>
      <c r="B512">
        <v>0</v>
      </c>
      <c r="C512" t="s">
        <v>1487</v>
      </c>
      <c r="D512">
        <v>37257</v>
      </c>
      <c r="E512" t="s">
        <v>74</v>
      </c>
    </row>
    <row r="513" spans="1:5" x14ac:dyDescent="0.2">
      <c r="A513">
        <v>1986</v>
      </c>
      <c r="B513">
        <v>53</v>
      </c>
      <c r="C513" t="s">
        <v>224</v>
      </c>
      <c r="D513">
        <v>36402</v>
      </c>
      <c r="E513" t="s">
        <v>1143</v>
      </c>
    </row>
    <row r="514" spans="1:5" x14ac:dyDescent="0.2">
      <c r="A514">
        <v>2765</v>
      </c>
      <c r="B514">
        <v>12</v>
      </c>
      <c r="C514" t="s">
        <v>225</v>
      </c>
      <c r="D514">
        <v>36833</v>
      </c>
      <c r="E514" t="s">
        <v>128</v>
      </c>
    </row>
    <row r="515" spans="1:5" x14ac:dyDescent="0.2">
      <c r="A515">
        <v>2288</v>
      </c>
      <c r="B515">
        <v>36</v>
      </c>
      <c r="C515" t="s">
        <v>1488</v>
      </c>
      <c r="D515">
        <v>37140</v>
      </c>
      <c r="E515" t="s">
        <v>1218</v>
      </c>
    </row>
    <row r="516" spans="1:5" x14ac:dyDescent="0.2">
      <c r="A516">
        <v>812</v>
      </c>
      <c r="B516">
        <v>292</v>
      </c>
      <c r="C516" t="s">
        <v>226</v>
      </c>
      <c r="D516">
        <v>36294</v>
      </c>
      <c r="E516" t="s">
        <v>72</v>
      </c>
    </row>
    <row r="517" spans="1:5" x14ac:dyDescent="0.2">
      <c r="A517">
        <v>1426</v>
      </c>
      <c r="B517">
        <v>128</v>
      </c>
      <c r="C517" t="s">
        <v>473</v>
      </c>
      <c r="D517">
        <v>36538</v>
      </c>
      <c r="E517" t="s">
        <v>113</v>
      </c>
    </row>
    <row r="518" spans="1:5" x14ac:dyDescent="0.2">
      <c r="A518">
        <v>3488</v>
      </c>
      <c r="B518">
        <v>0</v>
      </c>
      <c r="C518" t="s">
        <v>1489</v>
      </c>
      <c r="D518">
        <v>37279</v>
      </c>
      <c r="E518" t="s">
        <v>183</v>
      </c>
    </row>
    <row r="519" spans="1:5" x14ac:dyDescent="0.2">
      <c r="A519">
        <v>2031</v>
      </c>
      <c r="B519">
        <v>50</v>
      </c>
      <c r="C519" t="s">
        <v>1490</v>
      </c>
      <c r="D519">
        <v>36491</v>
      </c>
      <c r="E519" t="s">
        <v>1491</v>
      </c>
    </row>
    <row r="520" spans="1:5" x14ac:dyDescent="0.2">
      <c r="A520">
        <v>2682</v>
      </c>
      <c r="B520">
        <v>16</v>
      </c>
      <c r="C520" t="s">
        <v>1492</v>
      </c>
      <c r="D520">
        <v>37056</v>
      </c>
      <c r="E520" t="s">
        <v>1239</v>
      </c>
    </row>
    <row r="521" spans="1:5" x14ac:dyDescent="0.2">
      <c r="A521">
        <v>2729</v>
      </c>
      <c r="B521">
        <v>14</v>
      </c>
      <c r="C521" t="s">
        <v>1493</v>
      </c>
      <c r="D521">
        <v>36729</v>
      </c>
      <c r="E521" t="s">
        <v>1494</v>
      </c>
    </row>
    <row r="522" spans="1:5" x14ac:dyDescent="0.2">
      <c r="A522">
        <v>2185</v>
      </c>
      <c r="B522">
        <v>42</v>
      </c>
      <c r="C522" t="s">
        <v>474</v>
      </c>
      <c r="D522">
        <v>36567</v>
      </c>
      <c r="E522" t="s">
        <v>1069</v>
      </c>
    </row>
    <row r="523" spans="1:5" x14ac:dyDescent="0.2">
      <c r="A523">
        <v>2012</v>
      </c>
      <c r="B523">
        <v>51</v>
      </c>
      <c r="C523" t="s">
        <v>475</v>
      </c>
      <c r="D523">
        <v>36722</v>
      </c>
      <c r="E523" t="s">
        <v>1121</v>
      </c>
    </row>
    <row r="524" spans="1:5" x14ac:dyDescent="0.2">
      <c r="A524">
        <v>2527</v>
      </c>
      <c r="B524">
        <v>24</v>
      </c>
      <c r="C524" t="s">
        <v>1495</v>
      </c>
      <c r="D524">
        <v>36734</v>
      </c>
      <c r="E524" t="s">
        <v>1148</v>
      </c>
    </row>
    <row r="525" spans="1:5" x14ac:dyDescent="0.2">
      <c r="A525">
        <v>2642</v>
      </c>
      <c r="B525">
        <v>18</v>
      </c>
      <c r="C525" t="s">
        <v>1496</v>
      </c>
      <c r="D525">
        <v>36526</v>
      </c>
      <c r="E525" t="s">
        <v>1497</v>
      </c>
    </row>
    <row r="526" spans="1:5" x14ac:dyDescent="0.2">
      <c r="A526">
        <v>3055</v>
      </c>
      <c r="B526">
        <v>4</v>
      </c>
      <c r="C526" t="s">
        <v>1498</v>
      </c>
      <c r="D526">
        <v>37415</v>
      </c>
      <c r="E526" t="s">
        <v>105</v>
      </c>
    </row>
    <row r="527" spans="1:5" x14ac:dyDescent="0.2">
      <c r="A527">
        <v>3464</v>
      </c>
      <c r="B527">
        <v>0</v>
      </c>
      <c r="C527" t="s">
        <v>1499</v>
      </c>
      <c r="D527">
        <v>37011</v>
      </c>
      <c r="E527" t="s">
        <v>105</v>
      </c>
    </row>
    <row r="528" spans="1:5" x14ac:dyDescent="0.2">
      <c r="A528">
        <v>3109</v>
      </c>
      <c r="B528">
        <v>2</v>
      </c>
      <c r="C528" t="s">
        <v>1500</v>
      </c>
      <c r="D528">
        <v>37185</v>
      </c>
      <c r="E528" t="s">
        <v>165</v>
      </c>
    </row>
    <row r="529" spans="1:5" x14ac:dyDescent="0.2">
      <c r="A529">
        <v>3251</v>
      </c>
      <c r="B529">
        <v>0</v>
      </c>
      <c r="C529" t="s">
        <v>1501</v>
      </c>
      <c r="D529">
        <v>37436</v>
      </c>
      <c r="E529" t="s">
        <v>1502</v>
      </c>
    </row>
    <row r="530" spans="1:5" x14ac:dyDescent="0.2">
      <c r="A530">
        <v>3275</v>
      </c>
      <c r="B530">
        <v>0</v>
      </c>
      <c r="C530" t="s">
        <v>1503</v>
      </c>
      <c r="D530">
        <v>37021</v>
      </c>
      <c r="E530" t="s">
        <v>133</v>
      </c>
    </row>
    <row r="531" spans="1:5" x14ac:dyDescent="0.2">
      <c r="A531">
        <v>3401</v>
      </c>
      <c r="B531">
        <v>0</v>
      </c>
      <c r="C531" t="s">
        <v>1504</v>
      </c>
      <c r="D531">
        <v>36653</v>
      </c>
      <c r="E531" t="s">
        <v>120</v>
      </c>
    </row>
    <row r="532" spans="1:5" x14ac:dyDescent="0.2">
      <c r="A532">
        <v>2550</v>
      </c>
      <c r="B532">
        <v>23</v>
      </c>
      <c r="C532" t="s">
        <v>1505</v>
      </c>
      <c r="D532">
        <v>37209</v>
      </c>
      <c r="E532" t="s">
        <v>1506</v>
      </c>
    </row>
    <row r="533" spans="1:5" x14ac:dyDescent="0.2">
      <c r="A533">
        <v>3290</v>
      </c>
      <c r="B533">
        <v>0</v>
      </c>
      <c r="C533" t="s">
        <v>1507</v>
      </c>
      <c r="D533">
        <v>36349</v>
      </c>
      <c r="E533" t="s">
        <v>120</v>
      </c>
    </row>
    <row r="534" spans="1:5" x14ac:dyDescent="0.2">
      <c r="A534">
        <v>2263</v>
      </c>
      <c r="B534">
        <v>37</v>
      </c>
      <c r="C534" t="s">
        <v>476</v>
      </c>
      <c r="D534">
        <v>36882</v>
      </c>
      <c r="E534" t="s">
        <v>105</v>
      </c>
    </row>
    <row r="535" spans="1:5" x14ac:dyDescent="0.2">
      <c r="A535">
        <v>2649</v>
      </c>
      <c r="B535">
        <v>18</v>
      </c>
      <c r="C535" t="s">
        <v>1508</v>
      </c>
      <c r="D535">
        <v>36615</v>
      </c>
      <c r="E535" t="s">
        <v>138</v>
      </c>
    </row>
    <row r="536" spans="1:5" x14ac:dyDescent="0.2">
      <c r="A536">
        <v>2120</v>
      </c>
      <c r="B536">
        <v>45</v>
      </c>
      <c r="C536" t="s">
        <v>228</v>
      </c>
      <c r="D536">
        <v>36540</v>
      </c>
      <c r="E536" t="s">
        <v>183</v>
      </c>
    </row>
    <row r="537" spans="1:5" x14ac:dyDescent="0.2">
      <c r="A537">
        <v>3110</v>
      </c>
      <c r="B537">
        <v>2</v>
      </c>
      <c r="C537" t="s">
        <v>1509</v>
      </c>
      <c r="D537">
        <v>36209</v>
      </c>
      <c r="E537" t="s">
        <v>1354</v>
      </c>
    </row>
    <row r="538" spans="1:5" x14ac:dyDescent="0.2">
      <c r="A538">
        <v>2214</v>
      </c>
      <c r="B538">
        <v>40</v>
      </c>
      <c r="C538" t="s">
        <v>1510</v>
      </c>
      <c r="D538">
        <v>36321</v>
      </c>
      <c r="E538" t="s">
        <v>107</v>
      </c>
    </row>
    <row r="539" spans="1:5" x14ac:dyDescent="0.2">
      <c r="A539">
        <v>1828</v>
      </c>
      <c r="B539">
        <v>69</v>
      </c>
      <c r="C539" t="s">
        <v>229</v>
      </c>
      <c r="D539">
        <v>36275</v>
      </c>
      <c r="E539" t="s">
        <v>1121</v>
      </c>
    </row>
    <row r="540" spans="1:5" x14ac:dyDescent="0.2">
      <c r="A540">
        <v>2737</v>
      </c>
      <c r="B540">
        <v>13</v>
      </c>
      <c r="C540" t="s">
        <v>1511</v>
      </c>
      <c r="D540">
        <v>36607</v>
      </c>
      <c r="E540" t="s">
        <v>105</v>
      </c>
    </row>
    <row r="541" spans="1:5" x14ac:dyDescent="0.2">
      <c r="A541">
        <v>2710</v>
      </c>
      <c r="B541">
        <v>15</v>
      </c>
      <c r="C541" t="s">
        <v>1512</v>
      </c>
      <c r="D541">
        <v>36233</v>
      </c>
      <c r="E541" t="s">
        <v>1269</v>
      </c>
    </row>
    <row r="542" spans="1:5" x14ac:dyDescent="0.2">
      <c r="A542">
        <v>3526</v>
      </c>
      <c r="B542">
        <v>0</v>
      </c>
      <c r="C542" t="s">
        <v>1513</v>
      </c>
      <c r="D542">
        <v>36526</v>
      </c>
      <c r="E542" t="s">
        <v>128</v>
      </c>
    </row>
    <row r="543" spans="1:5" x14ac:dyDescent="0.2">
      <c r="A543">
        <v>2190</v>
      </c>
      <c r="B543">
        <v>42</v>
      </c>
      <c r="C543" t="s">
        <v>1514</v>
      </c>
      <c r="D543">
        <v>36464</v>
      </c>
      <c r="E543" t="s">
        <v>1515</v>
      </c>
    </row>
    <row r="544" spans="1:5" x14ac:dyDescent="0.2">
      <c r="A544">
        <v>3119</v>
      </c>
      <c r="B544">
        <v>2</v>
      </c>
      <c r="C544" t="s">
        <v>1517</v>
      </c>
      <c r="D544">
        <v>37562</v>
      </c>
      <c r="E544" t="s">
        <v>1186</v>
      </c>
    </row>
    <row r="545" spans="1:5" x14ac:dyDescent="0.2">
      <c r="A545">
        <v>2176</v>
      </c>
      <c r="B545">
        <v>43</v>
      </c>
      <c r="C545" t="s">
        <v>785</v>
      </c>
      <c r="D545">
        <v>36854</v>
      </c>
      <c r="E545" t="s">
        <v>110</v>
      </c>
    </row>
    <row r="546" spans="1:5" x14ac:dyDescent="0.2">
      <c r="A546">
        <v>3615</v>
      </c>
      <c r="B546">
        <v>0</v>
      </c>
      <c r="C546" t="s">
        <v>1518</v>
      </c>
      <c r="D546">
        <v>37087</v>
      </c>
      <c r="E546" t="s">
        <v>1155</v>
      </c>
    </row>
    <row r="547" spans="1:5" x14ac:dyDescent="0.2">
      <c r="A547">
        <v>1890</v>
      </c>
      <c r="B547">
        <v>61</v>
      </c>
      <c r="C547" t="s">
        <v>390</v>
      </c>
      <c r="D547">
        <v>36582</v>
      </c>
      <c r="E547" t="s">
        <v>1107</v>
      </c>
    </row>
    <row r="548" spans="1:5" x14ac:dyDescent="0.2">
      <c r="A548">
        <v>2007</v>
      </c>
      <c r="B548">
        <v>52</v>
      </c>
      <c r="C548" t="s">
        <v>786</v>
      </c>
      <c r="D548">
        <v>36696</v>
      </c>
      <c r="E548" t="s">
        <v>118</v>
      </c>
    </row>
    <row r="549" spans="1:5" x14ac:dyDescent="0.2">
      <c r="A549">
        <v>2785</v>
      </c>
      <c r="B549">
        <v>12</v>
      </c>
      <c r="C549" t="s">
        <v>1520</v>
      </c>
      <c r="D549">
        <v>36509</v>
      </c>
      <c r="E549" t="s">
        <v>1121</v>
      </c>
    </row>
    <row r="550" spans="1:5" x14ac:dyDescent="0.2">
      <c r="A550">
        <v>1134</v>
      </c>
      <c r="B550">
        <v>183</v>
      </c>
      <c r="C550" t="s">
        <v>230</v>
      </c>
      <c r="D550">
        <v>36709</v>
      </c>
      <c r="E550" t="s">
        <v>231</v>
      </c>
    </row>
    <row r="551" spans="1:5" x14ac:dyDescent="0.2">
      <c r="A551">
        <v>2545</v>
      </c>
      <c r="B551">
        <v>23</v>
      </c>
      <c r="C551" t="s">
        <v>663</v>
      </c>
      <c r="D551">
        <v>36908</v>
      </c>
      <c r="E551" t="s">
        <v>1374</v>
      </c>
    </row>
    <row r="552" spans="1:5" x14ac:dyDescent="0.2">
      <c r="A552">
        <v>2248</v>
      </c>
      <c r="B552">
        <v>38</v>
      </c>
      <c r="C552" t="s">
        <v>477</v>
      </c>
      <c r="D552">
        <v>36551</v>
      </c>
      <c r="E552" t="s">
        <v>73</v>
      </c>
    </row>
    <row r="553" spans="1:5" x14ac:dyDescent="0.2">
      <c r="A553">
        <v>2371</v>
      </c>
      <c r="B553">
        <v>32</v>
      </c>
      <c r="C553" t="s">
        <v>664</v>
      </c>
      <c r="D553">
        <v>36954</v>
      </c>
      <c r="E553" t="s">
        <v>241</v>
      </c>
    </row>
    <row r="554" spans="1:5" x14ac:dyDescent="0.2">
      <c r="A554">
        <v>3271</v>
      </c>
      <c r="B554">
        <v>0</v>
      </c>
      <c r="C554" t="s">
        <v>1521</v>
      </c>
      <c r="D554">
        <v>36950</v>
      </c>
      <c r="E554" t="s">
        <v>133</v>
      </c>
    </row>
    <row r="555" spans="1:5" x14ac:dyDescent="0.2">
      <c r="A555">
        <v>2159</v>
      </c>
      <c r="B555">
        <v>43</v>
      </c>
      <c r="C555" t="s">
        <v>478</v>
      </c>
      <c r="D555">
        <v>37257</v>
      </c>
      <c r="E555" t="s">
        <v>120</v>
      </c>
    </row>
    <row r="556" spans="1:5" x14ac:dyDescent="0.2">
      <c r="A556">
        <v>3037</v>
      </c>
      <c r="B556">
        <v>4</v>
      </c>
      <c r="C556" t="s">
        <v>1522</v>
      </c>
      <c r="D556">
        <v>36711</v>
      </c>
      <c r="E556" t="s">
        <v>1091</v>
      </c>
    </row>
    <row r="557" spans="1:5" x14ac:dyDescent="0.2">
      <c r="A557">
        <v>1419</v>
      </c>
      <c r="B557">
        <v>129</v>
      </c>
      <c r="C557" t="s">
        <v>787</v>
      </c>
      <c r="D557">
        <v>36660</v>
      </c>
      <c r="E557" t="s">
        <v>365</v>
      </c>
    </row>
    <row r="558" spans="1:5" x14ac:dyDescent="0.2">
      <c r="A558">
        <v>2834</v>
      </c>
      <c r="B558">
        <v>10</v>
      </c>
      <c r="C558" t="s">
        <v>1523</v>
      </c>
      <c r="D558">
        <v>37043</v>
      </c>
      <c r="E558" t="s">
        <v>365</v>
      </c>
    </row>
    <row r="559" spans="1:5" x14ac:dyDescent="0.2">
      <c r="A559">
        <v>3333</v>
      </c>
      <c r="B559">
        <v>0</v>
      </c>
      <c r="C559" t="s">
        <v>1524</v>
      </c>
      <c r="D559">
        <v>38010</v>
      </c>
      <c r="E559" t="s">
        <v>469</v>
      </c>
    </row>
    <row r="560" spans="1:5" x14ac:dyDescent="0.2">
      <c r="A560">
        <v>2271</v>
      </c>
      <c r="B560">
        <v>37</v>
      </c>
      <c r="C560" t="s">
        <v>1525</v>
      </c>
      <c r="D560">
        <v>36215</v>
      </c>
      <c r="E560" t="s">
        <v>120</v>
      </c>
    </row>
    <row r="561" spans="1:5" x14ac:dyDescent="0.2">
      <c r="A561">
        <v>3645</v>
      </c>
      <c r="B561">
        <v>0</v>
      </c>
      <c r="C561" t="s">
        <v>1526</v>
      </c>
      <c r="D561">
        <v>36760</v>
      </c>
      <c r="E561" t="s">
        <v>105</v>
      </c>
    </row>
    <row r="562" spans="1:5" x14ac:dyDescent="0.2">
      <c r="A562">
        <v>2280</v>
      </c>
      <c r="B562">
        <v>36</v>
      </c>
      <c r="C562" t="s">
        <v>232</v>
      </c>
      <c r="D562">
        <v>36650</v>
      </c>
      <c r="E562" t="s">
        <v>105</v>
      </c>
    </row>
    <row r="563" spans="1:5" x14ac:dyDescent="0.2">
      <c r="A563">
        <v>2561</v>
      </c>
      <c r="B563">
        <v>22</v>
      </c>
      <c r="C563" t="s">
        <v>665</v>
      </c>
      <c r="D563">
        <v>37309</v>
      </c>
      <c r="E563" t="s">
        <v>1193</v>
      </c>
    </row>
    <row r="564" spans="1:5" x14ac:dyDescent="0.2">
      <c r="A564">
        <v>2986</v>
      </c>
      <c r="B564">
        <v>5</v>
      </c>
      <c r="C564" t="s">
        <v>1527</v>
      </c>
      <c r="D564">
        <v>36892</v>
      </c>
      <c r="E564" t="s">
        <v>1485</v>
      </c>
    </row>
    <row r="565" spans="1:5" x14ac:dyDescent="0.2">
      <c r="A565">
        <v>1584</v>
      </c>
      <c r="B565">
        <v>98</v>
      </c>
      <c r="C565" t="s">
        <v>479</v>
      </c>
      <c r="D565">
        <v>36479</v>
      </c>
      <c r="E565" t="s">
        <v>105</v>
      </c>
    </row>
    <row r="566" spans="1:5" x14ac:dyDescent="0.2">
      <c r="A566">
        <v>3530</v>
      </c>
      <c r="B566">
        <v>0</v>
      </c>
      <c r="C566" t="s">
        <v>1528</v>
      </c>
      <c r="D566">
        <v>37158</v>
      </c>
      <c r="E566" t="s">
        <v>200</v>
      </c>
    </row>
    <row r="567" spans="1:5" x14ac:dyDescent="0.2">
      <c r="A567">
        <v>2044</v>
      </c>
      <c r="B567">
        <v>49</v>
      </c>
      <c r="C567" t="s">
        <v>788</v>
      </c>
      <c r="D567">
        <v>36587</v>
      </c>
      <c r="E567" t="s">
        <v>132</v>
      </c>
    </row>
    <row r="568" spans="1:5" x14ac:dyDescent="0.2">
      <c r="A568">
        <v>2994</v>
      </c>
      <c r="B568">
        <v>5</v>
      </c>
      <c r="C568" t="s">
        <v>1529</v>
      </c>
      <c r="D568">
        <v>36588</v>
      </c>
      <c r="E568" t="s">
        <v>74</v>
      </c>
    </row>
    <row r="569" spans="1:5" x14ac:dyDescent="0.2">
      <c r="A569">
        <v>1207</v>
      </c>
      <c r="B569">
        <v>167</v>
      </c>
      <c r="C569" t="s">
        <v>233</v>
      </c>
      <c r="D569">
        <v>36732</v>
      </c>
      <c r="E569" t="s">
        <v>99</v>
      </c>
    </row>
    <row r="570" spans="1:5" x14ac:dyDescent="0.2">
      <c r="A570">
        <v>2490</v>
      </c>
      <c r="B570">
        <v>26</v>
      </c>
      <c r="C570" t="s">
        <v>1530</v>
      </c>
      <c r="D570">
        <v>36846</v>
      </c>
      <c r="E570" t="s">
        <v>105</v>
      </c>
    </row>
    <row r="571" spans="1:5" x14ac:dyDescent="0.2">
      <c r="A571">
        <v>2731</v>
      </c>
      <c r="B571">
        <v>14</v>
      </c>
      <c r="C571" t="s">
        <v>1531</v>
      </c>
      <c r="D571">
        <v>36720</v>
      </c>
      <c r="E571" t="s">
        <v>105</v>
      </c>
    </row>
    <row r="572" spans="1:5" x14ac:dyDescent="0.2">
      <c r="A572">
        <v>1506</v>
      </c>
      <c r="B572">
        <v>111</v>
      </c>
      <c r="C572" t="s">
        <v>480</v>
      </c>
      <c r="D572">
        <v>36749</v>
      </c>
      <c r="E572" t="s">
        <v>120</v>
      </c>
    </row>
    <row r="573" spans="1:5" x14ac:dyDescent="0.2">
      <c r="A573">
        <v>2375</v>
      </c>
      <c r="B573">
        <v>31</v>
      </c>
      <c r="C573" t="s">
        <v>234</v>
      </c>
      <c r="D573">
        <v>36707</v>
      </c>
      <c r="E573" t="s">
        <v>105</v>
      </c>
    </row>
    <row r="574" spans="1:5" x14ac:dyDescent="0.2">
      <c r="A574">
        <v>2337</v>
      </c>
      <c r="B574">
        <v>33</v>
      </c>
      <c r="C574" t="s">
        <v>666</v>
      </c>
      <c r="D574">
        <v>36940</v>
      </c>
      <c r="E574" t="s">
        <v>120</v>
      </c>
    </row>
    <row r="575" spans="1:5" x14ac:dyDescent="0.2">
      <c r="A575">
        <v>1438</v>
      </c>
      <c r="B575">
        <v>124</v>
      </c>
      <c r="C575" t="s">
        <v>481</v>
      </c>
      <c r="D575">
        <v>36694</v>
      </c>
      <c r="E575" t="s">
        <v>74</v>
      </c>
    </row>
    <row r="576" spans="1:5" x14ac:dyDescent="0.2">
      <c r="A576">
        <v>1537</v>
      </c>
      <c r="B576">
        <v>104</v>
      </c>
      <c r="C576" t="s">
        <v>235</v>
      </c>
      <c r="D576">
        <v>36779</v>
      </c>
      <c r="E576" t="s">
        <v>74</v>
      </c>
    </row>
    <row r="577" spans="1:5" x14ac:dyDescent="0.2">
      <c r="A577">
        <v>3093</v>
      </c>
      <c r="B577">
        <v>3</v>
      </c>
      <c r="C577" t="s">
        <v>1532</v>
      </c>
      <c r="D577">
        <v>36549</v>
      </c>
      <c r="E577" t="s">
        <v>1494</v>
      </c>
    </row>
    <row r="578" spans="1:5" x14ac:dyDescent="0.2">
      <c r="A578">
        <v>1533</v>
      </c>
      <c r="B578">
        <v>105</v>
      </c>
      <c r="C578" t="s">
        <v>236</v>
      </c>
      <c r="D578">
        <v>36388</v>
      </c>
      <c r="E578" t="s">
        <v>83</v>
      </c>
    </row>
    <row r="579" spans="1:5" x14ac:dyDescent="0.2">
      <c r="A579">
        <v>3032</v>
      </c>
      <c r="B579">
        <v>4</v>
      </c>
      <c r="C579" t="s">
        <v>1533</v>
      </c>
      <c r="D579">
        <v>36595</v>
      </c>
      <c r="E579" t="s">
        <v>1263</v>
      </c>
    </row>
    <row r="580" spans="1:5" x14ac:dyDescent="0.2">
      <c r="A580">
        <v>2255</v>
      </c>
      <c r="B580">
        <v>38</v>
      </c>
      <c r="C580" t="s">
        <v>1534</v>
      </c>
      <c r="D580">
        <v>36851</v>
      </c>
      <c r="E580" t="s">
        <v>1121</v>
      </c>
    </row>
    <row r="581" spans="1:5" x14ac:dyDescent="0.2">
      <c r="A581">
        <v>2339</v>
      </c>
      <c r="B581">
        <v>33</v>
      </c>
      <c r="C581" t="s">
        <v>667</v>
      </c>
      <c r="D581">
        <v>37026</v>
      </c>
      <c r="E581" t="s">
        <v>105</v>
      </c>
    </row>
    <row r="582" spans="1:5" x14ac:dyDescent="0.2">
      <c r="A582">
        <v>3064</v>
      </c>
      <c r="B582">
        <v>3</v>
      </c>
      <c r="C582" t="s">
        <v>667</v>
      </c>
      <c r="D582">
        <v>36614</v>
      </c>
      <c r="E582" t="s">
        <v>1535</v>
      </c>
    </row>
    <row r="583" spans="1:5" x14ac:dyDescent="0.2">
      <c r="A583">
        <v>3617</v>
      </c>
      <c r="B583">
        <v>0</v>
      </c>
      <c r="C583" t="s">
        <v>1536</v>
      </c>
      <c r="D583">
        <v>37501</v>
      </c>
      <c r="E583" t="s">
        <v>1143</v>
      </c>
    </row>
    <row r="584" spans="1:5" x14ac:dyDescent="0.2">
      <c r="A584">
        <v>3437</v>
      </c>
      <c r="B584">
        <v>0</v>
      </c>
      <c r="C584" t="s">
        <v>1537</v>
      </c>
      <c r="D584">
        <v>36859</v>
      </c>
      <c r="E584" t="s">
        <v>99</v>
      </c>
    </row>
    <row r="585" spans="1:5" x14ac:dyDescent="0.2">
      <c r="A585">
        <v>2084</v>
      </c>
      <c r="B585">
        <v>47</v>
      </c>
      <c r="C585" t="s">
        <v>1538</v>
      </c>
      <c r="D585">
        <v>36749</v>
      </c>
      <c r="E585" t="s">
        <v>111</v>
      </c>
    </row>
    <row r="586" spans="1:5" x14ac:dyDescent="0.2">
      <c r="A586">
        <v>3123</v>
      </c>
      <c r="B586">
        <v>2</v>
      </c>
      <c r="C586" t="s">
        <v>1539</v>
      </c>
      <c r="D586">
        <v>37224</v>
      </c>
      <c r="E586" t="s">
        <v>1089</v>
      </c>
    </row>
    <row r="587" spans="1:5" x14ac:dyDescent="0.2">
      <c r="A587">
        <v>3517</v>
      </c>
      <c r="B587">
        <v>0</v>
      </c>
      <c r="C587" t="s">
        <v>1540</v>
      </c>
      <c r="D587">
        <v>36543</v>
      </c>
      <c r="E587" t="s">
        <v>105</v>
      </c>
    </row>
    <row r="588" spans="1:5" x14ac:dyDescent="0.2">
      <c r="A588">
        <v>3568</v>
      </c>
      <c r="B588">
        <v>0</v>
      </c>
      <c r="C588" t="s">
        <v>1541</v>
      </c>
      <c r="D588">
        <v>37538</v>
      </c>
      <c r="E588" t="s">
        <v>166</v>
      </c>
    </row>
    <row r="589" spans="1:5" x14ac:dyDescent="0.2">
      <c r="A589">
        <v>2612</v>
      </c>
      <c r="B589">
        <v>19</v>
      </c>
      <c r="C589" t="s">
        <v>237</v>
      </c>
      <c r="D589">
        <v>36768</v>
      </c>
      <c r="E589" t="s">
        <v>163</v>
      </c>
    </row>
    <row r="590" spans="1:5" x14ac:dyDescent="0.2">
      <c r="A590">
        <v>1822</v>
      </c>
      <c r="B590">
        <v>70</v>
      </c>
      <c r="C590" t="s">
        <v>1542</v>
      </c>
      <c r="D590">
        <v>36242</v>
      </c>
      <c r="E590" t="s">
        <v>120</v>
      </c>
    </row>
    <row r="591" spans="1:5" x14ac:dyDescent="0.2">
      <c r="A591">
        <v>2827</v>
      </c>
      <c r="B591">
        <v>10</v>
      </c>
      <c r="C591" t="s">
        <v>1543</v>
      </c>
      <c r="D591">
        <v>36734</v>
      </c>
      <c r="E591" t="s">
        <v>105</v>
      </c>
    </row>
    <row r="592" spans="1:5" x14ac:dyDescent="0.2">
      <c r="A592">
        <v>1291</v>
      </c>
      <c r="B592">
        <v>149</v>
      </c>
      <c r="C592" t="s">
        <v>238</v>
      </c>
      <c r="D592">
        <v>36337</v>
      </c>
      <c r="E592" t="s">
        <v>163</v>
      </c>
    </row>
    <row r="593" spans="1:5" x14ac:dyDescent="0.2">
      <c r="A593">
        <v>1884</v>
      </c>
      <c r="B593">
        <v>62</v>
      </c>
      <c r="C593" t="s">
        <v>238</v>
      </c>
      <c r="D593">
        <v>36283</v>
      </c>
      <c r="E593" t="s">
        <v>377</v>
      </c>
    </row>
    <row r="594" spans="1:5" x14ac:dyDescent="0.2">
      <c r="A594">
        <v>2699</v>
      </c>
      <c r="B594">
        <v>15</v>
      </c>
      <c r="C594" t="s">
        <v>239</v>
      </c>
      <c r="D594">
        <v>36219</v>
      </c>
      <c r="E594" t="s">
        <v>1139</v>
      </c>
    </row>
    <row r="595" spans="1:5" x14ac:dyDescent="0.2">
      <c r="A595">
        <v>3058</v>
      </c>
      <c r="B595">
        <v>4</v>
      </c>
      <c r="C595" t="s">
        <v>239</v>
      </c>
      <c r="D595">
        <v>37158</v>
      </c>
      <c r="E595" t="s">
        <v>122</v>
      </c>
    </row>
    <row r="596" spans="1:5" x14ac:dyDescent="0.2">
      <c r="A596">
        <v>3654</v>
      </c>
      <c r="B596">
        <v>0</v>
      </c>
      <c r="C596" t="s">
        <v>1544</v>
      </c>
      <c r="D596">
        <v>36578</v>
      </c>
      <c r="E596" t="s">
        <v>1545</v>
      </c>
    </row>
    <row r="597" spans="1:5" x14ac:dyDescent="0.2">
      <c r="A597">
        <v>3574</v>
      </c>
      <c r="B597">
        <v>0</v>
      </c>
      <c r="C597" t="s">
        <v>1546</v>
      </c>
      <c r="D597">
        <v>36527</v>
      </c>
      <c r="E597" t="s">
        <v>154</v>
      </c>
    </row>
    <row r="598" spans="1:5" x14ac:dyDescent="0.2">
      <c r="A598">
        <v>2558</v>
      </c>
      <c r="B598">
        <v>22</v>
      </c>
      <c r="C598" t="s">
        <v>240</v>
      </c>
      <c r="D598">
        <v>36539</v>
      </c>
      <c r="E598" t="s">
        <v>128</v>
      </c>
    </row>
    <row r="599" spans="1:5" x14ac:dyDescent="0.2">
      <c r="A599">
        <v>2867</v>
      </c>
      <c r="B599">
        <v>9</v>
      </c>
      <c r="C599" t="s">
        <v>1547</v>
      </c>
      <c r="D599">
        <v>36903</v>
      </c>
      <c r="E599" t="s">
        <v>105</v>
      </c>
    </row>
    <row r="600" spans="1:5" x14ac:dyDescent="0.2">
      <c r="A600">
        <v>2361</v>
      </c>
      <c r="B600">
        <v>32</v>
      </c>
      <c r="C600" t="s">
        <v>391</v>
      </c>
      <c r="D600">
        <v>36855</v>
      </c>
      <c r="E600" t="s">
        <v>105</v>
      </c>
    </row>
    <row r="601" spans="1:5" x14ac:dyDescent="0.2">
      <c r="A601">
        <v>2819</v>
      </c>
      <c r="B601">
        <v>10</v>
      </c>
      <c r="C601" t="s">
        <v>1549</v>
      </c>
      <c r="D601">
        <v>36375</v>
      </c>
      <c r="E601" t="s">
        <v>105</v>
      </c>
    </row>
    <row r="602" spans="1:5" x14ac:dyDescent="0.2">
      <c r="A602">
        <v>2740</v>
      </c>
      <c r="B602">
        <v>13</v>
      </c>
      <c r="C602" t="s">
        <v>1550</v>
      </c>
      <c r="D602">
        <v>36687</v>
      </c>
      <c r="E602" t="s">
        <v>170</v>
      </c>
    </row>
    <row r="603" spans="1:5" x14ac:dyDescent="0.2">
      <c r="A603">
        <v>1325</v>
      </c>
      <c r="B603">
        <v>144</v>
      </c>
      <c r="C603" t="s">
        <v>482</v>
      </c>
      <c r="D603">
        <v>36700</v>
      </c>
      <c r="E603" t="s">
        <v>83</v>
      </c>
    </row>
    <row r="604" spans="1:5" x14ac:dyDescent="0.2">
      <c r="A604">
        <v>3002</v>
      </c>
      <c r="B604">
        <v>4</v>
      </c>
      <c r="C604" t="s">
        <v>668</v>
      </c>
      <c r="D604">
        <v>37350</v>
      </c>
      <c r="E604" t="s">
        <v>120</v>
      </c>
    </row>
    <row r="605" spans="1:5" x14ac:dyDescent="0.2">
      <c r="A605">
        <v>2256</v>
      </c>
      <c r="B605">
        <v>38</v>
      </c>
      <c r="C605" t="s">
        <v>1551</v>
      </c>
      <c r="D605">
        <v>36305</v>
      </c>
      <c r="E605" t="s">
        <v>136</v>
      </c>
    </row>
    <row r="606" spans="1:5" x14ac:dyDescent="0.2">
      <c r="A606">
        <v>3061</v>
      </c>
      <c r="B606">
        <v>3</v>
      </c>
      <c r="C606" t="s">
        <v>1552</v>
      </c>
      <c r="D606">
        <v>37302</v>
      </c>
      <c r="E606" t="s">
        <v>1143</v>
      </c>
    </row>
    <row r="607" spans="1:5" x14ac:dyDescent="0.2">
      <c r="A607">
        <v>3218</v>
      </c>
      <c r="B607">
        <v>0</v>
      </c>
      <c r="C607" t="s">
        <v>1553</v>
      </c>
      <c r="D607">
        <v>37213</v>
      </c>
      <c r="E607" t="s">
        <v>117</v>
      </c>
    </row>
    <row r="608" spans="1:5" x14ac:dyDescent="0.2">
      <c r="A608">
        <v>569</v>
      </c>
      <c r="B608">
        <v>428</v>
      </c>
      <c r="C608" t="s">
        <v>71</v>
      </c>
      <c r="D608">
        <v>36268</v>
      </c>
      <c r="E608" t="s">
        <v>1069</v>
      </c>
    </row>
    <row r="609" spans="1:5" x14ac:dyDescent="0.2">
      <c r="A609">
        <v>2462</v>
      </c>
      <c r="B609">
        <v>27</v>
      </c>
      <c r="C609" t="s">
        <v>1554</v>
      </c>
      <c r="D609">
        <v>37257</v>
      </c>
      <c r="E609" t="s">
        <v>251</v>
      </c>
    </row>
    <row r="610" spans="1:5" x14ac:dyDescent="0.2">
      <c r="A610">
        <v>2817</v>
      </c>
      <c r="B610">
        <v>10</v>
      </c>
      <c r="C610" t="s">
        <v>1555</v>
      </c>
      <c r="D610">
        <v>37844</v>
      </c>
      <c r="E610" t="s">
        <v>105</v>
      </c>
    </row>
    <row r="611" spans="1:5" x14ac:dyDescent="0.2">
      <c r="A611">
        <v>2788</v>
      </c>
      <c r="B611">
        <v>12</v>
      </c>
      <c r="C611" t="s">
        <v>1556</v>
      </c>
      <c r="D611">
        <v>36555</v>
      </c>
      <c r="E611" t="s">
        <v>1121</v>
      </c>
    </row>
    <row r="612" spans="1:5" x14ac:dyDescent="0.2">
      <c r="A612">
        <v>2942</v>
      </c>
      <c r="B612">
        <v>6</v>
      </c>
      <c r="C612" t="s">
        <v>1557</v>
      </c>
      <c r="D612">
        <v>36641</v>
      </c>
      <c r="E612" t="s">
        <v>164</v>
      </c>
    </row>
    <row r="613" spans="1:5" x14ac:dyDescent="0.2">
      <c r="A613">
        <v>2187</v>
      </c>
      <c r="B613">
        <v>42</v>
      </c>
      <c r="C613" t="s">
        <v>1558</v>
      </c>
      <c r="D613">
        <v>37464</v>
      </c>
      <c r="E613" t="s">
        <v>1107</v>
      </c>
    </row>
    <row r="614" spans="1:5" x14ac:dyDescent="0.2">
      <c r="A614">
        <v>2909</v>
      </c>
      <c r="B614">
        <v>7</v>
      </c>
      <c r="C614" t="s">
        <v>1559</v>
      </c>
      <c r="D614">
        <v>37177</v>
      </c>
      <c r="E614" t="s">
        <v>145</v>
      </c>
    </row>
    <row r="615" spans="1:5" x14ac:dyDescent="0.2">
      <c r="A615">
        <v>2761</v>
      </c>
      <c r="B615">
        <v>12</v>
      </c>
      <c r="C615" t="s">
        <v>483</v>
      </c>
      <c r="D615">
        <v>37215</v>
      </c>
      <c r="E615" t="s">
        <v>1143</v>
      </c>
    </row>
    <row r="616" spans="1:5" x14ac:dyDescent="0.2">
      <c r="A616">
        <v>1583</v>
      </c>
      <c r="B616">
        <v>98</v>
      </c>
      <c r="C616" t="s">
        <v>484</v>
      </c>
      <c r="D616">
        <v>36238</v>
      </c>
      <c r="E616" t="s">
        <v>120</v>
      </c>
    </row>
    <row r="617" spans="1:5" x14ac:dyDescent="0.2">
      <c r="A617">
        <v>2406</v>
      </c>
      <c r="B617">
        <v>30</v>
      </c>
      <c r="C617" t="s">
        <v>1560</v>
      </c>
      <c r="D617">
        <v>36432</v>
      </c>
      <c r="E617" t="s">
        <v>1118</v>
      </c>
    </row>
    <row r="618" spans="1:5" x14ac:dyDescent="0.2">
      <c r="A618">
        <v>3561</v>
      </c>
      <c r="B618">
        <v>0</v>
      </c>
      <c r="C618" t="s">
        <v>1561</v>
      </c>
      <c r="D618">
        <v>36371</v>
      </c>
      <c r="E618" t="s">
        <v>139</v>
      </c>
    </row>
    <row r="619" spans="1:5" x14ac:dyDescent="0.2">
      <c r="A619">
        <v>2315</v>
      </c>
      <c r="B619">
        <v>34</v>
      </c>
      <c r="C619" t="s">
        <v>485</v>
      </c>
      <c r="D619">
        <v>36559</v>
      </c>
      <c r="E619" t="s">
        <v>105</v>
      </c>
    </row>
    <row r="620" spans="1:5" x14ac:dyDescent="0.2">
      <c r="A620">
        <v>2570</v>
      </c>
      <c r="B620">
        <v>21</v>
      </c>
      <c r="C620" t="s">
        <v>486</v>
      </c>
      <c r="D620">
        <v>36191</v>
      </c>
      <c r="E620" t="s">
        <v>120</v>
      </c>
    </row>
    <row r="621" spans="1:5" x14ac:dyDescent="0.2">
      <c r="A621">
        <v>2989</v>
      </c>
      <c r="B621">
        <v>5</v>
      </c>
      <c r="C621" t="s">
        <v>1563</v>
      </c>
      <c r="D621">
        <v>36900</v>
      </c>
      <c r="E621" t="s">
        <v>105</v>
      </c>
    </row>
    <row r="622" spans="1:5" x14ac:dyDescent="0.2">
      <c r="A622">
        <v>2663</v>
      </c>
      <c r="B622">
        <v>17</v>
      </c>
      <c r="C622" t="s">
        <v>1564</v>
      </c>
      <c r="D622">
        <v>36526</v>
      </c>
      <c r="E622" t="s">
        <v>1497</v>
      </c>
    </row>
    <row r="623" spans="1:5" x14ac:dyDescent="0.2">
      <c r="A623">
        <v>3176</v>
      </c>
      <c r="B623">
        <v>1</v>
      </c>
      <c r="C623" t="s">
        <v>1565</v>
      </c>
      <c r="D623">
        <v>36697</v>
      </c>
      <c r="E623" t="s">
        <v>118</v>
      </c>
    </row>
    <row r="624" spans="1:5" x14ac:dyDescent="0.2">
      <c r="A624">
        <v>2153</v>
      </c>
      <c r="B624">
        <v>44</v>
      </c>
      <c r="C624" t="s">
        <v>789</v>
      </c>
      <c r="D624">
        <v>36574</v>
      </c>
      <c r="E624" t="s">
        <v>105</v>
      </c>
    </row>
    <row r="625" spans="1:5" x14ac:dyDescent="0.2">
      <c r="A625">
        <v>2268</v>
      </c>
      <c r="B625">
        <v>37</v>
      </c>
      <c r="C625" t="s">
        <v>392</v>
      </c>
      <c r="D625">
        <v>37239</v>
      </c>
      <c r="E625" t="s">
        <v>1566</v>
      </c>
    </row>
    <row r="626" spans="1:5" x14ac:dyDescent="0.2">
      <c r="A626">
        <v>623</v>
      </c>
      <c r="B626">
        <v>393</v>
      </c>
      <c r="C626" t="s">
        <v>242</v>
      </c>
      <c r="D626">
        <v>36400</v>
      </c>
      <c r="E626" t="s">
        <v>111</v>
      </c>
    </row>
    <row r="627" spans="1:5" x14ac:dyDescent="0.2">
      <c r="A627">
        <v>3438</v>
      </c>
      <c r="B627">
        <v>0</v>
      </c>
      <c r="C627" t="s">
        <v>1567</v>
      </c>
      <c r="D627">
        <v>37321</v>
      </c>
      <c r="E627" t="s">
        <v>74</v>
      </c>
    </row>
    <row r="628" spans="1:5" x14ac:dyDescent="0.2">
      <c r="A628">
        <v>3343</v>
      </c>
      <c r="B628">
        <v>0</v>
      </c>
      <c r="C628" t="s">
        <v>1568</v>
      </c>
      <c r="D628">
        <v>37461</v>
      </c>
      <c r="E628" t="s">
        <v>74</v>
      </c>
    </row>
    <row r="629" spans="1:5" x14ac:dyDescent="0.2">
      <c r="A629">
        <v>2848</v>
      </c>
      <c r="B629">
        <v>9</v>
      </c>
      <c r="C629" t="s">
        <v>1569</v>
      </c>
      <c r="D629">
        <v>36673</v>
      </c>
      <c r="E629" t="s">
        <v>74</v>
      </c>
    </row>
    <row r="630" spans="1:5" x14ac:dyDescent="0.2">
      <c r="A630">
        <v>1323</v>
      </c>
      <c r="B630">
        <v>144</v>
      </c>
      <c r="C630" t="s">
        <v>244</v>
      </c>
      <c r="D630">
        <v>36431</v>
      </c>
      <c r="E630" t="s">
        <v>163</v>
      </c>
    </row>
    <row r="631" spans="1:5" x14ac:dyDescent="0.2">
      <c r="A631">
        <v>1916</v>
      </c>
      <c r="B631">
        <v>58</v>
      </c>
      <c r="C631" t="s">
        <v>487</v>
      </c>
      <c r="D631">
        <v>36575</v>
      </c>
      <c r="E631" t="s">
        <v>160</v>
      </c>
    </row>
    <row r="632" spans="1:5" x14ac:dyDescent="0.2">
      <c r="A632">
        <v>2892</v>
      </c>
      <c r="B632">
        <v>8</v>
      </c>
      <c r="C632" t="s">
        <v>1570</v>
      </c>
      <c r="D632">
        <v>36903</v>
      </c>
      <c r="E632" t="s">
        <v>120</v>
      </c>
    </row>
    <row r="633" spans="1:5" x14ac:dyDescent="0.2">
      <c r="A633">
        <v>2719</v>
      </c>
      <c r="B633">
        <v>14</v>
      </c>
      <c r="C633" t="s">
        <v>1571</v>
      </c>
      <c r="D633">
        <v>36553</v>
      </c>
      <c r="E633" t="s">
        <v>103</v>
      </c>
    </row>
    <row r="634" spans="1:5" x14ac:dyDescent="0.2">
      <c r="A634">
        <v>3466</v>
      </c>
      <c r="B634">
        <v>0</v>
      </c>
      <c r="C634" t="s">
        <v>1572</v>
      </c>
      <c r="D634">
        <v>37622</v>
      </c>
      <c r="E634" t="s">
        <v>73</v>
      </c>
    </row>
    <row r="635" spans="1:5" x14ac:dyDescent="0.2">
      <c r="A635">
        <v>2138</v>
      </c>
      <c r="B635">
        <v>44</v>
      </c>
      <c r="C635" t="s">
        <v>488</v>
      </c>
      <c r="D635">
        <v>36526</v>
      </c>
      <c r="E635" t="s">
        <v>137</v>
      </c>
    </row>
    <row r="636" spans="1:5" x14ac:dyDescent="0.2">
      <c r="A636">
        <v>2624</v>
      </c>
      <c r="B636">
        <v>19</v>
      </c>
      <c r="C636" t="s">
        <v>670</v>
      </c>
      <c r="D636">
        <v>36197</v>
      </c>
      <c r="E636" t="s">
        <v>120</v>
      </c>
    </row>
    <row r="637" spans="1:5" x14ac:dyDescent="0.2">
      <c r="A637">
        <v>2563</v>
      </c>
      <c r="B637">
        <v>22</v>
      </c>
      <c r="C637" t="s">
        <v>1573</v>
      </c>
      <c r="D637">
        <v>36572</v>
      </c>
      <c r="E637" t="s">
        <v>1286</v>
      </c>
    </row>
    <row r="638" spans="1:5" x14ac:dyDescent="0.2">
      <c r="A638">
        <v>1784</v>
      </c>
      <c r="B638">
        <v>73</v>
      </c>
      <c r="C638" t="s">
        <v>489</v>
      </c>
      <c r="D638">
        <v>36241</v>
      </c>
      <c r="E638" t="s">
        <v>1343</v>
      </c>
    </row>
    <row r="639" spans="1:5" x14ac:dyDescent="0.2">
      <c r="A639">
        <v>2442</v>
      </c>
      <c r="B639">
        <v>28</v>
      </c>
      <c r="C639" t="s">
        <v>1574</v>
      </c>
      <c r="D639">
        <v>36895</v>
      </c>
      <c r="E639" t="s">
        <v>1332</v>
      </c>
    </row>
    <row r="640" spans="1:5" x14ac:dyDescent="0.2">
      <c r="A640">
        <v>3220</v>
      </c>
      <c r="B640">
        <v>0</v>
      </c>
      <c r="C640" t="s">
        <v>1575</v>
      </c>
      <c r="D640">
        <v>38078</v>
      </c>
      <c r="E640" t="s">
        <v>1491</v>
      </c>
    </row>
    <row r="641" spans="1:5" x14ac:dyDescent="0.2">
      <c r="A641">
        <v>1768</v>
      </c>
      <c r="B641">
        <v>74</v>
      </c>
      <c r="C641" t="s">
        <v>490</v>
      </c>
      <c r="D641">
        <v>36561</v>
      </c>
      <c r="E641" t="s">
        <v>115</v>
      </c>
    </row>
    <row r="642" spans="1:5" x14ac:dyDescent="0.2">
      <c r="A642">
        <v>3683</v>
      </c>
      <c r="B642">
        <v>0</v>
      </c>
      <c r="C642" t="s">
        <v>1576</v>
      </c>
      <c r="D642">
        <v>37624</v>
      </c>
      <c r="E642" t="s">
        <v>115</v>
      </c>
    </row>
    <row r="643" spans="1:5" x14ac:dyDescent="0.2">
      <c r="A643">
        <v>3335</v>
      </c>
      <c r="B643">
        <v>0</v>
      </c>
      <c r="C643" t="s">
        <v>1577</v>
      </c>
      <c r="D643">
        <v>36580</v>
      </c>
      <c r="E643" t="s">
        <v>99</v>
      </c>
    </row>
    <row r="644" spans="1:5" x14ac:dyDescent="0.2">
      <c r="A644">
        <v>2262</v>
      </c>
      <c r="B644">
        <v>37</v>
      </c>
      <c r="C644" t="s">
        <v>491</v>
      </c>
      <c r="D644">
        <v>37090</v>
      </c>
      <c r="E644" t="s">
        <v>105</v>
      </c>
    </row>
    <row r="645" spans="1:5" x14ac:dyDescent="0.2">
      <c r="A645">
        <v>2618</v>
      </c>
      <c r="B645">
        <v>19</v>
      </c>
      <c r="C645" t="s">
        <v>1578</v>
      </c>
      <c r="D645">
        <v>36178</v>
      </c>
      <c r="E645" t="s">
        <v>119</v>
      </c>
    </row>
    <row r="646" spans="1:5" x14ac:dyDescent="0.2">
      <c r="A646">
        <v>3125</v>
      </c>
      <c r="B646">
        <v>2</v>
      </c>
      <c r="C646" t="s">
        <v>1579</v>
      </c>
      <c r="D646">
        <v>36892</v>
      </c>
      <c r="E646" t="s">
        <v>105</v>
      </c>
    </row>
    <row r="647" spans="1:5" x14ac:dyDescent="0.2">
      <c r="A647">
        <v>3024</v>
      </c>
      <c r="B647">
        <v>4</v>
      </c>
      <c r="C647" t="s">
        <v>1581</v>
      </c>
      <c r="D647">
        <v>38063</v>
      </c>
      <c r="E647" t="s">
        <v>1582</v>
      </c>
    </row>
    <row r="648" spans="1:5" x14ac:dyDescent="0.2">
      <c r="A648">
        <v>2744</v>
      </c>
      <c r="B648">
        <v>13</v>
      </c>
      <c r="C648" t="s">
        <v>1583</v>
      </c>
      <c r="D648">
        <v>37615</v>
      </c>
      <c r="E648" t="s">
        <v>105</v>
      </c>
    </row>
    <row r="649" spans="1:5" x14ac:dyDescent="0.2">
      <c r="A649">
        <v>3507</v>
      </c>
      <c r="B649">
        <v>0</v>
      </c>
      <c r="C649" t="s">
        <v>1584</v>
      </c>
      <c r="D649">
        <v>37730</v>
      </c>
      <c r="E649" t="s">
        <v>105</v>
      </c>
    </row>
    <row r="650" spans="1:5" x14ac:dyDescent="0.2">
      <c r="A650">
        <v>1212</v>
      </c>
      <c r="B650">
        <v>165</v>
      </c>
      <c r="C650" t="s">
        <v>245</v>
      </c>
      <c r="D650">
        <v>36210</v>
      </c>
      <c r="E650" t="s">
        <v>1143</v>
      </c>
    </row>
    <row r="651" spans="1:5" x14ac:dyDescent="0.2">
      <c r="A651">
        <v>2127</v>
      </c>
      <c r="B651">
        <v>45</v>
      </c>
      <c r="C651" t="s">
        <v>1585</v>
      </c>
      <c r="D651">
        <v>36844</v>
      </c>
      <c r="E651" t="s">
        <v>99</v>
      </c>
    </row>
    <row r="652" spans="1:5" x14ac:dyDescent="0.2">
      <c r="A652">
        <v>2385</v>
      </c>
      <c r="B652">
        <v>31</v>
      </c>
      <c r="C652" t="s">
        <v>1586</v>
      </c>
      <c r="D652">
        <v>36242</v>
      </c>
      <c r="E652" t="s">
        <v>99</v>
      </c>
    </row>
    <row r="653" spans="1:5" x14ac:dyDescent="0.2">
      <c r="A653">
        <v>3088</v>
      </c>
      <c r="B653">
        <v>3</v>
      </c>
      <c r="C653" t="s">
        <v>1587</v>
      </c>
      <c r="D653">
        <v>37348</v>
      </c>
      <c r="E653" t="s">
        <v>1089</v>
      </c>
    </row>
    <row r="654" spans="1:5" x14ac:dyDescent="0.2">
      <c r="A654">
        <v>3580</v>
      </c>
      <c r="B654">
        <v>0</v>
      </c>
      <c r="C654" t="s">
        <v>1588</v>
      </c>
      <c r="D654">
        <v>36272</v>
      </c>
      <c r="E654" t="s">
        <v>105</v>
      </c>
    </row>
    <row r="655" spans="1:5" x14ac:dyDescent="0.2">
      <c r="A655">
        <v>2955</v>
      </c>
      <c r="B655">
        <v>6</v>
      </c>
      <c r="C655" t="s">
        <v>1589</v>
      </c>
      <c r="D655">
        <v>37221</v>
      </c>
      <c r="E655" t="s">
        <v>1128</v>
      </c>
    </row>
    <row r="656" spans="1:5" x14ac:dyDescent="0.2">
      <c r="A656">
        <v>3429</v>
      </c>
      <c r="B656">
        <v>0</v>
      </c>
      <c r="C656" t="s">
        <v>1590</v>
      </c>
      <c r="D656">
        <v>36892</v>
      </c>
      <c r="E656" t="s">
        <v>165</v>
      </c>
    </row>
    <row r="657" spans="1:5" x14ac:dyDescent="0.2">
      <c r="A657">
        <v>2536</v>
      </c>
      <c r="B657">
        <v>24</v>
      </c>
      <c r="C657" t="s">
        <v>1591</v>
      </c>
      <c r="D657">
        <v>36280</v>
      </c>
      <c r="E657" t="s">
        <v>105</v>
      </c>
    </row>
    <row r="658" spans="1:5" x14ac:dyDescent="0.2">
      <c r="A658">
        <v>2768</v>
      </c>
      <c r="B658">
        <v>12</v>
      </c>
      <c r="C658" t="s">
        <v>1592</v>
      </c>
      <c r="D658">
        <v>36973</v>
      </c>
      <c r="E658" t="s">
        <v>200</v>
      </c>
    </row>
    <row r="659" spans="1:5" x14ac:dyDescent="0.2">
      <c r="A659">
        <v>2251</v>
      </c>
      <c r="B659">
        <v>38</v>
      </c>
      <c r="C659" t="s">
        <v>790</v>
      </c>
      <c r="D659">
        <v>36187</v>
      </c>
      <c r="E659" t="s">
        <v>1063</v>
      </c>
    </row>
    <row r="660" spans="1:5" x14ac:dyDescent="0.2">
      <c r="A660">
        <v>1871</v>
      </c>
      <c r="B660">
        <v>63</v>
      </c>
      <c r="C660" t="s">
        <v>1593</v>
      </c>
      <c r="D660">
        <v>36956</v>
      </c>
      <c r="E660" t="s">
        <v>138</v>
      </c>
    </row>
    <row r="661" spans="1:5" x14ac:dyDescent="0.2">
      <c r="A661">
        <v>2099</v>
      </c>
      <c r="B661">
        <v>46</v>
      </c>
      <c r="C661" t="s">
        <v>1594</v>
      </c>
      <c r="D661">
        <v>37388</v>
      </c>
      <c r="E661" t="s">
        <v>138</v>
      </c>
    </row>
    <row r="662" spans="1:5" x14ac:dyDescent="0.2">
      <c r="A662">
        <v>1068</v>
      </c>
      <c r="B662">
        <v>201</v>
      </c>
      <c r="C662" t="s">
        <v>492</v>
      </c>
      <c r="D662">
        <v>37057</v>
      </c>
      <c r="E662" t="s">
        <v>99</v>
      </c>
    </row>
    <row r="663" spans="1:5" x14ac:dyDescent="0.2">
      <c r="A663">
        <v>3673</v>
      </c>
      <c r="B663">
        <v>0</v>
      </c>
      <c r="C663" t="s">
        <v>1595</v>
      </c>
      <c r="D663">
        <v>37067</v>
      </c>
      <c r="E663" t="s">
        <v>120</v>
      </c>
    </row>
    <row r="664" spans="1:5" x14ac:dyDescent="0.2">
      <c r="A664">
        <v>1751</v>
      </c>
      <c r="B664">
        <v>76</v>
      </c>
      <c r="C664" t="s">
        <v>791</v>
      </c>
      <c r="D664">
        <v>36198</v>
      </c>
      <c r="E664" t="s">
        <v>109</v>
      </c>
    </row>
    <row r="665" spans="1:5" x14ac:dyDescent="0.2">
      <c r="A665">
        <v>2313</v>
      </c>
      <c r="B665">
        <v>35</v>
      </c>
      <c r="C665" t="s">
        <v>1596</v>
      </c>
      <c r="D665">
        <v>36720</v>
      </c>
      <c r="E665" t="s">
        <v>105</v>
      </c>
    </row>
    <row r="666" spans="1:5" x14ac:dyDescent="0.2">
      <c r="A666">
        <v>1496</v>
      </c>
      <c r="B666">
        <v>112</v>
      </c>
      <c r="C666" t="s">
        <v>1597</v>
      </c>
      <c r="D666">
        <v>36279</v>
      </c>
      <c r="E666" t="s">
        <v>1189</v>
      </c>
    </row>
    <row r="667" spans="1:5" x14ac:dyDescent="0.2">
      <c r="A667">
        <v>1701</v>
      </c>
      <c r="B667">
        <v>83</v>
      </c>
      <c r="C667" t="s">
        <v>1598</v>
      </c>
      <c r="D667">
        <v>37098</v>
      </c>
      <c r="E667" t="s">
        <v>1334</v>
      </c>
    </row>
    <row r="668" spans="1:5" x14ac:dyDescent="0.2">
      <c r="A668">
        <v>2021</v>
      </c>
      <c r="B668">
        <v>51</v>
      </c>
      <c r="C668" t="s">
        <v>792</v>
      </c>
      <c r="D668">
        <v>36744</v>
      </c>
      <c r="E668" t="s">
        <v>175</v>
      </c>
    </row>
    <row r="669" spans="1:5" x14ac:dyDescent="0.2">
      <c r="A669">
        <v>3516</v>
      </c>
      <c r="B669">
        <v>0</v>
      </c>
      <c r="C669" t="s">
        <v>1599</v>
      </c>
      <c r="D669">
        <v>36372</v>
      </c>
      <c r="E669" t="s">
        <v>1566</v>
      </c>
    </row>
    <row r="670" spans="1:5" x14ac:dyDescent="0.2">
      <c r="A670">
        <v>2211</v>
      </c>
      <c r="B670">
        <v>40</v>
      </c>
      <c r="C670" t="s">
        <v>493</v>
      </c>
      <c r="D670">
        <v>36464</v>
      </c>
      <c r="E670" t="s">
        <v>1121</v>
      </c>
    </row>
    <row r="671" spans="1:5" x14ac:dyDescent="0.2">
      <c r="A671">
        <v>2725</v>
      </c>
      <c r="B671">
        <v>14</v>
      </c>
      <c r="C671" t="s">
        <v>1601</v>
      </c>
      <c r="D671">
        <v>36699</v>
      </c>
      <c r="E671" t="s">
        <v>231</v>
      </c>
    </row>
    <row r="672" spans="1:5" x14ac:dyDescent="0.2">
      <c r="A672">
        <v>3269</v>
      </c>
      <c r="B672">
        <v>0</v>
      </c>
      <c r="C672" t="s">
        <v>1602</v>
      </c>
      <c r="D672">
        <v>37371</v>
      </c>
      <c r="E672" t="s">
        <v>1603</v>
      </c>
    </row>
    <row r="673" spans="1:5" x14ac:dyDescent="0.2">
      <c r="A673">
        <v>3039</v>
      </c>
      <c r="B673">
        <v>4</v>
      </c>
      <c r="C673" t="s">
        <v>1604</v>
      </c>
      <c r="D673">
        <v>36690</v>
      </c>
      <c r="E673" t="s">
        <v>105</v>
      </c>
    </row>
    <row r="674" spans="1:5" x14ac:dyDescent="0.2">
      <c r="A674">
        <v>1823</v>
      </c>
      <c r="B674">
        <v>70</v>
      </c>
      <c r="C674" t="s">
        <v>1605</v>
      </c>
      <c r="D674">
        <v>36981</v>
      </c>
      <c r="E674" t="s">
        <v>121</v>
      </c>
    </row>
    <row r="675" spans="1:5" x14ac:dyDescent="0.2">
      <c r="A675">
        <v>1478</v>
      </c>
      <c r="B675">
        <v>115</v>
      </c>
      <c r="C675" t="s">
        <v>247</v>
      </c>
      <c r="D675">
        <v>36340</v>
      </c>
      <c r="E675" t="s">
        <v>1121</v>
      </c>
    </row>
    <row r="676" spans="1:5" x14ac:dyDescent="0.2">
      <c r="A676">
        <v>2194</v>
      </c>
      <c r="B676">
        <v>41</v>
      </c>
      <c r="C676" t="s">
        <v>393</v>
      </c>
      <c r="D676">
        <v>36547</v>
      </c>
      <c r="E676" t="s">
        <v>120</v>
      </c>
    </row>
    <row r="677" spans="1:5" x14ac:dyDescent="0.2">
      <c r="A677">
        <v>3414</v>
      </c>
      <c r="B677">
        <v>0</v>
      </c>
      <c r="C677" t="s">
        <v>1606</v>
      </c>
      <c r="D677">
        <v>36922</v>
      </c>
      <c r="E677" t="s">
        <v>1607</v>
      </c>
    </row>
    <row r="678" spans="1:5" x14ac:dyDescent="0.2">
      <c r="A678">
        <v>1318</v>
      </c>
      <c r="B678">
        <v>145</v>
      </c>
      <c r="C678" t="s">
        <v>248</v>
      </c>
      <c r="D678">
        <v>36762</v>
      </c>
      <c r="E678" t="s">
        <v>120</v>
      </c>
    </row>
    <row r="679" spans="1:5" x14ac:dyDescent="0.2">
      <c r="A679">
        <v>3346</v>
      </c>
      <c r="B679">
        <v>0</v>
      </c>
      <c r="C679" t="s">
        <v>1608</v>
      </c>
      <c r="D679">
        <v>37075</v>
      </c>
      <c r="E679" t="s">
        <v>1609</v>
      </c>
    </row>
    <row r="680" spans="1:5" x14ac:dyDescent="0.2">
      <c r="A680">
        <v>1404</v>
      </c>
      <c r="B680">
        <v>131</v>
      </c>
      <c r="C680" t="s">
        <v>1610</v>
      </c>
      <c r="D680">
        <v>36395</v>
      </c>
      <c r="E680" t="s">
        <v>120</v>
      </c>
    </row>
    <row r="681" spans="1:5" x14ac:dyDescent="0.2">
      <c r="A681">
        <v>2531</v>
      </c>
      <c r="B681">
        <v>24</v>
      </c>
      <c r="C681" t="s">
        <v>793</v>
      </c>
      <c r="D681">
        <v>37119</v>
      </c>
      <c r="E681" t="s">
        <v>163</v>
      </c>
    </row>
    <row r="682" spans="1:5" x14ac:dyDescent="0.2">
      <c r="A682">
        <v>1889</v>
      </c>
      <c r="B682">
        <v>61</v>
      </c>
      <c r="C682" t="s">
        <v>394</v>
      </c>
      <c r="D682">
        <v>36565</v>
      </c>
      <c r="E682" t="s">
        <v>120</v>
      </c>
    </row>
    <row r="683" spans="1:5" x14ac:dyDescent="0.2">
      <c r="A683">
        <v>2090</v>
      </c>
      <c r="B683">
        <v>46</v>
      </c>
      <c r="C683" t="s">
        <v>494</v>
      </c>
      <c r="D683">
        <v>36916</v>
      </c>
      <c r="E683" t="s">
        <v>120</v>
      </c>
    </row>
    <row r="684" spans="1:5" x14ac:dyDescent="0.2">
      <c r="A684">
        <v>1375</v>
      </c>
      <c r="B684">
        <v>136</v>
      </c>
      <c r="C684" t="s">
        <v>495</v>
      </c>
      <c r="D684">
        <v>36539</v>
      </c>
      <c r="E684" t="s">
        <v>1176</v>
      </c>
    </row>
    <row r="685" spans="1:5" x14ac:dyDescent="0.2">
      <c r="A685">
        <v>3566</v>
      </c>
      <c r="B685">
        <v>0</v>
      </c>
      <c r="C685" t="s">
        <v>1611</v>
      </c>
      <c r="D685">
        <v>36399</v>
      </c>
      <c r="E685" t="s">
        <v>1612</v>
      </c>
    </row>
    <row r="686" spans="1:5" x14ac:dyDescent="0.2">
      <c r="A686">
        <v>2770</v>
      </c>
      <c r="B686">
        <v>12</v>
      </c>
      <c r="C686" t="s">
        <v>1613</v>
      </c>
      <c r="D686">
        <v>36399</v>
      </c>
      <c r="E686" t="s">
        <v>1182</v>
      </c>
    </row>
    <row r="687" spans="1:5" x14ac:dyDescent="0.2">
      <c r="A687">
        <v>2482</v>
      </c>
      <c r="B687">
        <v>26</v>
      </c>
      <c r="C687" t="s">
        <v>671</v>
      </c>
      <c r="D687">
        <v>36586</v>
      </c>
      <c r="E687" t="s">
        <v>120</v>
      </c>
    </row>
    <row r="688" spans="1:5" x14ac:dyDescent="0.2">
      <c r="A688">
        <v>3633</v>
      </c>
      <c r="B688">
        <v>0</v>
      </c>
      <c r="C688" t="s">
        <v>1614</v>
      </c>
      <c r="D688">
        <v>36270</v>
      </c>
      <c r="E688" t="s">
        <v>376</v>
      </c>
    </row>
    <row r="689" spans="1:5" x14ac:dyDescent="0.2">
      <c r="A689">
        <v>3252</v>
      </c>
      <c r="B689">
        <v>0</v>
      </c>
      <c r="C689" t="s">
        <v>1615</v>
      </c>
      <c r="D689">
        <v>36931</v>
      </c>
      <c r="E689" t="s">
        <v>133</v>
      </c>
    </row>
    <row r="690" spans="1:5" x14ac:dyDescent="0.2">
      <c r="A690">
        <v>3076</v>
      </c>
      <c r="B690">
        <v>3</v>
      </c>
      <c r="C690" t="s">
        <v>1616</v>
      </c>
      <c r="D690">
        <v>36627</v>
      </c>
      <c r="E690" t="s">
        <v>120</v>
      </c>
    </row>
    <row r="691" spans="1:5" x14ac:dyDescent="0.2">
      <c r="A691">
        <v>1385</v>
      </c>
      <c r="B691">
        <v>134</v>
      </c>
      <c r="C691" t="s">
        <v>672</v>
      </c>
      <c r="D691">
        <v>36671</v>
      </c>
      <c r="E691" t="s">
        <v>105</v>
      </c>
    </row>
    <row r="692" spans="1:5" x14ac:dyDescent="0.2">
      <c r="A692">
        <v>2307</v>
      </c>
      <c r="B692">
        <v>35</v>
      </c>
      <c r="C692" t="s">
        <v>1617</v>
      </c>
      <c r="D692">
        <v>36392</v>
      </c>
      <c r="E692" t="s">
        <v>118</v>
      </c>
    </row>
    <row r="693" spans="1:5" x14ac:dyDescent="0.2">
      <c r="A693">
        <v>2580</v>
      </c>
      <c r="B693">
        <v>21</v>
      </c>
      <c r="C693" t="s">
        <v>794</v>
      </c>
      <c r="D693">
        <v>36988</v>
      </c>
      <c r="E693" t="s">
        <v>1250</v>
      </c>
    </row>
    <row r="694" spans="1:5" x14ac:dyDescent="0.2">
      <c r="A694">
        <v>2085</v>
      </c>
      <c r="B694">
        <v>47</v>
      </c>
      <c r="C694" t="s">
        <v>1618</v>
      </c>
      <c r="D694">
        <v>36759</v>
      </c>
      <c r="E694" t="s">
        <v>128</v>
      </c>
    </row>
    <row r="695" spans="1:5" x14ac:dyDescent="0.2">
      <c r="A695">
        <v>1981</v>
      </c>
      <c r="B695">
        <v>54</v>
      </c>
      <c r="C695" t="s">
        <v>1619</v>
      </c>
      <c r="D695">
        <v>37591</v>
      </c>
      <c r="E695" t="s">
        <v>99</v>
      </c>
    </row>
    <row r="696" spans="1:5" x14ac:dyDescent="0.2">
      <c r="A696">
        <v>3020</v>
      </c>
      <c r="B696">
        <v>4</v>
      </c>
      <c r="C696" t="s">
        <v>1620</v>
      </c>
      <c r="D696">
        <v>37291</v>
      </c>
      <c r="E696" t="s">
        <v>105</v>
      </c>
    </row>
    <row r="697" spans="1:5" x14ac:dyDescent="0.2">
      <c r="A697">
        <v>3150</v>
      </c>
      <c r="B697">
        <v>1</v>
      </c>
      <c r="C697" t="s">
        <v>1621</v>
      </c>
      <c r="D697">
        <v>36511</v>
      </c>
      <c r="E697" t="s">
        <v>1145</v>
      </c>
    </row>
    <row r="698" spans="1:5" x14ac:dyDescent="0.2">
      <c r="A698">
        <v>2075</v>
      </c>
      <c r="B698">
        <v>47</v>
      </c>
      <c r="C698" t="s">
        <v>496</v>
      </c>
      <c r="D698">
        <v>37033</v>
      </c>
      <c r="E698" t="s">
        <v>427</v>
      </c>
    </row>
    <row r="699" spans="1:5" x14ac:dyDescent="0.2">
      <c r="A699">
        <v>2206</v>
      </c>
      <c r="B699">
        <v>41</v>
      </c>
      <c r="C699" t="s">
        <v>1622</v>
      </c>
      <c r="D699">
        <v>36645</v>
      </c>
      <c r="E699" t="s">
        <v>1364</v>
      </c>
    </row>
    <row r="700" spans="1:5" x14ac:dyDescent="0.2">
      <c r="A700">
        <v>1852</v>
      </c>
      <c r="B700">
        <v>66</v>
      </c>
      <c r="C700" t="s">
        <v>1623</v>
      </c>
      <c r="D700">
        <v>36941</v>
      </c>
      <c r="E700" t="s">
        <v>1367</v>
      </c>
    </row>
    <row r="701" spans="1:5" x14ac:dyDescent="0.2">
      <c r="A701">
        <v>3166</v>
      </c>
      <c r="B701">
        <v>1</v>
      </c>
      <c r="C701" t="s">
        <v>1624</v>
      </c>
      <c r="D701">
        <v>36531</v>
      </c>
      <c r="E701" t="s">
        <v>120</v>
      </c>
    </row>
    <row r="702" spans="1:5" x14ac:dyDescent="0.2">
      <c r="A702">
        <v>3392</v>
      </c>
      <c r="B702">
        <v>0</v>
      </c>
      <c r="C702" t="s">
        <v>1625</v>
      </c>
      <c r="D702">
        <v>37406</v>
      </c>
      <c r="E702" t="s">
        <v>120</v>
      </c>
    </row>
    <row r="703" spans="1:5" x14ac:dyDescent="0.2">
      <c r="A703">
        <v>3403</v>
      </c>
      <c r="B703">
        <v>0</v>
      </c>
      <c r="C703" t="s">
        <v>1626</v>
      </c>
      <c r="D703">
        <v>36924</v>
      </c>
      <c r="E703" t="s">
        <v>109</v>
      </c>
    </row>
    <row r="704" spans="1:5" x14ac:dyDescent="0.2">
      <c r="A704">
        <v>3262</v>
      </c>
      <c r="B704">
        <v>0</v>
      </c>
      <c r="C704" t="s">
        <v>1627</v>
      </c>
      <c r="D704">
        <v>36654</v>
      </c>
      <c r="E704" t="s">
        <v>133</v>
      </c>
    </row>
    <row r="705" spans="1:5" x14ac:dyDescent="0.2">
      <c r="A705">
        <v>1587</v>
      </c>
      <c r="B705">
        <v>98</v>
      </c>
      <c r="C705" t="s">
        <v>249</v>
      </c>
      <c r="D705">
        <v>36754</v>
      </c>
      <c r="E705" t="s">
        <v>111</v>
      </c>
    </row>
    <row r="706" spans="1:5" x14ac:dyDescent="0.2">
      <c r="A706">
        <v>1452</v>
      </c>
      <c r="B706">
        <v>120</v>
      </c>
      <c r="C706" t="s">
        <v>497</v>
      </c>
      <c r="D706">
        <v>37190</v>
      </c>
      <c r="E706" t="s">
        <v>120</v>
      </c>
    </row>
    <row r="707" spans="1:5" x14ac:dyDescent="0.2">
      <c r="A707">
        <v>3443</v>
      </c>
      <c r="B707">
        <v>0</v>
      </c>
      <c r="C707" t="s">
        <v>1628</v>
      </c>
      <c r="D707">
        <v>36963</v>
      </c>
      <c r="E707" t="s">
        <v>1367</v>
      </c>
    </row>
    <row r="708" spans="1:5" x14ac:dyDescent="0.2">
      <c r="A708">
        <v>2475</v>
      </c>
      <c r="B708">
        <v>26</v>
      </c>
      <c r="C708" t="s">
        <v>250</v>
      </c>
      <c r="D708">
        <v>36173</v>
      </c>
      <c r="E708" t="s">
        <v>120</v>
      </c>
    </row>
    <row r="709" spans="1:5" x14ac:dyDescent="0.2">
      <c r="A709">
        <v>3164</v>
      </c>
      <c r="B709">
        <v>1</v>
      </c>
      <c r="C709" t="s">
        <v>1629</v>
      </c>
      <c r="D709">
        <v>36892</v>
      </c>
      <c r="E709" t="s">
        <v>1630</v>
      </c>
    </row>
    <row r="710" spans="1:5" x14ac:dyDescent="0.2">
      <c r="A710">
        <v>3397</v>
      </c>
      <c r="B710">
        <v>0</v>
      </c>
      <c r="C710" t="s">
        <v>1631</v>
      </c>
      <c r="D710">
        <v>36526</v>
      </c>
      <c r="E710" t="s">
        <v>128</v>
      </c>
    </row>
    <row r="711" spans="1:5" x14ac:dyDescent="0.2">
      <c r="A711">
        <v>3066</v>
      </c>
      <c r="B711">
        <v>3</v>
      </c>
      <c r="C711" t="s">
        <v>1632</v>
      </c>
      <c r="D711">
        <v>36785</v>
      </c>
      <c r="E711" t="s">
        <v>115</v>
      </c>
    </row>
    <row r="712" spans="1:5" x14ac:dyDescent="0.2">
      <c r="A712">
        <v>3312</v>
      </c>
      <c r="B712">
        <v>0</v>
      </c>
      <c r="C712" t="s">
        <v>1633</v>
      </c>
      <c r="D712">
        <v>37811</v>
      </c>
      <c r="E712" t="s">
        <v>120</v>
      </c>
    </row>
    <row r="713" spans="1:5" x14ac:dyDescent="0.2">
      <c r="A713">
        <v>2392</v>
      </c>
      <c r="B713">
        <v>31</v>
      </c>
      <c r="C713" t="s">
        <v>1634</v>
      </c>
      <c r="D713">
        <v>36874</v>
      </c>
      <c r="E713" t="s">
        <v>377</v>
      </c>
    </row>
    <row r="714" spans="1:5" x14ac:dyDescent="0.2">
      <c r="A714">
        <v>3007</v>
      </c>
      <c r="B714">
        <v>4</v>
      </c>
      <c r="C714" t="s">
        <v>1635</v>
      </c>
      <c r="D714">
        <v>36785</v>
      </c>
      <c r="E714" t="s">
        <v>290</v>
      </c>
    </row>
    <row r="715" spans="1:5" x14ac:dyDescent="0.2">
      <c r="A715">
        <v>2246</v>
      </c>
      <c r="B715">
        <v>38</v>
      </c>
      <c r="C715" t="s">
        <v>498</v>
      </c>
      <c r="D715">
        <v>36298</v>
      </c>
      <c r="E715" t="s">
        <v>122</v>
      </c>
    </row>
    <row r="716" spans="1:5" x14ac:dyDescent="0.2">
      <c r="A716">
        <v>3238</v>
      </c>
      <c r="B716">
        <v>0</v>
      </c>
      <c r="C716" t="s">
        <v>1636</v>
      </c>
      <c r="D716">
        <v>36871</v>
      </c>
      <c r="E716" t="s">
        <v>365</v>
      </c>
    </row>
    <row r="717" spans="1:5" x14ac:dyDescent="0.2">
      <c r="A717">
        <v>2122</v>
      </c>
      <c r="B717">
        <v>45</v>
      </c>
      <c r="C717" t="s">
        <v>395</v>
      </c>
      <c r="D717">
        <v>36526</v>
      </c>
      <c r="E717" t="s">
        <v>133</v>
      </c>
    </row>
    <row r="718" spans="1:5" x14ac:dyDescent="0.2">
      <c r="A718">
        <v>3069</v>
      </c>
      <c r="B718">
        <v>3</v>
      </c>
      <c r="C718" t="s">
        <v>1637</v>
      </c>
      <c r="D718">
        <v>36788</v>
      </c>
      <c r="E718" t="s">
        <v>99</v>
      </c>
    </row>
    <row r="719" spans="1:5" x14ac:dyDescent="0.2">
      <c r="A719">
        <v>2439</v>
      </c>
      <c r="B719">
        <v>28</v>
      </c>
      <c r="C719" t="s">
        <v>499</v>
      </c>
      <c r="D719">
        <v>36761</v>
      </c>
      <c r="E719" t="s">
        <v>74</v>
      </c>
    </row>
    <row r="720" spans="1:5" x14ac:dyDescent="0.2">
      <c r="A720">
        <v>3692</v>
      </c>
      <c r="B720">
        <v>0</v>
      </c>
      <c r="C720" t="s">
        <v>1638</v>
      </c>
      <c r="D720">
        <v>37187</v>
      </c>
      <c r="E720" t="s">
        <v>105</v>
      </c>
    </row>
    <row r="721" spans="1:5" x14ac:dyDescent="0.2">
      <c r="A721">
        <v>1868</v>
      </c>
      <c r="B721">
        <v>63</v>
      </c>
      <c r="C721" t="s">
        <v>500</v>
      </c>
      <c r="D721">
        <v>36476</v>
      </c>
      <c r="E721" t="s">
        <v>73</v>
      </c>
    </row>
    <row r="722" spans="1:5" x14ac:dyDescent="0.2">
      <c r="A722">
        <v>1186</v>
      </c>
      <c r="B722">
        <v>170</v>
      </c>
      <c r="C722" t="s">
        <v>501</v>
      </c>
      <c r="D722">
        <v>36355</v>
      </c>
      <c r="E722" t="s">
        <v>164</v>
      </c>
    </row>
    <row r="723" spans="1:5" x14ac:dyDescent="0.2">
      <c r="A723">
        <v>3677</v>
      </c>
      <c r="B723">
        <v>0</v>
      </c>
      <c r="C723" t="s">
        <v>1639</v>
      </c>
      <c r="D723">
        <v>37464</v>
      </c>
      <c r="E723" t="s">
        <v>1182</v>
      </c>
    </row>
    <row r="724" spans="1:5" x14ac:dyDescent="0.2">
      <c r="A724">
        <v>3253</v>
      </c>
      <c r="B724">
        <v>0</v>
      </c>
      <c r="C724" t="s">
        <v>1640</v>
      </c>
      <c r="D724">
        <v>36429</v>
      </c>
      <c r="E724" t="s">
        <v>1367</v>
      </c>
    </row>
    <row r="725" spans="1:5" x14ac:dyDescent="0.2">
      <c r="A725">
        <v>2070</v>
      </c>
      <c r="B725">
        <v>48</v>
      </c>
      <c r="C725" t="s">
        <v>1641</v>
      </c>
      <c r="D725">
        <v>37518</v>
      </c>
      <c r="E725" t="s">
        <v>1367</v>
      </c>
    </row>
    <row r="726" spans="1:5" x14ac:dyDescent="0.2">
      <c r="A726">
        <v>2859</v>
      </c>
      <c r="B726">
        <v>9</v>
      </c>
      <c r="C726" t="s">
        <v>1642</v>
      </c>
      <c r="D726">
        <v>36226</v>
      </c>
      <c r="E726" t="s">
        <v>127</v>
      </c>
    </row>
    <row r="727" spans="1:5" x14ac:dyDescent="0.2">
      <c r="A727">
        <v>1568</v>
      </c>
      <c r="B727">
        <v>100</v>
      </c>
      <c r="C727" t="s">
        <v>502</v>
      </c>
      <c r="D727">
        <v>36212</v>
      </c>
      <c r="E727" t="s">
        <v>180</v>
      </c>
    </row>
    <row r="728" spans="1:5" x14ac:dyDescent="0.2">
      <c r="A728">
        <v>3187</v>
      </c>
      <c r="B728">
        <v>1</v>
      </c>
      <c r="C728" t="s">
        <v>1643</v>
      </c>
      <c r="D728">
        <v>36892</v>
      </c>
      <c r="E728" t="s">
        <v>1197</v>
      </c>
    </row>
    <row r="729" spans="1:5" x14ac:dyDescent="0.2">
      <c r="A729">
        <v>3219</v>
      </c>
      <c r="B729">
        <v>0</v>
      </c>
      <c r="C729" t="s">
        <v>1644</v>
      </c>
      <c r="D729">
        <v>36535</v>
      </c>
      <c r="E729" t="s">
        <v>72</v>
      </c>
    </row>
    <row r="730" spans="1:5" x14ac:dyDescent="0.2">
      <c r="A730">
        <v>2569</v>
      </c>
      <c r="B730">
        <v>21</v>
      </c>
      <c r="C730" t="s">
        <v>252</v>
      </c>
      <c r="D730">
        <v>36766</v>
      </c>
      <c r="E730" t="s">
        <v>105</v>
      </c>
    </row>
    <row r="731" spans="1:5" x14ac:dyDescent="0.2">
      <c r="A731">
        <v>3660</v>
      </c>
      <c r="B731">
        <v>0</v>
      </c>
      <c r="C731" t="s">
        <v>1645</v>
      </c>
      <c r="D731">
        <v>36619</v>
      </c>
      <c r="E731" t="s">
        <v>74</v>
      </c>
    </row>
    <row r="732" spans="1:5" x14ac:dyDescent="0.2">
      <c r="A732">
        <v>3200</v>
      </c>
      <c r="B732">
        <v>0</v>
      </c>
      <c r="C732" t="s">
        <v>1646</v>
      </c>
      <c r="D732">
        <v>37242</v>
      </c>
      <c r="E732" t="s">
        <v>107</v>
      </c>
    </row>
    <row r="733" spans="1:5" x14ac:dyDescent="0.2">
      <c r="A733">
        <v>2022</v>
      </c>
      <c r="B733">
        <v>51</v>
      </c>
      <c r="C733" t="s">
        <v>1647</v>
      </c>
      <c r="D733">
        <v>36634</v>
      </c>
      <c r="E733" t="s">
        <v>1648</v>
      </c>
    </row>
    <row r="734" spans="1:5" x14ac:dyDescent="0.2">
      <c r="A734">
        <v>3152</v>
      </c>
      <c r="B734">
        <v>1</v>
      </c>
      <c r="C734" t="s">
        <v>1649</v>
      </c>
      <c r="D734">
        <v>36892</v>
      </c>
      <c r="E734" t="s">
        <v>136</v>
      </c>
    </row>
    <row r="735" spans="1:5" x14ac:dyDescent="0.2">
      <c r="A735">
        <v>1022</v>
      </c>
      <c r="B735">
        <v>213</v>
      </c>
      <c r="C735" t="s">
        <v>503</v>
      </c>
      <c r="D735">
        <v>36840</v>
      </c>
      <c r="E735" t="s">
        <v>1069</v>
      </c>
    </row>
    <row r="736" spans="1:5" x14ac:dyDescent="0.2">
      <c r="A736">
        <v>2876</v>
      </c>
      <c r="B736">
        <v>8</v>
      </c>
      <c r="C736" t="s">
        <v>504</v>
      </c>
      <c r="D736">
        <v>36699</v>
      </c>
      <c r="E736" t="s">
        <v>183</v>
      </c>
    </row>
    <row r="737" spans="1:5" x14ac:dyDescent="0.2">
      <c r="A737">
        <v>2712</v>
      </c>
      <c r="B737">
        <v>14</v>
      </c>
      <c r="C737" t="s">
        <v>505</v>
      </c>
      <c r="D737">
        <v>36535</v>
      </c>
      <c r="E737" t="s">
        <v>1143</v>
      </c>
    </row>
    <row r="738" spans="1:5" x14ac:dyDescent="0.2">
      <c r="A738">
        <v>3009</v>
      </c>
      <c r="B738">
        <v>4</v>
      </c>
      <c r="C738" t="s">
        <v>1650</v>
      </c>
      <c r="D738">
        <v>36980</v>
      </c>
      <c r="E738" t="s">
        <v>1143</v>
      </c>
    </row>
    <row r="739" spans="1:5" x14ac:dyDescent="0.2">
      <c r="A739">
        <v>3134</v>
      </c>
      <c r="B739">
        <v>2</v>
      </c>
      <c r="C739" t="s">
        <v>1651</v>
      </c>
      <c r="D739">
        <v>36626</v>
      </c>
      <c r="E739" t="s">
        <v>1128</v>
      </c>
    </row>
    <row r="740" spans="1:5" x14ac:dyDescent="0.2">
      <c r="A740">
        <v>3314</v>
      </c>
      <c r="B740">
        <v>0</v>
      </c>
      <c r="C740" t="s">
        <v>1652</v>
      </c>
      <c r="D740">
        <v>37534</v>
      </c>
      <c r="E740" t="s">
        <v>120</v>
      </c>
    </row>
    <row r="741" spans="1:5" x14ac:dyDescent="0.2">
      <c r="A741">
        <v>2050</v>
      </c>
      <c r="B741">
        <v>49</v>
      </c>
      <c r="C741" t="s">
        <v>795</v>
      </c>
      <c r="D741">
        <v>36844</v>
      </c>
      <c r="E741" t="s">
        <v>105</v>
      </c>
    </row>
    <row r="742" spans="1:5" x14ac:dyDescent="0.2">
      <c r="A742">
        <v>2357</v>
      </c>
      <c r="B742">
        <v>32</v>
      </c>
      <c r="C742" t="s">
        <v>506</v>
      </c>
      <c r="D742">
        <v>37103</v>
      </c>
      <c r="E742" t="s">
        <v>200</v>
      </c>
    </row>
    <row r="743" spans="1:5" x14ac:dyDescent="0.2">
      <c r="A743">
        <v>2171</v>
      </c>
      <c r="B743">
        <v>43</v>
      </c>
      <c r="C743" t="s">
        <v>796</v>
      </c>
      <c r="D743">
        <v>36526</v>
      </c>
      <c r="E743" t="s">
        <v>164</v>
      </c>
    </row>
    <row r="744" spans="1:5" x14ac:dyDescent="0.2">
      <c r="A744">
        <v>947</v>
      </c>
      <c r="B744">
        <v>237</v>
      </c>
      <c r="C744" t="s">
        <v>253</v>
      </c>
      <c r="D744">
        <v>36217</v>
      </c>
      <c r="E744" t="s">
        <v>144</v>
      </c>
    </row>
    <row r="745" spans="1:5" x14ac:dyDescent="0.2">
      <c r="A745">
        <v>2841</v>
      </c>
      <c r="B745">
        <v>10</v>
      </c>
      <c r="C745" t="s">
        <v>1653</v>
      </c>
      <c r="D745">
        <v>37043</v>
      </c>
      <c r="E745" t="s">
        <v>1265</v>
      </c>
    </row>
    <row r="746" spans="1:5" x14ac:dyDescent="0.2">
      <c r="A746">
        <v>2451</v>
      </c>
      <c r="B746">
        <v>27</v>
      </c>
      <c r="C746" t="s">
        <v>507</v>
      </c>
      <c r="D746">
        <v>36493</v>
      </c>
      <c r="E746" t="s">
        <v>200</v>
      </c>
    </row>
    <row r="747" spans="1:5" x14ac:dyDescent="0.2">
      <c r="A747">
        <v>3062</v>
      </c>
      <c r="B747">
        <v>3</v>
      </c>
      <c r="C747" t="s">
        <v>1654</v>
      </c>
      <c r="D747">
        <v>36554</v>
      </c>
      <c r="E747" t="s">
        <v>120</v>
      </c>
    </row>
    <row r="748" spans="1:5" x14ac:dyDescent="0.2">
      <c r="A748">
        <v>2338</v>
      </c>
      <c r="B748">
        <v>33</v>
      </c>
      <c r="C748" t="s">
        <v>254</v>
      </c>
      <c r="D748">
        <v>36625</v>
      </c>
      <c r="E748" t="s">
        <v>105</v>
      </c>
    </row>
    <row r="749" spans="1:5" x14ac:dyDescent="0.2">
      <c r="A749">
        <v>2741</v>
      </c>
      <c r="B749">
        <v>13</v>
      </c>
      <c r="C749" t="s">
        <v>1655</v>
      </c>
      <c r="D749">
        <v>36918</v>
      </c>
      <c r="E749" t="s">
        <v>171</v>
      </c>
    </row>
    <row r="750" spans="1:5" x14ac:dyDescent="0.2">
      <c r="A750">
        <v>3213</v>
      </c>
      <c r="B750">
        <v>0</v>
      </c>
      <c r="C750" t="s">
        <v>1656</v>
      </c>
      <c r="D750">
        <v>36971</v>
      </c>
      <c r="E750" t="s">
        <v>222</v>
      </c>
    </row>
    <row r="751" spans="1:5" x14ac:dyDescent="0.2">
      <c r="A751">
        <v>3647</v>
      </c>
      <c r="B751">
        <v>0</v>
      </c>
      <c r="C751" t="s">
        <v>1657</v>
      </c>
      <c r="D751">
        <v>36866</v>
      </c>
      <c r="E751" t="s">
        <v>120</v>
      </c>
    </row>
    <row r="752" spans="1:5" x14ac:dyDescent="0.2">
      <c r="A752">
        <v>2222</v>
      </c>
      <c r="B752">
        <v>40</v>
      </c>
      <c r="C752" t="s">
        <v>797</v>
      </c>
      <c r="D752">
        <v>36854</v>
      </c>
      <c r="E752" t="s">
        <v>188</v>
      </c>
    </row>
    <row r="753" spans="1:5" x14ac:dyDescent="0.2">
      <c r="A753">
        <v>2175</v>
      </c>
      <c r="B753">
        <v>43</v>
      </c>
      <c r="C753" t="s">
        <v>1658</v>
      </c>
      <c r="D753">
        <v>37097</v>
      </c>
      <c r="E753" t="s">
        <v>137</v>
      </c>
    </row>
    <row r="754" spans="1:5" x14ac:dyDescent="0.2">
      <c r="A754">
        <v>3684</v>
      </c>
      <c r="B754">
        <v>0</v>
      </c>
      <c r="C754" t="s">
        <v>1659</v>
      </c>
      <c r="D754">
        <v>37404</v>
      </c>
      <c r="E754" t="s">
        <v>115</v>
      </c>
    </row>
    <row r="755" spans="1:5" x14ac:dyDescent="0.2">
      <c r="A755">
        <v>2693</v>
      </c>
      <c r="B755">
        <v>16</v>
      </c>
      <c r="C755" t="s">
        <v>1660</v>
      </c>
      <c r="D755">
        <v>36260</v>
      </c>
      <c r="E755" t="s">
        <v>1661</v>
      </c>
    </row>
    <row r="756" spans="1:5" x14ac:dyDescent="0.2">
      <c r="A756">
        <v>3087</v>
      </c>
      <c r="B756">
        <v>3</v>
      </c>
      <c r="C756" t="s">
        <v>1662</v>
      </c>
      <c r="D756">
        <v>37033</v>
      </c>
      <c r="E756" t="s">
        <v>1502</v>
      </c>
    </row>
    <row r="757" spans="1:5" x14ac:dyDescent="0.2">
      <c r="A757">
        <v>1997</v>
      </c>
      <c r="B757">
        <v>52</v>
      </c>
      <c r="C757" t="s">
        <v>1663</v>
      </c>
      <c r="D757">
        <v>36526</v>
      </c>
      <c r="E757" t="s">
        <v>673</v>
      </c>
    </row>
    <row r="758" spans="1:5" x14ac:dyDescent="0.2">
      <c r="A758">
        <v>3396</v>
      </c>
      <c r="B758">
        <v>0</v>
      </c>
      <c r="C758" t="s">
        <v>1664</v>
      </c>
      <c r="D758">
        <v>37015</v>
      </c>
      <c r="E758" t="s">
        <v>120</v>
      </c>
    </row>
    <row r="759" spans="1:5" x14ac:dyDescent="0.2">
      <c r="A759">
        <v>3625</v>
      </c>
      <c r="B759">
        <v>0</v>
      </c>
      <c r="C759" t="s">
        <v>1665</v>
      </c>
      <c r="D759">
        <v>37488</v>
      </c>
      <c r="E759" t="s">
        <v>1143</v>
      </c>
    </row>
    <row r="760" spans="1:5" x14ac:dyDescent="0.2">
      <c r="A760">
        <v>2465</v>
      </c>
      <c r="B760">
        <v>27</v>
      </c>
      <c r="C760" t="s">
        <v>798</v>
      </c>
      <c r="D760">
        <v>36954</v>
      </c>
      <c r="E760" t="s">
        <v>1111</v>
      </c>
    </row>
    <row r="761" spans="1:5" x14ac:dyDescent="0.2">
      <c r="A761">
        <v>2199</v>
      </c>
      <c r="B761">
        <v>41</v>
      </c>
      <c r="C761" t="s">
        <v>674</v>
      </c>
      <c r="D761">
        <v>36781</v>
      </c>
      <c r="E761" t="s">
        <v>74</v>
      </c>
    </row>
    <row r="762" spans="1:5" x14ac:dyDescent="0.2">
      <c r="A762">
        <v>1921</v>
      </c>
      <c r="B762">
        <v>58</v>
      </c>
      <c r="C762" t="s">
        <v>508</v>
      </c>
      <c r="D762">
        <v>36568</v>
      </c>
      <c r="E762" t="s">
        <v>102</v>
      </c>
    </row>
    <row r="763" spans="1:5" x14ac:dyDescent="0.2">
      <c r="A763">
        <v>3319</v>
      </c>
      <c r="B763">
        <v>0</v>
      </c>
      <c r="C763" t="s">
        <v>1666</v>
      </c>
      <c r="D763">
        <v>37614</v>
      </c>
      <c r="E763" t="s">
        <v>120</v>
      </c>
    </row>
    <row r="764" spans="1:5" x14ac:dyDescent="0.2">
      <c r="A764">
        <v>2411</v>
      </c>
      <c r="B764">
        <v>30</v>
      </c>
      <c r="C764" t="s">
        <v>1667</v>
      </c>
      <c r="D764">
        <v>36745</v>
      </c>
      <c r="E764" t="s">
        <v>113</v>
      </c>
    </row>
    <row r="765" spans="1:5" x14ac:dyDescent="0.2">
      <c r="A765">
        <v>2216</v>
      </c>
      <c r="B765">
        <v>40</v>
      </c>
      <c r="C765" t="s">
        <v>799</v>
      </c>
      <c r="D765">
        <v>37433</v>
      </c>
      <c r="E765" t="s">
        <v>105</v>
      </c>
    </row>
    <row r="766" spans="1:5" x14ac:dyDescent="0.2">
      <c r="A766">
        <v>3656</v>
      </c>
      <c r="B766">
        <v>0</v>
      </c>
      <c r="C766" t="s">
        <v>1668</v>
      </c>
      <c r="D766">
        <v>37289</v>
      </c>
      <c r="E766" t="s">
        <v>1143</v>
      </c>
    </row>
    <row r="767" spans="1:5" x14ac:dyDescent="0.2">
      <c r="A767">
        <v>2843</v>
      </c>
      <c r="B767">
        <v>9</v>
      </c>
      <c r="C767" t="s">
        <v>675</v>
      </c>
      <c r="D767">
        <v>36532</v>
      </c>
      <c r="E767" t="s">
        <v>99</v>
      </c>
    </row>
    <row r="768" spans="1:5" x14ac:dyDescent="0.2">
      <c r="A768">
        <v>2889</v>
      </c>
      <c r="B768">
        <v>8</v>
      </c>
      <c r="C768" t="s">
        <v>1669</v>
      </c>
      <c r="D768">
        <v>36892</v>
      </c>
      <c r="E768" t="s">
        <v>282</v>
      </c>
    </row>
    <row r="769" spans="1:5" x14ac:dyDescent="0.2">
      <c r="A769">
        <v>2998</v>
      </c>
      <c r="B769">
        <v>5</v>
      </c>
      <c r="C769" t="s">
        <v>1670</v>
      </c>
      <c r="D769">
        <v>36308</v>
      </c>
      <c r="E769" t="s">
        <v>1516</v>
      </c>
    </row>
    <row r="770" spans="1:5" x14ac:dyDescent="0.2">
      <c r="A770">
        <v>2683</v>
      </c>
      <c r="B770">
        <v>16</v>
      </c>
      <c r="C770" t="s">
        <v>1671</v>
      </c>
      <c r="D770">
        <v>36854</v>
      </c>
      <c r="E770" t="s">
        <v>1265</v>
      </c>
    </row>
    <row r="771" spans="1:5" x14ac:dyDescent="0.2">
      <c r="A771">
        <v>2879</v>
      </c>
      <c r="B771">
        <v>8</v>
      </c>
      <c r="C771" t="s">
        <v>1672</v>
      </c>
      <c r="D771">
        <v>36600</v>
      </c>
      <c r="E771" t="s">
        <v>1178</v>
      </c>
    </row>
    <row r="772" spans="1:5" x14ac:dyDescent="0.2">
      <c r="A772">
        <v>3569</v>
      </c>
      <c r="B772">
        <v>0</v>
      </c>
      <c r="C772" t="s">
        <v>1673</v>
      </c>
      <c r="D772">
        <v>36259</v>
      </c>
      <c r="E772" t="s">
        <v>1535</v>
      </c>
    </row>
    <row r="773" spans="1:5" x14ac:dyDescent="0.2">
      <c r="A773">
        <v>2852</v>
      </c>
      <c r="B773">
        <v>9</v>
      </c>
      <c r="C773" t="s">
        <v>1674</v>
      </c>
      <c r="D773">
        <v>37027</v>
      </c>
      <c r="E773" t="s">
        <v>122</v>
      </c>
    </row>
    <row r="774" spans="1:5" x14ac:dyDescent="0.2">
      <c r="A774">
        <v>2066</v>
      </c>
      <c r="B774">
        <v>48</v>
      </c>
      <c r="C774" t="s">
        <v>1675</v>
      </c>
      <c r="D774">
        <v>37138</v>
      </c>
      <c r="E774" t="s">
        <v>166</v>
      </c>
    </row>
    <row r="775" spans="1:5" x14ac:dyDescent="0.2">
      <c r="A775">
        <v>2513</v>
      </c>
      <c r="B775">
        <v>24</v>
      </c>
      <c r="C775" t="s">
        <v>676</v>
      </c>
      <c r="D775">
        <v>36936</v>
      </c>
      <c r="E775" t="s">
        <v>105</v>
      </c>
    </row>
    <row r="776" spans="1:5" x14ac:dyDescent="0.2">
      <c r="A776">
        <v>2160</v>
      </c>
      <c r="B776">
        <v>43</v>
      </c>
      <c r="C776" t="s">
        <v>255</v>
      </c>
      <c r="D776">
        <v>36755</v>
      </c>
      <c r="E776" t="s">
        <v>163</v>
      </c>
    </row>
    <row r="777" spans="1:5" x14ac:dyDescent="0.2">
      <c r="A777">
        <v>1996</v>
      </c>
      <c r="B777">
        <v>53</v>
      </c>
      <c r="C777" t="s">
        <v>1676</v>
      </c>
      <c r="D777">
        <v>37098</v>
      </c>
      <c r="E777" t="s">
        <v>1334</v>
      </c>
    </row>
    <row r="778" spans="1:5" x14ac:dyDescent="0.2">
      <c r="A778">
        <v>3266</v>
      </c>
      <c r="B778">
        <v>0</v>
      </c>
      <c r="C778" t="s">
        <v>1677</v>
      </c>
      <c r="D778">
        <v>36749</v>
      </c>
      <c r="E778" t="s">
        <v>171</v>
      </c>
    </row>
    <row r="779" spans="1:5" x14ac:dyDescent="0.2">
      <c r="A779">
        <v>1940</v>
      </c>
      <c r="B779">
        <v>56</v>
      </c>
      <c r="C779" t="s">
        <v>256</v>
      </c>
      <c r="D779">
        <v>36994</v>
      </c>
      <c r="E779" t="s">
        <v>1250</v>
      </c>
    </row>
    <row r="780" spans="1:5" x14ac:dyDescent="0.2">
      <c r="A780">
        <v>3124</v>
      </c>
      <c r="B780">
        <v>2</v>
      </c>
      <c r="C780" t="s">
        <v>1678</v>
      </c>
      <c r="D780">
        <v>37448</v>
      </c>
      <c r="E780" t="s">
        <v>120</v>
      </c>
    </row>
    <row r="781" spans="1:5" x14ac:dyDescent="0.2">
      <c r="A781">
        <v>3048</v>
      </c>
      <c r="B781">
        <v>4</v>
      </c>
      <c r="C781" t="s">
        <v>1679</v>
      </c>
      <c r="D781">
        <v>37171</v>
      </c>
      <c r="E781" t="s">
        <v>120</v>
      </c>
    </row>
    <row r="782" spans="1:5" x14ac:dyDescent="0.2">
      <c r="A782">
        <v>3225</v>
      </c>
      <c r="B782">
        <v>0</v>
      </c>
      <c r="C782" t="s">
        <v>1680</v>
      </c>
      <c r="D782">
        <v>36906</v>
      </c>
      <c r="E782" t="s">
        <v>1077</v>
      </c>
    </row>
    <row r="783" spans="1:5" x14ac:dyDescent="0.2">
      <c r="A783">
        <v>2592</v>
      </c>
      <c r="B783">
        <v>20</v>
      </c>
      <c r="C783" t="s">
        <v>509</v>
      </c>
      <c r="D783">
        <v>36299</v>
      </c>
      <c r="E783" t="s">
        <v>113</v>
      </c>
    </row>
    <row r="784" spans="1:5" x14ac:dyDescent="0.2">
      <c r="A784">
        <v>2854</v>
      </c>
      <c r="B784">
        <v>9</v>
      </c>
      <c r="C784" t="s">
        <v>1681</v>
      </c>
      <c r="D784">
        <v>36859</v>
      </c>
      <c r="E784" t="s">
        <v>120</v>
      </c>
    </row>
    <row r="785" spans="1:5" x14ac:dyDescent="0.2">
      <c r="A785">
        <v>1843</v>
      </c>
      <c r="B785">
        <v>67</v>
      </c>
      <c r="C785" t="s">
        <v>800</v>
      </c>
      <c r="D785">
        <v>36600</v>
      </c>
      <c r="E785" t="s">
        <v>105</v>
      </c>
    </row>
    <row r="786" spans="1:5" x14ac:dyDescent="0.2">
      <c r="A786">
        <v>1867</v>
      </c>
      <c r="B786">
        <v>64</v>
      </c>
      <c r="C786" t="s">
        <v>1682</v>
      </c>
      <c r="D786">
        <v>36677</v>
      </c>
      <c r="E786" t="s">
        <v>107</v>
      </c>
    </row>
    <row r="787" spans="1:5" x14ac:dyDescent="0.2">
      <c r="A787">
        <v>3565</v>
      </c>
      <c r="B787">
        <v>0</v>
      </c>
      <c r="C787" t="s">
        <v>1683</v>
      </c>
      <c r="D787">
        <v>36647</v>
      </c>
      <c r="E787" t="s">
        <v>1612</v>
      </c>
    </row>
    <row r="788" spans="1:5" x14ac:dyDescent="0.2">
      <c r="A788">
        <v>2801</v>
      </c>
      <c r="B788">
        <v>11</v>
      </c>
      <c r="C788" t="s">
        <v>1684</v>
      </c>
      <c r="D788">
        <v>36549</v>
      </c>
      <c r="E788" t="s">
        <v>165</v>
      </c>
    </row>
    <row r="789" spans="1:5" x14ac:dyDescent="0.2">
      <c r="A789">
        <v>532</v>
      </c>
      <c r="B789">
        <v>453</v>
      </c>
      <c r="C789" t="s">
        <v>258</v>
      </c>
      <c r="D789">
        <v>36332</v>
      </c>
      <c r="E789" t="s">
        <v>103</v>
      </c>
    </row>
    <row r="790" spans="1:5" x14ac:dyDescent="0.2">
      <c r="A790">
        <v>2601</v>
      </c>
      <c r="B790">
        <v>20</v>
      </c>
      <c r="C790" t="s">
        <v>1685</v>
      </c>
      <c r="D790">
        <v>36623</v>
      </c>
      <c r="E790" t="s">
        <v>120</v>
      </c>
    </row>
    <row r="791" spans="1:5" x14ac:dyDescent="0.2">
      <c r="A791">
        <v>1924</v>
      </c>
      <c r="B791">
        <v>58</v>
      </c>
      <c r="C791" t="s">
        <v>510</v>
      </c>
      <c r="D791">
        <v>36762</v>
      </c>
      <c r="E791" t="s">
        <v>136</v>
      </c>
    </row>
    <row r="792" spans="1:5" x14ac:dyDescent="0.2">
      <c r="A792">
        <v>2228</v>
      </c>
      <c r="B792">
        <v>39</v>
      </c>
      <c r="C792" t="s">
        <v>677</v>
      </c>
      <c r="D792">
        <v>37060</v>
      </c>
      <c r="E792" t="s">
        <v>99</v>
      </c>
    </row>
    <row r="793" spans="1:5" x14ac:dyDescent="0.2">
      <c r="A793">
        <v>1732</v>
      </c>
      <c r="B793">
        <v>79</v>
      </c>
      <c r="C793" t="s">
        <v>259</v>
      </c>
      <c r="D793">
        <v>36263</v>
      </c>
      <c r="E793" t="s">
        <v>111</v>
      </c>
    </row>
    <row r="794" spans="1:5" x14ac:dyDescent="0.2">
      <c r="A794">
        <v>2813</v>
      </c>
      <c r="B794">
        <v>10</v>
      </c>
      <c r="C794" t="s">
        <v>1686</v>
      </c>
      <c r="D794">
        <v>36839</v>
      </c>
      <c r="E794" t="s">
        <v>99</v>
      </c>
    </row>
    <row r="795" spans="1:5" x14ac:dyDescent="0.2">
      <c r="A795">
        <v>3113</v>
      </c>
      <c r="B795">
        <v>2</v>
      </c>
      <c r="C795" t="s">
        <v>1687</v>
      </c>
      <c r="D795">
        <v>36166</v>
      </c>
      <c r="E795" t="s">
        <v>107</v>
      </c>
    </row>
    <row r="796" spans="1:5" x14ac:dyDescent="0.2">
      <c r="A796">
        <v>3626</v>
      </c>
      <c r="B796">
        <v>0</v>
      </c>
      <c r="C796" t="s">
        <v>1688</v>
      </c>
      <c r="D796">
        <v>37257</v>
      </c>
      <c r="E796" t="s">
        <v>103</v>
      </c>
    </row>
    <row r="797" spans="1:5" x14ac:dyDescent="0.2">
      <c r="A797">
        <v>2858</v>
      </c>
      <c r="B797">
        <v>9</v>
      </c>
      <c r="C797" t="s">
        <v>1689</v>
      </c>
      <c r="D797">
        <v>37036</v>
      </c>
      <c r="E797" t="s">
        <v>1155</v>
      </c>
    </row>
    <row r="798" spans="1:5" x14ac:dyDescent="0.2">
      <c r="A798">
        <v>1927</v>
      </c>
      <c r="B798">
        <v>58</v>
      </c>
      <c r="C798" t="s">
        <v>801</v>
      </c>
      <c r="D798">
        <v>36778</v>
      </c>
      <c r="E798" t="s">
        <v>208</v>
      </c>
    </row>
    <row r="799" spans="1:5" x14ac:dyDescent="0.2">
      <c r="A799">
        <v>3165</v>
      </c>
      <c r="B799">
        <v>1</v>
      </c>
      <c r="C799" t="s">
        <v>1690</v>
      </c>
      <c r="D799">
        <v>36293</v>
      </c>
      <c r="E799" t="s">
        <v>1354</v>
      </c>
    </row>
    <row r="800" spans="1:5" x14ac:dyDescent="0.2">
      <c r="A800">
        <v>2724</v>
      </c>
      <c r="B800">
        <v>14</v>
      </c>
      <c r="C800" t="s">
        <v>1691</v>
      </c>
      <c r="D800">
        <v>36162</v>
      </c>
      <c r="E800" t="s">
        <v>168</v>
      </c>
    </row>
    <row r="801" spans="1:5" x14ac:dyDescent="0.2">
      <c r="A801">
        <v>2261</v>
      </c>
      <c r="B801">
        <v>37</v>
      </c>
      <c r="C801" t="s">
        <v>260</v>
      </c>
      <c r="D801">
        <v>36712</v>
      </c>
      <c r="E801" t="s">
        <v>105</v>
      </c>
    </row>
    <row r="802" spans="1:5" x14ac:dyDescent="0.2">
      <c r="A802">
        <v>2797</v>
      </c>
      <c r="B802">
        <v>11</v>
      </c>
      <c r="C802" t="s">
        <v>1692</v>
      </c>
      <c r="D802">
        <v>36775</v>
      </c>
      <c r="E802" t="s">
        <v>160</v>
      </c>
    </row>
    <row r="803" spans="1:5" x14ac:dyDescent="0.2">
      <c r="A803">
        <v>2675</v>
      </c>
      <c r="B803">
        <v>16</v>
      </c>
      <c r="C803" t="s">
        <v>1693</v>
      </c>
      <c r="D803">
        <v>36892</v>
      </c>
      <c r="E803" t="s">
        <v>120</v>
      </c>
    </row>
    <row r="804" spans="1:5" x14ac:dyDescent="0.2">
      <c r="A804">
        <v>3283</v>
      </c>
      <c r="B804">
        <v>0</v>
      </c>
      <c r="C804" t="s">
        <v>1694</v>
      </c>
      <c r="D804">
        <v>37400</v>
      </c>
      <c r="E804" t="s">
        <v>99</v>
      </c>
    </row>
    <row r="805" spans="1:5" x14ac:dyDescent="0.2">
      <c r="A805">
        <v>1462</v>
      </c>
      <c r="B805">
        <v>118</v>
      </c>
      <c r="C805" t="s">
        <v>261</v>
      </c>
      <c r="D805">
        <v>36311</v>
      </c>
      <c r="E805" t="s">
        <v>1121</v>
      </c>
    </row>
    <row r="806" spans="1:5" x14ac:dyDescent="0.2">
      <c r="A806">
        <v>3107</v>
      </c>
      <c r="B806">
        <v>2</v>
      </c>
      <c r="C806" t="s">
        <v>1695</v>
      </c>
      <c r="D806">
        <v>37339</v>
      </c>
      <c r="E806" t="s">
        <v>1143</v>
      </c>
    </row>
    <row r="807" spans="1:5" x14ac:dyDescent="0.2">
      <c r="A807">
        <v>3172</v>
      </c>
      <c r="B807">
        <v>1</v>
      </c>
      <c r="C807" t="s">
        <v>1696</v>
      </c>
      <c r="D807">
        <v>37174</v>
      </c>
      <c r="E807" t="s">
        <v>175</v>
      </c>
    </row>
    <row r="808" spans="1:5" x14ac:dyDescent="0.2">
      <c r="A808">
        <v>2605</v>
      </c>
      <c r="B808">
        <v>20</v>
      </c>
      <c r="C808" t="s">
        <v>678</v>
      </c>
      <c r="D808">
        <v>36976</v>
      </c>
      <c r="E808" t="s">
        <v>110</v>
      </c>
    </row>
    <row r="809" spans="1:5" x14ac:dyDescent="0.2">
      <c r="A809">
        <v>1850</v>
      </c>
      <c r="B809">
        <v>66</v>
      </c>
      <c r="C809" t="s">
        <v>1697</v>
      </c>
      <c r="D809">
        <v>36614</v>
      </c>
      <c r="E809" t="s">
        <v>120</v>
      </c>
    </row>
    <row r="810" spans="1:5" x14ac:dyDescent="0.2">
      <c r="A810">
        <v>3116</v>
      </c>
      <c r="B810">
        <v>2</v>
      </c>
      <c r="C810" t="s">
        <v>1698</v>
      </c>
      <c r="D810">
        <v>36914</v>
      </c>
      <c r="E810" t="s">
        <v>105</v>
      </c>
    </row>
    <row r="811" spans="1:5" x14ac:dyDescent="0.2">
      <c r="A811">
        <v>3436</v>
      </c>
      <c r="B811">
        <v>0</v>
      </c>
      <c r="C811" t="s">
        <v>1699</v>
      </c>
      <c r="D811">
        <v>36783</v>
      </c>
      <c r="E811" t="s">
        <v>1163</v>
      </c>
    </row>
    <row r="812" spans="1:5" x14ac:dyDescent="0.2">
      <c r="A812">
        <v>3226</v>
      </c>
      <c r="B812">
        <v>0</v>
      </c>
      <c r="C812" t="s">
        <v>1700</v>
      </c>
      <c r="D812">
        <v>37289</v>
      </c>
      <c r="E812" t="s">
        <v>379</v>
      </c>
    </row>
    <row r="813" spans="1:5" x14ac:dyDescent="0.2">
      <c r="A813">
        <v>2358</v>
      </c>
      <c r="B813">
        <v>32</v>
      </c>
      <c r="C813" t="s">
        <v>511</v>
      </c>
      <c r="D813">
        <v>36526</v>
      </c>
      <c r="E813" t="s">
        <v>105</v>
      </c>
    </row>
    <row r="814" spans="1:5" x14ac:dyDescent="0.2">
      <c r="A814">
        <v>2377</v>
      </c>
      <c r="B814">
        <v>31</v>
      </c>
      <c r="C814" t="s">
        <v>512</v>
      </c>
      <c r="D814">
        <v>37286</v>
      </c>
      <c r="E814" t="s">
        <v>105</v>
      </c>
    </row>
    <row r="815" spans="1:5" x14ac:dyDescent="0.2">
      <c r="A815">
        <v>1755</v>
      </c>
      <c r="B815">
        <v>75</v>
      </c>
      <c r="C815" t="s">
        <v>262</v>
      </c>
      <c r="D815">
        <v>36447</v>
      </c>
      <c r="E815" t="s">
        <v>105</v>
      </c>
    </row>
    <row r="816" spans="1:5" x14ac:dyDescent="0.2">
      <c r="A816">
        <v>3008</v>
      </c>
      <c r="B816">
        <v>4</v>
      </c>
      <c r="C816" t="s">
        <v>1701</v>
      </c>
      <c r="D816">
        <v>36195</v>
      </c>
      <c r="E816" t="s">
        <v>231</v>
      </c>
    </row>
    <row r="817" spans="1:5" x14ac:dyDescent="0.2">
      <c r="A817">
        <v>3080</v>
      </c>
      <c r="B817">
        <v>3</v>
      </c>
      <c r="C817" t="s">
        <v>1702</v>
      </c>
      <c r="D817">
        <v>37351</v>
      </c>
      <c r="E817" t="s">
        <v>1334</v>
      </c>
    </row>
    <row r="818" spans="1:5" x14ac:dyDescent="0.2">
      <c r="A818">
        <v>2896</v>
      </c>
      <c r="B818">
        <v>8</v>
      </c>
      <c r="C818" t="s">
        <v>1703</v>
      </c>
      <c r="D818">
        <v>36383</v>
      </c>
      <c r="E818" t="s">
        <v>120</v>
      </c>
    </row>
    <row r="819" spans="1:5" x14ac:dyDescent="0.2">
      <c r="A819">
        <v>2317</v>
      </c>
      <c r="B819">
        <v>34</v>
      </c>
      <c r="C819" t="s">
        <v>263</v>
      </c>
      <c r="D819">
        <v>36620</v>
      </c>
      <c r="E819" t="s">
        <v>1367</v>
      </c>
    </row>
    <row r="820" spans="1:5" x14ac:dyDescent="0.2">
      <c r="A820">
        <v>3686</v>
      </c>
      <c r="B820">
        <v>0</v>
      </c>
      <c r="C820" t="s">
        <v>1704</v>
      </c>
      <c r="D820">
        <v>36911</v>
      </c>
      <c r="E820" t="s">
        <v>365</v>
      </c>
    </row>
    <row r="821" spans="1:5" x14ac:dyDescent="0.2">
      <c r="A821">
        <v>2220</v>
      </c>
      <c r="B821">
        <v>40</v>
      </c>
      <c r="C821" t="s">
        <v>1705</v>
      </c>
      <c r="D821">
        <v>36163</v>
      </c>
      <c r="E821" t="s">
        <v>1548</v>
      </c>
    </row>
    <row r="822" spans="1:5" x14ac:dyDescent="0.2">
      <c r="A822">
        <v>1062</v>
      </c>
      <c r="B822">
        <v>203</v>
      </c>
      <c r="C822" t="s">
        <v>264</v>
      </c>
      <c r="D822">
        <v>36167</v>
      </c>
      <c r="E822" t="s">
        <v>74</v>
      </c>
    </row>
    <row r="823" spans="1:5" x14ac:dyDescent="0.2">
      <c r="A823">
        <v>2613</v>
      </c>
      <c r="B823">
        <v>19</v>
      </c>
      <c r="C823" t="s">
        <v>513</v>
      </c>
      <c r="D823">
        <v>36804</v>
      </c>
      <c r="E823" t="s">
        <v>1105</v>
      </c>
    </row>
    <row r="824" spans="1:5" x14ac:dyDescent="0.2">
      <c r="A824">
        <v>2511</v>
      </c>
      <c r="B824">
        <v>25</v>
      </c>
      <c r="C824" t="s">
        <v>1706</v>
      </c>
      <c r="D824">
        <v>36238</v>
      </c>
      <c r="E824" t="s">
        <v>1148</v>
      </c>
    </row>
    <row r="825" spans="1:5" x14ac:dyDescent="0.2">
      <c r="A825">
        <v>3627</v>
      </c>
      <c r="B825">
        <v>0</v>
      </c>
      <c r="C825" t="s">
        <v>1707</v>
      </c>
      <c r="D825">
        <v>37574</v>
      </c>
      <c r="E825" t="s">
        <v>1143</v>
      </c>
    </row>
    <row r="826" spans="1:5" x14ac:dyDescent="0.2">
      <c r="A826">
        <v>2567</v>
      </c>
      <c r="B826">
        <v>22</v>
      </c>
      <c r="C826" t="s">
        <v>802</v>
      </c>
      <c r="D826">
        <v>37314</v>
      </c>
      <c r="E826" t="s">
        <v>110</v>
      </c>
    </row>
    <row r="827" spans="1:5" x14ac:dyDescent="0.2">
      <c r="A827">
        <v>3581</v>
      </c>
      <c r="B827">
        <v>0</v>
      </c>
      <c r="C827" t="s">
        <v>1708</v>
      </c>
      <c r="D827">
        <v>36548</v>
      </c>
      <c r="E827" t="s">
        <v>105</v>
      </c>
    </row>
    <row r="828" spans="1:5" x14ac:dyDescent="0.2">
      <c r="A828">
        <v>2863</v>
      </c>
      <c r="B828">
        <v>9</v>
      </c>
      <c r="C828" t="s">
        <v>1709</v>
      </c>
      <c r="D828">
        <v>37489</v>
      </c>
      <c r="E828" t="s">
        <v>1710</v>
      </c>
    </row>
    <row r="829" spans="1:5" x14ac:dyDescent="0.2">
      <c r="A829">
        <v>2778</v>
      </c>
      <c r="B829">
        <v>12</v>
      </c>
      <c r="C829" t="s">
        <v>1711</v>
      </c>
      <c r="D829">
        <v>36868</v>
      </c>
      <c r="E829" t="s">
        <v>290</v>
      </c>
    </row>
    <row r="830" spans="1:5" x14ac:dyDescent="0.2">
      <c r="A830">
        <v>3453</v>
      </c>
      <c r="B830">
        <v>0</v>
      </c>
      <c r="C830" t="s">
        <v>1712</v>
      </c>
      <c r="D830">
        <v>37211</v>
      </c>
      <c r="E830" t="s">
        <v>105</v>
      </c>
    </row>
    <row r="831" spans="1:5" x14ac:dyDescent="0.2">
      <c r="A831">
        <v>3445</v>
      </c>
      <c r="B831">
        <v>0</v>
      </c>
      <c r="C831" t="s">
        <v>1713</v>
      </c>
      <c r="D831">
        <v>37686</v>
      </c>
      <c r="E831" t="s">
        <v>105</v>
      </c>
    </row>
    <row r="832" spans="1:5" x14ac:dyDescent="0.2">
      <c r="A832">
        <v>3485</v>
      </c>
      <c r="B832">
        <v>0</v>
      </c>
      <c r="C832" t="s">
        <v>1714</v>
      </c>
      <c r="D832">
        <v>36544</v>
      </c>
      <c r="E832" t="s">
        <v>110</v>
      </c>
    </row>
    <row r="833" spans="1:5" x14ac:dyDescent="0.2">
      <c r="A833">
        <v>2071</v>
      </c>
      <c r="B833">
        <v>48</v>
      </c>
      <c r="C833" t="s">
        <v>803</v>
      </c>
      <c r="D833">
        <v>36544</v>
      </c>
      <c r="E833" t="s">
        <v>110</v>
      </c>
    </row>
    <row r="834" spans="1:5" x14ac:dyDescent="0.2">
      <c r="A834">
        <v>1713</v>
      </c>
      <c r="B834">
        <v>82</v>
      </c>
      <c r="C834" t="s">
        <v>679</v>
      </c>
      <c r="D834">
        <v>36691</v>
      </c>
      <c r="E834" t="s">
        <v>120</v>
      </c>
    </row>
    <row r="835" spans="1:5" x14ac:dyDescent="0.2">
      <c r="A835">
        <v>3191</v>
      </c>
      <c r="B835">
        <v>0</v>
      </c>
      <c r="C835" t="s">
        <v>514</v>
      </c>
      <c r="D835">
        <v>36759</v>
      </c>
      <c r="E835" t="s">
        <v>105</v>
      </c>
    </row>
    <row r="836" spans="1:5" x14ac:dyDescent="0.2">
      <c r="A836">
        <v>2030</v>
      </c>
      <c r="B836">
        <v>50</v>
      </c>
      <c r="C836" t="s">
        <v>1715</v>
      </c>
      <c r="D836">
        <v>36541</v>
      </c>
      <c r="E836" t="s">
        <v>105</v>
      </c>
    </row>
    <row r="837" spans="1:5" x14ac:dyDescent="0.2">
      <c r="A837">
        <v>2657</v>
      </c>
      <c r="B837">
        <v>17</v>
      </c>
      <c r="C837" t="s">
        <v>396</v>
      </c>
      <c r="D837">
        <v>37567</v>
      </c>
      <c r="E837" t="s">
        <v>105</v>
      </c>
    </row>
    <row r="838" spans="1:5" x14ac:dyDescent="0.2">
      <c r="A838">
        <v>3117</v>
      </c>
      <c r="B838">
        <v>2</v>
      </c>
      <c r="C838" t="s">
        <v>396</v>
      </c>
      <c r="D838">
        <v>38117</v>
      </c>
      <c r="E838" t="s">
        <v>1491</v>
      </c>
    </row>
    <row r="839" spans="1:5" x14ac:dyDescent="0.2">
      <c r="A839">
        <v>2762</v>
      </c>
      <c r="B839">
        <v>12</v>
      </c>
      <c r="C839" t="s">
        <v>680</v>
      </c>
      <c r="D839">
        <v>36820</v>
      </c>
      <c r="E839" t="s">
        <v>99</v>
      </c>
    </row>
    <row r="840" spans="1:5" x14ac:dyDescent="0.2">
      <c r="A840">
        <v>3030</v>
      </c>
      <c r="B840">
        <v>4</v>
      </c>
      <c r="C840" t="s">
        <v>680</v>
      </c>
      <c r="D840">
        <v>37457</v>
      </c>
      <c r="E840" t="s">
        <v>1186</v>
      </c>
    </row>
    <row r="841" spans="1:5" x14ac:dyDescent="0.2">
      <c r="A841">
        <v>3535</v>
      </c>
      <c r="B841">
        <v>0</v>
      </c>
      <c r="C841" t="s">
        <v>1716</v>
      </c>
      <c r="D841">
        <v>37820</v>
      </c>
      <c r="E841" t="s">
        <v>105</v>
      </c>
    </row>
    <row r="842" spans="1:5" x14ac:dyDescent="0.2">
      <c r="A842">
        <v>1754</v>
      </c>
      <c r="B842">
        <v>76</v>
      </c>
      <c r="C842" t="s">
        <v>804</v>
      </c>
      <c r="D842">
        <v>36192</v>
      </c>
      <c r="E842" t="s">
        <v>105</v>
      </c>
    </row>
    <row r="843" spans="1:5" x14ac:dyDescent="0.2">
      <c r="A843">
        <v>3053</v>
      </c>
      <c r="B843">
        <v>4</v>
      </c>
      <c r="C843" t="s">
        <v>1717</v>
      </c>
      <c r="D843">
        <v>36886</v>
      </c>
      <c r="E843" t="s">
        <v>105</v>
      </c>
    </row>
    <row r="844" spans="1:5" x14ac:dyDescent="0.2">
      <c r="A844">
        <v>1904</v>
      </c>
      <c r="B844">
        <v>60</v>
      </c>
      <c r="C844" t="s">
        <v>515</v>
      </c>
      <c r="D844">
        <v>36178</v>
      </c>
      <c r="E844" t="s">
        <v>105</v>
      </c>
    </row>
    <row r="845" spans="1:5" x14ac:dyDescent="0.2">
      <c r="A845">
        <v>2039</v>
      </c>
      <c r="B845">
        <v>49</v>
      </c>
      <c r="C845" t="s">
        <v>1718</v>
      </c>
      <c r="D845">
        <v>36961</v>
      </c>
      <c r="E845" t="s">
        <v>180</v>
      </c>
    </row>
    <row r="846" spans="1:5" x14ac:dyDescent="0.2">
      <c r="A846">
        <v>2528</v>
      </c>
      <c r="B846">
        <v>24</v>
      </c>
      <c r="C846" t="s">
        <v>1719</v>
      </c>
      <c r="D846">
        <v>36596</v>
      </c>
      <c r="E846" t="s">
        <v>170</v>
      </c>
    </row>
    <row r="847" spans="1:5" x14ac:dyDescent="0.2">
      <c r="A847">
        <v>2082</v>
      </c>
      <c r="B847">
        <v>47</v>
      </c>
      <c r="C847" t="s">
        <v>805</v>
      </c>
      <c r="D847">
        <v>36498</v>
      </c>
      <c r="E847" t="s">
        <v>164</v>
      </c>
    </row>
    <row r="848" spans="1:5" x14ac:dyDescent="0.2">
      <c r="A848">
        <v>1293</v>
      </c>
      <c r="B848">
        <v>149</v>
      </c>
      <c r="C848" t="s">
        <v>1720</v>
      </c>
      <c r="D848">
        <v>36579</v>
      </c>
      <c r="E848" t="s">
        <v>1121</v>
      </c>
    </row>
    <row r="849" spans="1:5" x14ac:dyDescent="0.2">
      <c r="A849">
        <v>3678</v>
      </c>
      <c r="B849">
        <v>0</v>
      </c>
      <c r="C849" t="s">
        <v>1721</v>
      </c>
      <c r="D849">
        <v>38042</v>
      </c>
      <c r="E849" t="s">
        <v>1431</v>
      </c>
    </row>
    <row r="850" spans="1:5" x14ac:dyDescent="0.2">
      <c r="A850">
        <v>1849</v>
      </c>
      <c r="B850">
        <v>66</v>
      </c>
      <c r="C850" t="s">
        <v>806</v>
      </c>
      <c r="D850">
        <v>36733</v>
      </c>
      <c r="E850" t="s">
        <v>163</v>
      </c>
    </row>
    <row r="851" spans="1:5" x14ac:dyDescent="0.2">
      <c r="A851">
        <v>2814</v>
      </c>
      <c r="B851">
        <v>10</v>
      </c>
      <c r="C851" t="s">
        <v>265</v>
      </c>
      <c r="D851">
        <v>36722</v>
      </c>
      <c r="E851" t="s">
        <v>105</v>
      </c>
    </row>
    <row r="852" spans="1:5" x14ac:dyDescent="0.2">
      <c r="A852">
        <v>1922</v>
      </c>
      <c r="B852">
        <v>58</v>
      </c>
      <c r="C852" t="s">
        <v>516</v>
      </c>
      <c r="D852">
        <v>36318</v>
      </c>
      <c r="E852" t="s">
        <v>126</v>
      </c>
    </row>
    <row r="853" spans="1:5" x14ac:dyDescent="0.2">
      <c r="A853">
        <v>3065</v>
      </c>
      <c r="B853">
        <v>3</v>
      </c>
      <c r="C853" t="s">
        <v>1722</v>
      </c>
      <c r="D853">
        <v>36994</v>
      </c>
      <c r="E853" t="s">
        <v>117</v>
      </c>
    </row>
    <row r="854" spans="1:5" x14ac:dyDescent="0.2">
      <c r="A854">
        <v>2842</v>
      </c>
      <c r="B854">
        <v>9</v>
      </c>
      <c r="C854" t="s">
        <v>266</v>
      </c>
      <c r="D854">
        <v>36784</v>
      </c>
      <c r="E854" t="s">
        <v>1143</v>
      </c>
    </row>
    <row r="855" spans="1:5" x14ac:dyDescent="0.2">
      <c r="A855">
        <v>1773</v>
      </c>
      <c r="B855">
        <v>74</v>
      </c>
      <c r="C855" t="s">
        <v>1723</v>
      </c>
      <c r="D855">
        <v>36253</v>
      </c>
      <c r="E855" t="s">
        <v>1519</v>
      </c>
    </row>
    <row r="856" spans="1:5" x14ac:dyDescent="0.2">
      <c r="A856">
        <v>2837</v>
      </c>
      <c r="B856">
        <v>10</v>
      </c>
      <c r="C856" t="s">
        <v>1724</v>
      </c>
      <c r="D856">
        <v>37173</v>
      </c>
      <c r="E856" t="s">
        <v>1390</v>
      </c>
    </row>
    <row r="857" spans="1:5" x14ac:dyDescent="0.2">
      <c r="A857">
        <v>1168</v>
      </c>
      <c r="B857">
        <v>174</v>
      </c>
      <c r="C857" t="s">
        <v>267</v>
      </c>
      <c r="D857">
        <v>37018</v>
      </c>
      <c r="E857" t="s">
        <v>179</v>
      </c>
    </row>
    <row r="858" spans="1:5" x14ac:dyDescent="0.2">
      <c r="A858">
        <v>3468</v>
      </c>
      <c r="B858">
        <v>0</v>
      </c>
      <c r="C858" t="s">
        <v>1725</v>
      </c>
      <c r="D858">
        <v>37048</v>
      </c>
      <c r="E858" t="s">
        <v>120</v>
      </c>
    </row>
    <row r="859" spans="1:5" x14ac:dyDescent="0.2">
      <c r="A859">
        <v>2802</v>
      </c>
      <c r="B859">
        <v>11</v>
      </c>
      <c r="C859" t="s">
        <v>1726</v>
      </c>
      <c r="D859">
        <v>37374</v>
      </c>
      <c r="E859" t="s">
        <v>118</v>
      </c>
    </row>
    <row r="860" spans="1:5" x14ac:dyDescent="0.2">
      <c r="A860">
        <v>1645</v>
      </c>
      <c r="B860">
        <v>90</v>
      </c>
      <c r="C860" t="s">
        <v>397</v>
      </c>
      <c r="D860">
        <v>36326</v>
      </c>
      <c r="E860" t="s">
        <v>105</v>
      </c>
    </row>
    <row r="861" spans="1:5" x14ac:dyDescent="0.2">
      <c r="A861">
        <v>2917</v>
      </c>
      <c r="B861">
        <v>7</v>
      </c>
      <c r="C861" t="s">
        <v>1728</v>
      </c>
      <c r="D861">
        <v>37165</v>
      </c>
      <c r="E861" t="s">
        <v>1727</v>
      </c>
    </row>
    <row r="862" spans="1:5" x14ac:dyDescent="0.2">
      <c r="A862">
        <v>2755</v>
      </c>
      <c r="B862">
        <v>13</v>
      </c>
      <c r="C862" t="s">
        <v>1729</v>
      </c>
      <c r="D862">
        <v>36770</v>
      </c>
      <c r="E862" t="s">
        <v>213</v>
      </c>
    </row>
    <row r="863" spans="1:5" x14ac:dyDescent="0.2">
      <c r="A863">
        <v>2946</v>
      </c>
      <c r="B863">
        <v>6</v>
      </c>
      <c r="C863" t="s">
        <v>1730</v>
      </c>
      <c r="D863">
        <v>36526</v>
      </c>
      <c r="E863" t="s">
        <v>165</v>
      </c>
    </row>
    <row r="864" spans="1:5" x14ac:dyDescent="0.2">
      <c r="A864">
        <v>1571</v>
      </c>
      <c r="B864">
        <v>100</v>
      </c>
      <c r="C864" t="s">
        <v>807</v>
      </c>
      <c r="D864">
        <v>36696</v>
      </c>
      <c r="E864" t="s">
        <v>160</v>
      </c>
    </row>
    <row r="865" spans="1:5" x14ac:dyDescent="0.2">
      <c r="A865">
        <v>3025</v>
      </c>
      <c r="B865">
        <v>4</v>
      </c>
      <c r="C865" t="s">
        <v>1731</v>
      </c>
      <c r="D865">
        <v>37422</v>
      </c>
      <c r="E865" t="s">
        <v>105</v>
      </c>
    </row>
    <row r="866" spans="1:5" x14ac:dyDescent="0.2">
      <c r="A866">
        <v>2810</v>
      </c>
      <c r="B866">
        <v>11</v>
      </c>
      <c r="C866" t="s">
        <v>1732</v>
      </c>
      <c r="D866">
        <v>37505</v>
      </c>
      <c r="E866" t="s">
        <v>1191</v>
      </c>
    </row>
    <row r="867" spans="1:5" x14ac:dyDescent="0.2">
      <c r="A867">
        <v>3596</v>
      </c>
      <c r="B867">
        <v>0</v>
      </c>
      <c r="C867" t="s">
        <v>1733</v>
      </c>
      <c r="D867">
        <v>37925</v>
      </c>
      <c r="E867" t="s">
        <v>1186</v>
      </c>
    </row>
    <row r="868" spans="1:5" x14ac:dyDescent="0.2">
      <c r="A868">
        <v>3148</v>
      </c>
      <c r="B868">
        <v>1</v>
      </c>
      <c r="C868" t="s">
        <v>1734</v>
      </c>
      <c r="D868">
        <v>37636</v>
      </c>
      <c r="E868" t="s">
        <v>105</v>
      </c>
    </row>
    <row r="869" spans="1:5" x14ac:dyDescent="0.2">
      <c r="A869">
        <v>3190</v>
      </c>
      <c r="B869">
        <v>1</v>
      </c>
      <c r="C869" t="s">
        <v>1735</v>
      </c>
      <c r="D869">
        <v>36614</v>
      </c>
      <c r="E869" t="s">
        <v>74</v>
      </c>
    </row>
    <row r="870" spans="1:5" x14ac:dyDescent="0.2">
      <c r="A870">
        <v>3241</v>
      </c>
      <c r="B870">
        <v>0</v>
      </c>
      <c r="C870" t="s">
        <v>1736</v>
      </c>
      <c r="D870">
        <v>37166</v>
      </c>
      <c r="E870" t="s">
        <v>170</v>
      </c>
    </row>
    <row r="871" spans="1:5" x14ac:dyDescent="0.2">
      <c r="A871">
        <v>3522</v>
      </c>
      <c r="B871">
        <v>0</v>
      </c>
      <c r="C871" t="s">
        <v>1737</v>
      </c>
      <c r="D871">
        <v>37057</v>
      </c>
      <c r="E871" t="s">
        <v>1218</v>
      </c>
    </row>
    <row r="872" spans="1:5" x14ac:dyDescent="0.2">
      <c r="A872">
        <v>3322</v>
      </c>
      <c r="B872">
        <v>0</v>
      </c>
      <c r="C872" t="s">
        <v>1738</v>
      </c>
      <c r="D872">
        <v>36288</v>
      </c>
      <c r="E872" t="s">
        <v>290</v>
      </c>
    </row>
    <row r="873" spans="1:5" x14ac:dyDescent="0.2">
      <c r="A873">
        <v>2418</v>
      </c>
      <c r="B873">
        <v>29</v>
      </c>
      <c r="C873" t="s">
        <v>517</v>
      </c>
      <c r="D873">
        <v>37107</v>
      </c>
      <c r="E873" t="s">
        <v>72</v>
      </c>
    </row>
    <row r="874" spans="1:5" x14ac:dyDescent="0.2">
      <c r="A874">
        <v>2540</v>
      </c>
      <c r="B874">
        <v>24</v>
      </c>
      <c r="C874" t="s">
        <v>1739</v>
      </c>
      <c r="D874">
        <v>36759</v>
      </c>
      <c r="E874" t="s">
        <v>105</v>
      </c>
    </row>
    <row r="875" spans="1:5" x14ac:dyDescent="0.2">
      <c r="A875">
        <v>3536</v>
      </c>
      <c r="B875">
        <v>0</v>
      </c>
      <c r="C875" t="s">
        <v>1740</v>
      </c>
      <c r="D875">
        <v>37181</v>
      </c>
      <c r="E875" t="s">
        <v>105</v>
      </c>
    </row>
    <row r="876" spans="1:5" x14ac:dyDescent="0.2">
      <c r="A876">
        <v>2742</v>
      </c>
      <c r="B876">
        <v>13</v>
      </c>
      <c r="C876" t="s">
        <v>1741</v>
      </c>
      <c r="D876">
        <v>37726</v>
      </c>
      <c r="E876" t="s">
        <v>105</v>
      </c>
    </row>
    <row r="877" spans="1:5" x14ac:dyDescent="0.2">
      <c r="A877">
        <v>2555</v>
      </c>
      <c r="B877">
        <v>22</v>
      </c>
      <c r="C877" t="s">
        <v>1742</v>
      </c>
      <c r="D877">
        <v>36818</v>
      </c>
      <c r="E877" t="s">
        <v>105</v>
      </c>
    </row>
    <row r="878" spans="1:5" x14ac:dyDescent="0.2">
      <c r="A878">
        <v>3103</v>
      </c>
      <c r="B878">
        <v>2</v>
      </c>
      <c r="C878" t="s">
        <v>1743</v>
      </c>
      <c r="D878">
        <v>36526</v>
      </c>
      <c r="E878" t="s">
        <v>105</v>
      </c>
    </row>
    <row r="879" spans="1:5" x14ac:dyDescent="0.2">
      <c r="A879">
        <v>2979</v>
      </c>
      <c r="B879">
        <v>5</v>
      </c>
      <c r="C879" t="s">
        <v>1744</v>
      </c>
      <c r="D879">
        <v>37279</v>
      </c>
      <c r="E879" t="s">
        <v>120</v>
      </c>
    </row>
    <row r="880" spans="1:5" x14ac:dyDescent="0.2">
      <c r="A880">
        <v>2861</v>
      </c>
      <c r="B880">
        <v>9</v>
      </c>
      <c r="C880" t="s">
        <v>1745</v>
      </c>
      <c r="D880">
        <v>36900</v>
      </c>
      <c r="E880" t="s">
        <v>160</v>
      </c>
    </row>
    <row r="881" spans="1:5" x14ac:dyDescent="0.2">
      <c r="A881">
        <v>1581</v>
      </c>
      <c r="B881">
        <v>99</v>
      </c>
      <c r="C881" t="s">
        <v>1746</v>
      </c>
      <c r="D881">
        <v>36676</v>
      </c>
      <c r="E881" t="s">
        <v>105</v>
      </c>
    </row>
    <row r="882" spans="1:5" x14ac:dyDescent="0.2">
      <c r="A882">
        <v>3552</v>
      </c>
      <c r="B882">
        <v>0</v>
      </c>
      <c r="C882" t="s">
        <v>1747</v>
      </c>
      <c r="D882">
        <v>36860</v>
      </c>
      <c r="E882" t="s">
        <v>120</v>
      </c>
    </row>
    <row r="883" spans="1:5" x14ac:dyDescent="0.2">
      <c r="A883">
        <v>2102</v>
      </c>
      <c r="B883">
        <v>46</v>
      </c>
      <c r="C883" t="s">
        <v>1748</v>
      </c>
      <c r="D883">
        <v>37070</v>
      </c>
      <c r="E883" t="s">
        <v>120</v>
      </c>
    </row>
    <row r="884" spans="1:5" x14ac:dyDescent="0.2">
      <c r="A884">
        <v>2644</v>
      </c>
      <c r="B884">
        <v>18</v>
      </c>
      <c r="C884" t="s">
        <v>1749</v>
      </c>
      <c r="D884">
        <v>37086</v>
      </c>
      <c r="E884" t="s">
        <v>99</v>
      </c>
    </row>
    <row r="885" spans="1:5" x14ac:dyDescent="0.2">
      <c r="A885">
        <v>1908</v>
      </c>
      <c r="B885">
        <v>59</v>
      </c>
      <c r="C885" t="s">
        <v>268</v>
      </c>
      <c r="D885">
        <v>36269</v>
      </c>
      <c r="E885" t="s">
        <v>105</v>
      </c>
    </row>
    <row r="886" spans="1:5" x14ac:dyDescent="0.2">
      <c r="A886">
        <v>2798</v>
      </c>
      <c r="B886">
        <v>11</v>
      </c>
      <c r="C886" t="s">
        <v>1750</v>
      </c>
      <c r="D886">
        <v>36526</v>
      </c>
      <c r="E886" t="s">
        <v>1129</v>
      </c>
    </row>
    <row r="887" spans="1:5" x14ac:dyDescent="0.2">
      <c r="A887">
        <v>2516</v>
      </c>
      <c r="B887">
        <v>24</v>
      </c>
      <c r="C887" t="s">
        <v>398</v>
      </c>
      <c r="D887">
        <v>36646</v>
      </c>
      <c r="E887" t="s">
        <v>1143</v>
      </c>
    </row>
    <row r="888" spans="1:5" x14ac:dyDescent="0.2">
      <c r="A888">
        <v>3537</v>
      </c>
      <c r="B888">
        <v>0</v>
      </c>
      <c r="C888" t="s">
        <v>1752</v>
      </c>
      <c r="D888">
        <v>36722</v>
      </c>
      <c r="E888" t="s">
        <v>105</v>
      </c>
    </row>
    <row r="889" spans="1:5" x14ac:dyDescent="0.2">
      <c r="A889">
        <v>3075</v>
      </c>
      <c r="B889">
        <v>3</v>
      </c>
      <c r="C889" t="s">
        <v>1753</v>
      </c>
      <c r="D889">
        <v>36204</v>
      </c>
      <c r="E889" t="s">
        <v>1603</v>
      </c>
    </row>
    <row r="890" spans="1:5" x14ac:dyDescent="0.2">
      <c r="A890">
        <v>1046</v>
      </c>
      <c r="B890">
        <v>206</v>
      </c>
      <c r="C890" t="s">
        <v>269</v>
      </c>
      <c r="D890">
        <v>36354</v>
      </c>
      <c r="E890" t="s">
        <v>105</v>
      </c>
    </row>
    <row r="891" spans="1:5" x14ac:dyDescent="0.2">
      <c r="A891">
        <v>2635</v>
      </c>
      <c r="B891">
        <v>19</v>
      </c>
      <c r="C891" t="s">
        <v>1754</v>
      </c>
      <c r="D891">
        <v>37465</v>
      </c>
      <c r="E891" t="s">
        <v>105</v>
      </c>
    </row>
    <row r="892" spans="1:5" x14ac:dyDescent="0.2">
      <c r="A892">
        <v>3521</v>
      </c>
      <c r="B892">
        <v>0</v>
      </c>
      <c r="C892" t="s">
        <v>1755</v>
      </c>
      <c r="D892">
        <v>36672</v>
      </c>
      <c r="E892" t="s">
        <v>200</v>
      </c>
    </row>
    <row r="893" spans="1:5" x14ac:dyDescent="0.2">
      <c r="A893">
        <v>2866</v>
      </c>
      <c r="B893">
        <v>9</v>
      </c>
      <c r="C893" t="s">
        <v>1756</v>
      </c>
      <c r="D893">
        <v>36840</v>
      </c>
      <c r="E893" t="s">
        <v>105</v>
      </c>
    </row>
    <row r="894" spans="1:5" x14ac:dyDescent="0.2">
      <c r="A894">
        <v>3558</v>
      </c>
      <c r="B894">
        <v>0</v>
      </c>
      <c r="C894" t="s">
        <v>1757</v>
      </c>
      <c r="D894">
        <v>36638</v>
      </c>
      <c r="E894" t="s">
        <v>1063</v>
      </c>
    </row>
    <row r="895" spans="1:5" x14ac:dyDescent="0.2">
      <c r="A895">
        <v>1549</v>
      </c>
      <c r="B895">
        <v>103</v>
      </c>
      <c r="C895" t="s">
        <v>1758</v>
      </c>
      <c r="D895">
        <v>37048</v>
      </c>
      <c r="E895" t="s">
        <v>176</v>
      </c>
    </row>
    <row r="896" spans="1:5" x14ac:dyDescent="0.2">
      <c r="A896">
        <v>2173</v>
      </c>
      <c r="B896">
        <v>43</v>
      </c>
      <c r="C896" t="s">
        <v>1759</v>
      </c>
      <c r="D896">
        <v>36791</v>
      </c>
      <c r="E896" t="s">
        <v>120</v>
      </c>
    </row>
    <row r="897" spans="1:5" x14ac:dyDescent="0.2">
      <c r="A897">
        <v>1729</v>
      </c>
      <c r="B897">
        <v>80</v>
      </c>
      <c r="C897" t="s">
        <v>270</v>
      </c>
      <c r="D897">
        <v>36548</v>
      </c>
      <c r="E897" t="s">
        <v>165</v>
      </c>
    </row>
    <row r="898" spans="1:5" x14ac:dyDescent="0.2">
      <c r="A898">
        <v>3457</v>
      </c>
      <c r="B898">
        <v>0</v>
      </c>
      <c r="C898" t="s">
        <v>1760</v>
      </c>
      <c r="D898">
        <v>37461</v>
      </c>
      <c r="E898" t="s">
        <v>74</v>
      </c>
    </row>
    <row r="899" spans="1:5" x14ac:dyDescent="0.2">
      <c r="A899">
        <v>1491</v>
      </c>
      <c r="B899">
        <v>114</v>
      </c>
      <c r="C899" t="s">
        <v>808</v>
      </c>
      <c r="D899">
        <v>36840</v>
      </c>
      <c r="E899" t="s">
        <v>160</v>
      </c>
    </row>
    <row r="900" spans="1:5" x14ac:dyDescent="0.2">
      <c r="A900">
        <v>1992</v>
      </c>
      <c r="B900">
        <v>53</v>
      </c>
      <c r="C900" t="s">
        <v>1761</v>
      </c>
      <c r="D900">
        <v>37121</v>
      </c>
      <c r="E900" t="s">
        <v>154</v>
      </c>
    </row>
    <row r="901" spans="1:5" x14ac:dyDescent="0.2">
      <c r="A901">
        <v>2596</v>
      </c>
      <c r="B901">
        <v>20</v>
      </c>
      <c r="C901" t="s">
        <v>1762</v>
      </c>
      <c r="D901">
        <v>36854</v>
      </c>
      <c r="E901" t="s">
        <v>1763</v>
      </c>
    </row>
    <row r="902" spans="1:5" x14ac:dyDescent="0.2">
      <c r="A902">
        <v>2824</v>
      </c>
      <c r="B902">
        <v>10</v>
      </c>
      <c r="C902" t="s">
        <v>271</v>
      </c>
      <c r="D902">
        <v>36364</v>
      </c>
      <c r="E902" t="s">
        <v>128</v>
      </c>
    </row>
    <row r="903" spans="1:5" x14ac:dyDescent="0.2">
      <c r="A903">
        <v>1652</v>
      </c>
      <c r="B903">
        <v>89</v>
      </c>
      <c r="C903" t="s">
        <v>681</v>
      </c>
      <c r="D903">
        <v>37385</v>
      </c>
      <c r="E903" t="s">
        <v>128</v>
      </c>
    </row>
    <row r="904" spans="1:5" x14ac:dyDescent="0.2">
      <c r="A904">
        <v>1124</v>
      </c>
      <c r="B904">
        <v>185</v>
      </c>
      <c r="C904" t="s">
        <v>399</v>
      </c>
      <c r="D904">
        <v>37117</v>
      </c>
      <c r="E904" t="s">
        <v>105</v>
      </c>
    </row>
    <row r="905" spans="1:5" x14ac:dyDescent="0.2">
      <c r="A905">
        <v>3635</v>
      </c>
      <c r="B905">
        <v>0</v>
      </c>
      <c r="C905" t="s">
        <v>1764</v>
      </c>
      <c r="D905">
        <v>36990</v>
      </c>
      <c r="E905" t="s">
        <v>120</v>
      </c>
    </row>
    <row r="906" spans="1:5" x14ac:dyDescent="0.2">
      <c r="A906">
        <v>1597</v>
      </c>
      <c r="B906">
        <v>96</v>
      </c>
      <c r="C906" t="s">
        <v>400</v>
      </c>
      <c r="D906">
        <v>36322</v>
      </c>
      <c r="E906" t="s">
        <v>120</v>
      </c>
    </row>
    <row r="907" spans="1:5" x14ac:dyDescent="0.2">
      <c r="A907">
        <v>2239</v>
      </c>
      <c r="B907">
        <v>39</v>
      </c>
      <c r="C907" t="s">
        <v>1765</v>
      </c>
      <c r="D907">
        <v>36532</v>
      </c>
      <c r="E907" t="s">
        <v>138</v>
      </c>
    </row>
    <row r="908" spans="1:5" x14ac:dyDescent="0.2">
      <c r="A908">
        <v>2387</v>
      </c>
      <c r="B908">
        <v>31</v>
      </c>
      <c r="C908" t="s">
        <v>682</v>
      </c>
      <c r="D908">
        <v>37294</v>
      </c>
      <c r="E908" t="s">
        <v>1193</v>
      </c>
    </row>
    <row r="909" spans="1:5" x14ac:dyDescent="0.2">
      <c r="A909">
        <v>3242</v>
      </c>
      <c r="B909">
        <v>0</v>
      </c>
      <c r="C909" t="s">
        <v>1766</v>
      </c>
      <c r="D909">
        <v>37608</v>
      </c>
      <c r="E909" t="s">
        <v>1078</v>
      </c>
    </row>
    <row r="910" spans="1:5" x14ac:dyDescent="0.2">
      <c r="A910">
        <v>2340</v>
      </c>
      <c r="B910">
        <v>33</v>
      </c>
      <c r="C910" t="s">
        <v>518</v>
      </c>
      <c r="D910">
        <v>36440</v>
      </c>
      <c r="E910" t="s">
        <v>103</v>
      </c>
    </row>
    <row r="911" spans="1:5" x14ac:dyDescent="0.2">
      <c r="A911">
        <v>3359</v>
      </c>
      <c r="B911">
        <v>0</v>
      </c>
      <c r="C911" t="s">
        <v>1768</v>
      </c>
      <c r="D911">
        <v>36755</v>
      </c>
      <c r="E911" t="s">
        <v>72</v>
      </c>
    </row>
    <row r="912" spans="1:5" x14ac:dyDescent="0.2">
      <c r="A912">
        <v>3616</v>
      </c>
      <c r="B912">
        <v>0</v>
      </c>
      <c r="C912" t="s">
        <v>1769</v>
      </c>
      <c r="D912">
        <v>37192</v>
      </c>
      <c r="E912" t="s">
        <v>1192</v>
      </c>
    </row>
    <row r="913" spans="1:5" x14ac:dyDescent="0.2">
      <c r="A913">
        <v>3490</v>
      </c>
      <c r="B913">
        <v>0</v>
      </c>
      <c r="C913" t="s">
        <v>1770</v>
      </c>
      <c r="D913">
        <v>37412</v>
      </c>
      <c r="E913" t="s">
        <v>1400</v>
      </c>
    </row>
    <row r="914" spans="1:5" x14ac:dyDescent="0.2">
      <c r="A914">
        <v>3263</v>
      </c>
      <c r="B914">
        <v>0</v>
      </c>
      <c r="C914" t="s">
        <v>1771</v>
      </c>
      <c r="D914">
        <v>37068</v>
      </c>
      <c r="E914" t="s">
        <v>1400</v>
      </c>
    </row>
    <row r="915" spans="1:5" x14ac:dyDescent="0.2">
      <c r="A915">
        <v>2846</v>
      </c>
      <c r="B915">
        <v>9</v>
      </c>
      <c r="C915" t="s">
        <v>1772</v>
      </c>
      <c r="D915">
        <v>36991</v>
      </c>
      <c r="E915" t="s">
        <v>1218</v>
      </c>
    </row>
    <row r="916" spans="1:5" x14ac:dyDescent="0.2">
      <c r="A916">
        <v>2487</v>
      </c>
      <c r="B916">
        <v>26</v>
      </c>
      <c r="C916" t="s">
        <v>1773</v>
      </c>
      <c r="D916">
        <v>36445</v>
      </c>
      <c r="E916" t="s">
        <v>1774</v>
      </c>
    </row>
    <row r="917" spans="1:5" x14ac:dyDescent="0.2">
      <c r="A917">
        <v>2445</v>
      </c>
      <c r="B917">
        <v>28</v>
      </c>
      <c r="C917" t="s">
        <v>1775</v>
      </c>
      <c r="D917">
        <v>37119</v>
      </c>
      <c r="E917" t="s">
        <v>1776</v>
      </c>
    </row>
    <row r="918" spans="1:5" x14ac:dyDescent="0.2">
      <c r="A918">
        <v>1669</v>
      </c>
      <c r="B918">
        <v>87</v>
      </c>
      <c r="C918" t="s">
        <v>1777</v>
      </c>
      <c r="D918">
        <v>37084</v>
      </c>
      <c r="E918" t="s">
        <v>108</v>
      </c>
    </row>
    <row r="919" spans="1:5" x14ac:dyDescent="0.2">
      <c r="A919">
        <v>1694</v>
      </c>
      <c r="B919">
        <v>84</v>
      </c>
      <c r="C919" t="s">
        <v>272</v>
      </c>
      <c r="D919">
        <v>36584</v>
      </c>
      <c r="E919" t="s">
        <v>113</v>
      </c>
    </row>
    <row r="920" spans="1:5" x14ac:dyDescent="0.2">
      <c r="A920">
        <v>1870</v>
      </c>
      <c r="B920">
        <v>63</v>
      </c>
      <c r="C920" t="s">
        <v>273</v>
      </c>
      <c r="D920">
        <v>36280</v>
      </c>
      <c r="E920" t="s">
        <v>113</v>
      </c>
    </row>
    <row r="921" spans="1:5" x14ac:dyDescent="0.2">
      <c r="A921">
        <v>999</v>
      </c>
      <c r="B921">
        <v>222</v>
      </c>
      <c r="C921" t="s">
        <v>519</v>
      </c>
      <c r="D921">
        <v>36282</v>
      </c>
      <c r="E921" t="s">
        <v>99</v>
      </c>
    </row>
    <row r="922" spans="1:5" x14ac:dyDescent="0.2">
      <c r="A922">
        <v>3455</v>
      </c>
      <c r="B922">
        <v>0</v>
      </c>
      <c r="C922" t="s">
        <v>1778</v>
      </c>
      <c r="D922">
        <v>36822</v>
      </c>
      <c r="E922" t="s">
        <v>183</v>
      </c>
    </row>
    <row r="923" spans="1:5" x14ac:dyDescent="0.2">
      <c r="A923">
        <v>3106</v>
      </c>
      <c r="B923">
        <v>2</v>
      </c>
      <c r="C923" t="s">
        <v>1779</v>
      </c>
      <c r="D923">
        <v>37463</v>
      </c>
      <c r="E923" t="s">
        <v>126</v>
      </c>
    </row>
    <row r="924" spans="1:5" x14ac:dyDescent="0.2">
      <c r="A924">
        <v>1817</v>
      </c>
      <c r="B924">
        <v>70</v>
      </c>
      <c r="C924" t="s">
        <v>274</v>
      </c>
      <c r="D924">
        <v>36167</v>
      </c>
      <c r="E924" t="s">
        <v>128</v>
      </c>
    </row>
    <row r="925" spans="1:5" x14ac:dyDescent="0.2">
      <c r="A925">
        <v>3131</v>
      </c>
      <c r="B925">
        <v>2</v>
      </c>
      <c r="C925" t="s">
        <v>1780</v>
      </c>
      <c r="D925">
        <v>37602</v>
      </c>
      <c r="E925" t="s">
        <v>120</v>
      </c>
    </row>
    <row r="926" spans="1:5" x14ac:dyDescent="0.2">
      <c r="A926">
        <v>2840</v>
      </c>
      <c r="B926">
        <v>10</v>
      </c>
      <c r="C926" t="s">
        <v>1781</v>
      </c>
      <c r="D926">
        <v>36790</v>
      </c>
      <c r="E926" t="s">
        <v>1065</v>
      </c>
    </row>
    <row r="927" spans="1:5" x14ac:dyDescent="0.2">
      <c r="A927">
        <v>2049</v>
      </c>
      <c r="B927">
        <v>49</v>
      </c>
      <c r="C927" t="s">
        <v>1782</v>
      </c>
      <c r="D927">
        <v>36570</v>
      </c>
      <c r="E927" t="s">
        <v>105</v>
      </c>
    </row>
    <row r="928" spans="1:5" x14ac:dyDescent="0.2">
      <c r="A928">
        <v>3515</v>
      </c>
      <c r="B928">
        <v>0</v>
      </c>
      <c r="C928" t="s">
        <v>1783</v>
      </c>
      <c r="D928">
        <v>36177</v>
      </c>
      <c r="E928" t="s">
        <v>105</v>
      </c>
    </row>
    <row r="929" spans="1:5" x14ac:dyDescent="0.2">
      <c r="A929">
        <v>2805</v>
      </c>
      <c r="B929">
        <v>11</v>
      </c>
      <c r="C929" t="s">
        <v>1784</v>
      </c>
      <c r="D929">
        <v>36311</v>
      </c>
      <c r="E929" t="s">
        <v>1118</v>
      </c>
    </row>
    <row r="930" spans="1:5" x14ac:dyDescent="0.2">
      <c r="A930">
        <v>3586</v>
      </c>
      <c r="B930">
        <v>0</v>
      </c>
      <c r="C930" t="s">
        <v>1785</v>
      </c>
      <c r="D930">
        <v>37289</v>
      </c>
      <c r="E930" t="s">
        <v>1143</v>
      </c>
    </row>
    <row r="931" spans="1:5" x14ac:dyDescent="0.2">
      <c r="A931">
        <v>1541</v>
      </c>
      <c r="B931">
        <v>103</v>
      </c>
      <c r="C931" t="s">
        <v>275</v>
      </c>
      <c r="D931">
        <v>36998</v>
      </c>
      <c r="E931" t="s">
        <v>99</v>
      </c>
    </row>
    <row r="932" spans="1:5" x14ac:dyDescent="0.2">
      <c r="A932">
        <v>3328</v>
      </c>
      <c r="B932">
        <v>0</v>
      </c>
      <c r="C932" t="s">
        <v>1786</v>
      </c>
      <c r="D932">
        <v>36760</v>
      </c>
      <c r="E932" t="s">
        <v>83</v>
      </c>
    </row>
    <row r="933" spans="1:5" x14ac:dyDescent="0.2">
      <c r="A933">
        <v>2316</v>
      </c>
      <c r="B933">
        <v>34</v>
      </c>
      <c r="C933" t="s">
        <v>520</v>
      </c>
      <c r="D933">
        <v>36771</v>
      </c>
      <c r="E933" t="s">
        <v>120</v>
      </c>
    </row>
    <row r="934" spans="1:5" x14ac:dyDescent="0.2">
      <c r="A934">
        <v>2904</v>
      </c>
      <c r="B934">
        <v>7</v>
      </c>
      <c r="C934" t="s">
        <v>276</v>
      </c>
      <c r="D934">
        <v>36869</v>
      </c>
      <c r="E934" t="s">
        <v>105</v>
      </c>
    </row>
    <row r="935" spans="1:5" x14ac:dyDescent="0.2">
      <c r="A935">
        <v>1460</v>
      </c>
      <c r="B935">
        <v>119</v>
      </c>
      <c r="C935" t="s">
        <v>1787</v>
      </c>
      <c r="D935">
        <v>36928</v>
      </c>
      <c r="E935" t="s">
        <v>105</v>
      </c>
    </row>
    <row r="936" spans="1:5" x14ac:dyDescent="0.2">
      <c r="A936">
        <v>1043</v>
      </c>
      <c r="B936">
        <v>207</v>
      </c>
      <c r="C936" t="s">
        <v>521</v>
      </c>
      <c r="D936">
        <v>36980</v>
      </c>
      <c r="E936" t="s">
        <v>282</v>
      </c>
    </row>
    <row r="937" spans="1:5" x14ac:dyDescent="0.2">
      <c r="A937">
        <v>3157</v>
      </c>
      <c r="B937">
        <v>1</v>
      </c>
      <c r="C937" t="s">
        <v>1788</v>
      </c>
      <c r="D937">
        <v>37464</v>
      </c>
      <c r="E937" t="s">
        <v>1789</v>
      </c>
    </row>
    <row r="938" spans="1:5" x14ac:dyDescent="0.2">
      <c r="A938">
        <v>3158</v>
      </c>
      <c r="B938">
        <v>1</v>
      </c>
      <c r="C938" t="s">
        <v>1790</v>
      </c>
      <c r="D938">
        <v>36732</v>
      </c>
      <c r="E938" t="s">
        <v>99</v>
      </c>
    </row>
    <row r="939" spans="1:5" x14ac:dyDescent="0.2">
      <c r="A939">
        <v>2483</v>
      </c>
      <c r="B939">
        <v>26</v>
      </c>
      <c r="C939" t="s">
        <v>1791</v>
      </c>
      <c r="D939">
        <v>36660</v>
      </c>
      <c r="E939" t="s">
        <v>147</v>
      </c>
    </row>
    <row r="940" spans="1:5" x14ac:dyDescent="0.2">
      <c r="A940">
        <v>3216</v>
      </c>
      <c r="B940">
        <v>0</v>
      </c>
      <c r="C940" t="s">
        <v>1792</v>
      </c>
      <c r="D940">
        <v>37781</v>
      </c>
      <c r="E940" t="s">
        <v>133</v>
      </c>
    </row>
    <row r="941" spans="1:5" x14ac:dyDescent="0.2">
      <c r="A941">
        <v>2419</v>
      </c>
      <c r="B941">
        <v>29</v>
      </c>
      <c r="C941" t="s">
        <v>683</v>
      </c>
      <c r="D941">
        <v>36924</v>
      </c>
      <c r="E941" t="s">
        <v>1063</v>
      </c>
    </row>
    <row r="942" spans="1:5" x14ac:dyDescent="0.2">
      <c r="A942">
        <v>3420</v>
      </c>
      <c r="B942">
        <v>0</v>
      </c>
      <c r="C942" t="s">
        <v>1793</v>
      </c>
      <c r="D942">
        <v>36951</v>
      </c>
      <c r="E942" t="s">
        <v>165</v>
      </c>
    </row>
    <row r="943" spans="1:5" x14ac:dyDescent="0.2">
      <c r="A943">
        <v>3632</v>
      </c>
      <c r="B943">
        <v>0</v>
      </c>
      <c r="C943" t="s">
        <v>1794</v>
      </c>
      <c r="D943">
        <v>37254</v>
      </c>
      <c r="E943" t="s">
        <v>138</v>
      </c>
    </row>
    <row r="944" spans="1:5" x14ac:dyDescent="0.2">
      <c r="A944">
        <v>3389</v>
      </c>
      <c r="B944">
        <v>0</v>
      </c>
      <c r="C944" t="s">
        <v>1795</v>
      </c>
      <c r="D944">
        <v>36413</v>
      </c>
      <c r="E944" t="s">
        <v>1796</v>
      </c>
    </row>
    <row r="945" spans="1:5" x14ac:dyDescent="0.2">
      <c r="A945">
        <v>2094</v>
      </c>
      <c r="B945">
        <v>46</v>
      </c>
      <c r="C945" t="s">
        <v>401</v>
      </c>
      <c r="D945">
        <v>36636</v>
      </c>
      <c r="E945" t="s">
        <v>231</v>
      </c>
    </row>
    <row r="946" spans="1:5" x14ac:dyDescent="0.2">
      <c r="A946">
        <v>2473</v>
      </c>
      <c r="B946">
        <v>26</v>
      </c>
      <c r="C946" t="s">
        <v>277</v>
      </c>
      <c r="D946">
        <v>36868</v>
      </c>
      <c r="E946" t="s">
        <v>120</v>
      </c>
    </row>
    <row r="947" spans="1:5" x14ac:dyDescent="0.2">
      <c r="A947">
        <v>2781</v>
      </c>
      <c r="B947">
        <v>12</v>
      </c>
      <c r="C947" t="s">
        <v>1797</v>
      </c>
      <c r="D947">
        <v>36728</v>
      </c>
      <c r="E947" t="s">
        <v>110</v>
      </c>
    </row>
    <row r="948" spans="1:5" x14ac:dyDescent="0.2">
      <c r="A948">
        <v>2566</v>
      </c>
      <c r="B948">
        <v>22</v>
      </c>
      <c r="C948" t="s">
        <v>1798</v>
      </c>
      <c r="D948">
        <v>36775</v>
      </c>
      <c r="E948" t="s">
        <v>122</v>
      </c>
    </row>
    <row r="949" spans="1:5" x14ac:dyDescent="0.2">
      <c r="A949">
        <v>2041</v>
      </c>
      <c r="B949">
        <v>49</v>
      </c>
      <c r="C949" t="s">
        <v>278</v>
      </c>
      <c r="D949">
        <v>36615</v>
      </c>
      <c r="E949" t="s">
        <v>1121</v>
      </c>
    </row>
    <row r="950" spans="1:5" x14ac:dyDescent="0.2">
      <c r="A950">
        <v>1719</v>
      </c>
      <c r="B950">
        <v>81</v>
      </c>
      <c r="C950" t="s">
        <v>1799</v>
      </c>
      <c r="D950">
        <v>36803</v>
      </c>
      <c r="E950" t="s">
        <v>113</v>
      </c>
    </row>
    <row r="951" spans="1:5" x14ac:dyDescent="0.2">
      <c r="A951">
        <v>2952</v>
      </c>
      <c r="B951">
        <v>6</v>
      </c>
      <c r="C951" t="s">
        <v>1800</v>
      </c>
      <c r="D951">
        <v>36363</v>
      </c>
      <c r="E951" t="s">
        <v>120</v>
      </c>
    </row>
    <row r="952" spans="1:5" x14ac:dyDescent="0.2">
      <c r="A952">
        <v>2860</v>
      </c>
      <c r="B952">
        <v>9</v>
      </c>
      <c r="C952" t="s">
        <v>1801</v>
      </c>
      <c r="D952">
        <v>36573</v>
      </c>
      <c r="E952" t="s">
        <v>122</v>
      </c>
    </row>
    <row r="953" spans="1:5" x14ac:dyDescent="0.2">
      <c r="A953">
        <v>3059</v>
      </c>
      <c r="B953">
        <v>4</v>
      </c>
      <c r="C953" t="s">
        <v>1802</v>
      </c>
      <c r="D953">
        <v>38255</v>
      </c>
      <c r="E953" t="s">
        <v>105</v>
      </c>
    </row>
    <row r="954" spans="1:5" x14ac:dyDescent="0.2">
      <c r="A954">
        <v>2664</v>
      </c>
      <c r="B954">
        <v>17</v>
      </c>
      <c r="C954" t="s">
        <v>1803</v>
      </c>
      <c r="D954">
        <v>36809</v>
      </c>
      <c r="E954" t="s">
        <v>1804</v>
      </c>
    </row>
    <row r="955" spans="1:5" x14ac:dyDescent="0.2">
      <c r="A955">
        <v>2517</v>
      </c>
      <c r="B955">
        <v>24</v>
      </c>
      <c r="C955" t="s">
        <v>522</v>
      </c>
      <c r="D955">
        <v>36695</v>
      </c>
      <c r="E955" t="s">
        <v>1330</v>
      </c>
    </row>
    <row r="956" spans="1:5" x14ac:dyDescent="0.2">
      <c r="A956">
        <v>3102</v>
      </c>
      <c r="B956">
        <v>2</v>
      </c>
      <c r="C956" t="s">
        <v>1805</v>
      </c>
      <c r="D956">
        <v>36825</v>
      </c>
      <c r="E956" t="s">
        <v>74</v>
      </c>
    </row>
    <row r="957" spans="1:5" x14ac:dyDescent="0.2">
      <c r="A957">
        <v>2630</v>
      </c>
      <c r="B957">
        <v>19</v>
      </c>
      <c r="C957" t="s">
        <v>1806</v>
      </c>
      <c r="D957">
        <v>37025</v>
      </c>
      <c r="E957" t="s">
        <v>127</v>
      </c>
    </row>
    <row r="958" spans="1:5" x14ac:dyDescent="0.2">
      <c r="A958">
        <v>1423</v>
      </c>
      <c r="B958">
        <v>128</v>
      </c>
      <c r="C958" t="s">
        <v>523</v>
      </c>
      <c r="D958">
        <v>36371</v>
      </c>
      <c r="E958" t="s">
        <v>99</v>
      </c>
    </row>
    <row r="959" spans="1:5" x14ac:dyDescent="0.2">
      <c r="A959">
        <v>2838</v>
      </c>
      <c r="B959">
        <v>10</v>
      </c>
      <c r="C959" t="s">
        <v>1807</v>
      </c>
      <c r="D959">
        <v>36355</v>
      </c>
      <c r="E959" t="s">
        <v>120</v>
      </c>
    </row>
    <row r="960" spans="1:5" x14ac:dyDescent="0.2">
      <c r="A960">
        <v>2257</v>
      </c>
      <c r="B960">
        <v>38</v>
      </c>
      <c r="C960" t="s">
        <v>1808</v>
      </c>
      <c r="D960">
        <v>36447</v>
      </c>
      <c r="E960" t="s">
        <v>120</v>
      </c>
    </row>
    <row r="961" spans="1:5" x14ac:dyDescent="0.2">
      <c r="A961">
        <v>3460</v>
      </c>
      <c r="B961">
        <v>0</v>
      </c>
      <c r="C961" t="s">
        <v>1809</v>
      </c>
      <c r="D961">
        <v>36574</v>
      </c>
      <c r="E961" t="s">
        <v>290</v>
      </c>
    </row>
    <row r="962" spans="1:5" x14ac:dyDescent="0.2">
      <c r="A962">
        <v>2471</v>
      </c>
      <c r="B962">
        <v>26</v>
      </c>
      <c r="C962" t="s">
        <v>279</v>
      </c>
      <c r="D962">
        <v>36699</v>
      </c>
      <c r="E962" t="s">
        <v>120</v>
      </c>
    </row>
    <row r="963" spans="1:5" x14ac:dyDescent="0.2">
      <c r="A963">
        <v>3130</v>
      </c>
      <c r="B963">
        <v>2</v>
      </c>
      <c r="C963" t="s">
        <v>1810</v>
      </c>
      <c r="D963">
        <v>37723</v>
      </c>
      <c r="E963" t="s">
        <v>120</v>
      </c>
    </row>
    <row r="964" spans="1:5" x14ac:dyDescent="0.2">
      <c r="A964">
        <v>2826</v>
      </c>
      <c r="B964">
        <v>10</v>
      </c>
      <c r="C964" t="s">
        <v>1811</v>
      </c>
      <c r="D964">
        <v>37238</v>
      </c>
      <c r="E964" t="s">
        <v>1334</v>
      </c>
    </row>
    <row r="965" spans="1:5" x14ac:dyDescent="0.2">
      <c r="A965">
        <v>1056</v>
      </c>
      <c r="B965">
        <v>205</v>
      </c>
      <c r="C965" t="s">
        <v>1812</v>
      </c>
      <c r="D965">
        <v>37062</v>
      </c>
      <c r="E965" t="s">
        <v>1813</v>
      </c>
    </row>
    <row r="966" spans="1:5" x14ac:dyDescent="0.2">
      <c r="A966">
        <v>2640</v>
      </c>
      <c r="B966">
        <v>18</v>
      </c>
      <c r="C966" t="s">
        <v>524</v>
      </c>
      <c r="D966">
        <v>36787</v>
      </c>
      <c r="E966" t="s">
        <v>72</v>
      </c>
    </row>
    <row r="967" spans="1:5" x14ac:dyDescent="0.2">
      <c r="A967">
        <v>2062</v>
      </c>
      <c r="B967">
        <v>48</v>
      </c>
      <c r="C967" t="s">
        <v>1814</v>
      </c>
      <c r="D967">
        <v>36206</v>
      </c>
      <c r="E967" t="s">
        <v>1354</v>
      </c>
    </row>
    <row r="968" spans="1:5" x14ac:dyDescent="0.2">
      <c r="A968">
        <v>1742</v>
      </c>
      <c r="B968">
        <v>77</v>
      </c>
      <c r="C968" t="s">
        <v>525</v>
      </c>
      <c r="D968">
        <v>36678</v>
      </c>
      <c r="E968" t="s">
        <v>72</v>
      </c>
    </row>
    <row r="969" spans="1:5" x14ac:dyDescent="0.2">
      <c r="A969">
        <v>2957</v>
      </c>
      <c r="B969">
        <v>6</v>
      </c>
      <c r="C969" t="s">
        <v>1815</v>
      </c>
      <c r="D969">
        <v>36931</v>
      </c>
      <c r="E969" t="s">
        <v>1143</v>
      </c>
    </row>
    <row r="970" spans="1:5" x14ac:dyDescent="0.2">
      <c r="A970">
        <v>2856</v>
      </c>
      <c r="B970">
        <v>9</v>
      </c>
      <c r="C970" t="s">
        <v>1816</v>
      </c>
      <c r="D970">
        <v>37257</v>
      </c>
      <c r="E970" t="s">
        <v>73</v>
      </c>
    </row>
    <row r="971" spans="1:5" x14ac:dyDescent="0.2">
      <c r="A971">
        <v>2123</v>
      </c>
      <c r="B971">
        <v>45</v>
      </c>
      <c r="C971" t="s">
        <v>1817</v>
      </c>
      <c r="D971">
        <v>36906</v>
      </c>
      <c r="E971" t="s">
        <v>104</v>
      </c>
    </row>
    <row r="972" spans="1:5" x14ac:dyDescent="0.2">
      <c r="A972">
        <v>2510</v>
      </c>
      <c r="B972">
        <v>25</v>
      </c>
      <c r="C972" t="s">
        <v>1818</v>
      </c>
      <c r="D972">
        <v>36870</v>
      </c>
      <c r="E972" t="s">
        <v>227</v>
      </c>
    </row>
    <row r="973" spans="1:5" x14ac:dyDescent="0.2">
      <c r="A973">
        <v>3690</v>
      </c>
      <c r="B973">
        <v>0</v>
      </c>
      <c r="C973" t="s">
        <v>1819</v>
      </c>
      <c r="D973">
        <v>36788</v>
      </c>
      <c r="E973" t="s">
        <v>166</v>
      </c>
    </row>
    <row r="974" spans="1:5" x14ac:dyDescent="0.2">
      <c r="A974">
        <v>3377</v>
      </c>
      <c r="B974">
        <v>0</v>
      </c>
      <c r="C974" t="s">
        <v>1820</v>
      </c>
      <c r="D974">
        <v>37706</v>
      </c>
      <c r="E974" t="s">
        <v>120</v>
      </c>
    </row>
    <row r="975" spans="1:5" x14ac:dyDescent="0.2">
      <c r="A975">
        <v>2654</v>
      </c>
      <c r="B975">
        <v>18</v>
      </c>
      <c r="C975" t="s">
        <v>1821</v>
      </c>
      <c r="D975">
        <v>36331</v>
      </c>
      <c r="E975" t="s">
        <v>138</v>
      </c>
    </row>
    <row r="976" spans="1:5" x14ac:dyDescent="0.2">
      <c r="A976">
        <v>2976</v>
      </c>
      <c r="B976">
        <v>5</v>
      </c>
      <c r="C976" t="s">
        <v>1822</v>
      </c>
      <c r="D976">
        <v>36537</v>
      </c>
      <c r="E976" t="s">
        <v>213</v>
      </c>
    </row>
    <row r="977" spans="1:5" x14ac:dyDescent="0.2">
      <c r="A977">
        <v>2281</v>
      </c>
      <c r="B977">
        <v>36</v>
      </c>
      <c r="C977" t="s">
        <v>526</v>
      </c>
      <c r="D977">
        <v>36749</v>
      </c>
      <c r="E977" t="s">
        <v>72</v>
      </c>
    </row>
    <row r="978" spans="1:5" x14ac:dyDescent="0.2">
      <c r="A978">
        <v>3368</v>
      </c>
      <c r="B978">
        <v>0</v>
      </c>
      <c r="C978" t="s">
        <v>1823</v>
      </c>
      <c r="D978">
        <v>36924</v>
      </c>
      <c r="E978" t="s">
        <v>72</v>
      </c>
    </row>
    <row r="979" spans="1:5" x14ac:dyDescent="0.2">
      <c r="A979">
        <v>3532</v>
      </c>
      <c r="B979">
        <v>0</v>
      </c>
      <c r="C979" t="s">
        <v>1824</v>
      </c>
      <c r="D979">
        <v>36886</v>
      </c>
      <c r="E979" t="s">
        <v>105</v>
      </c>
    </row>
    <row r="980" spans="1:5" x14ac:dyDescent="0.2">
      <c r="A980">
        <v>1805</v>
      </c>
      <c r="B980">
        <v>71</v>
      </c>
      <c r="C980" t="s">
        <v>280</v>
      </c>
      <c r="D980">
        <v>36818</v>
      </c>
      <c r="E980" t="s">
        <v>120</v>
      </c>
    </row>
    <row r="981" spans="1:5" x14ac:dyDescent="0.2">
      <c r="A981">
        <v>2716</v>
      </c>
      <c r="B981">
        <v>14</v>
      </c>
      <c r="C981" t="s">
        <v>1825</v>
      </c>
      <c r="D981">
        <v>36787</v>
      </c>
      <c r="E981" t="s">
        <v>165</v>
      </c>
    </row>
    <row r="982" spans="1:5" x14ac:dyDescent="0.2">
      <c r="A982">
        <v>2862</v>
      </c>
      <c r="B982">
        <v>9</v>
      </c>
      <c r="C982" t="s">
        <v>1826</v>
      </c>
      <c r="D982">
        <v>36765</v>
      </c>
      <c r="E982" t="s">
        <v>1171</v>
      </c>
    </row>
    <row r="983" spans="1:5" x14ac:dyDescent="0.2">
      <c r="A983">
        <v>1874</v>
      </c>
      <c r="B983">
        <v>63</v>
      </c>
      <c r="C983" t="s">
        <v>809</v>
      </c>
      <c r="D983">
        <v>36584</v>
      </c>
      <c r="E983" t="s">
        <v>469</v>
      </c>
    </row>
    <row r="984" spans="1:5" x14ac:dyDescent="0.2">
      <c r="A984">
        <v>2674</v>
      </c>
      <c r="B984">
        <v>16</v>
      </c>
      <c r="C984" t="s">
        <v>1827</v>
      </c>
      <c r="D984">
        <v>36913</v>
      </c>
      <c r="E984" t="s">
        <v>113</v>
      </c>
    </row>
    <row r="985" spans="1:5" x14ac:dyDescent="0.2">
      <c r="A985">
        <v>2794</v>
      </c>
      <c r="B985">
        <v>11</v>
      </c>
      <c r="C985" t="s">
        <v>1828</v>
      </c>
      <c r="D985">
        <v>37203</v>
      </c>
      <c r="E985" t="s">
        <v>105</v>
      </c>
    </row>
    <row r="986" spans="1:5" x14ac:dyDescent="0.2">
      <c r="A986">
        <v>1637</v>
      </c>
      <c r="B986">
        <v>91</v>
      </c>
      <c r="C986" t="s">
        <v>1829</v>
      </c>
      <c r="D986">
        <v>36699</v>
      </c>
      <c r="E986" t="s">
        <v>1191</v>
      </c>
    </row>
    <row r="987" spans="1:5" x14ac:dyDescent="0.2">
      <c r="A987">
        <v>3491</v>
      </c>
      <c r="B987">
        <v>0</v>
      </c>
      <c r="C987" t="s">
        <v>1830</v>
      </c>
      <c r="D987">
        <v>37465</v>
      </c>
      <c r="E987" t="s">
        <v>1155</v>
      </c>
    </row>
    <row r="988" spans="1:5" x14ac:dyDescent="0.2">
      <c r="A988">
        <v>3323</v>
      </c>
      <c r="B988">
        <v>0</v>
      </c>
      <c r="C988" t="s">
        <v>1831</v>
      </c>
      <c r="D988">
        <v>37035</v>
      </c>
      <c r="E988" t="s">
        <v>1214</v>
      </c>
    </row>
    <row r="989" spans="1:5" x14ac:dyDescent="0.2">
      <c r="A989">
        <v>1965</v>
      </c>
      <c r="B989">
        <v>55</v>
      </c>
      <c r="C989" t="s">
        <v>1832</v>
      </c>
      <c r="D989">
        <v>36191</v>
      </c>
      <c r="E989" t="s">
        <v>120</v>
      </c>
    </row>
    <row r="990" spans="1:5" x14ac:dyDescent="0.2">
      <c r="A990">
        <v>2544</v>
      </c>
      <c r="B990">
        <v>23</v>
      </c>
      <c r="C990" t="s">
        <v>527</v>
      </c>
      <c r="D990">
        <v>37176</v>
      </c>
      <c r="E990" t="s">
        <v>138</v>
      </c>
    </row>
    <row r="991" spans="1:5" x14ac:dyDescent="0.2">
      <c r="A991">
        <v>3463</v>
      </c>
      <c r="B991">
        <v>0</v>
      </c>
      <c r="C991" t="s">
        <v>1833</v>
      </c>
      <c r="D991">
        <v>37354</v>
      </c>
      <c r="E991" t="s">
        <v>74</v>
      </c>
    </row>
    <row r="992" spans="1:5" x14ac:dyDescent="0.2">
      <c r="A992">
        <v>3679</v>
      </c>
      <c r="B992">
        <v>0</v>
      </c>
      <c r="C992" t="s">
        <v>1834</v>
      </c>
      <c r="D992">
        <v>36971</v>
      </c>
      <c r="E992" t="s">
        <v>1218</v>
      </c>
    </row>
    <row r="993" spans="1:5" x14ac:dyDescent="0.2">
      <c r="A993">
        <v>1556</v>
      </c>
      <c r="B993">
        <v>101</v>
      </c>
      <c r="C993" t="s">
        <v>528</v>
      </c>
      <c r="D993">
        <v>36922</v>
      </c>
      <c r="E993" t="s">
        <v>105</v>
      </c>
    </row>
    <row r="994" spans="1:5" x14ac:dyDescent="0.2">
      <c r="A994">
        <v>798</v>
      </c>
      <c r="B994">
        <v>296</v>
      </c>
      <c r="C994" t="s">
        <v>281</v>
      </c>
      <c r="D994">
        <v>36250</v>
      </c>
      <c r="E994" t="s">
        <v>105</v>
      </c>
    </row>
    <row r="995" spans="1:5" x14ac:dyDescent="0.2">
      <c r="A995">
        <v>1703</v>
      </c>
      <c r="B995">
        <v>83</v>
      </c>
      <c r="C995" t="s">
        <v>281</v>
      </c>
      <c r="D995">
        <v>37090</v>
      </c>
      <c r="E995" t="s">
        <v>113</v>
      </c>
    </row>
    <row r="996" spans="1:5" x14ac:dyDescent="0.2">
      <c r="A996">
        <v>1987</v>
      </c>
      <c r="B996">
        <v>53</v>
      </c>
      <c r="C996" t="s">
        <v>529</v>
      </c>
      <c r="D996">
        <v>36508</v>
      </c>
      <c r="E996" t="s">
        <v>72</v>
      </c>
    </row>
    <row r="997" spans="1:5" x14ac:dyDescent="0.2">
      <c r="A997">
        <v>2347</v>
      </c>
      <c r="B997">
        <v>33</v>
      </c>
      <c r="C997" t="s">
        <v>684</v>
      </c>
      <c r="D997">
        <v>37158</v>
      </c>
      <c r="E997" t="s">
        <v>685</v>
      </c>
    </row>
    <row r="998" spans="1:5" x14ac:dyDescent="0.2">
      <c r="A998">
        <v>2631</v>
      </c>
      <c r="B998">
        <v>19</v>
      </c>
      <c r="C998" t="s">
        <v>1835</v>
      </c>
      <c r="D998">
        <v>36662</v>
      </c>
      <c r="E998" t="s">
        <v>1836</v>
      </c>
    </row>
    <row r="999" spans="1:5" x14ac:dyDescent="0.2">
      <c r="A999">
        <v>2076</v>
      </c>
      <c r="B999">
        <v>47</v>
      </c>
      <c r="C999" t="s">
        <v>283</v>
      </c>
      <c r="D999">
        <v>36353</v>
      </c>
      <c r="E999" t="s">
        <v>129</v>
      </c>
    </row>
    <row r="1000" spans="1:5" x14ac:dyDescent="0.2">
      <c r="A1000">
        <v>3404</v>
      </c>
      <c r="B1000">
        <v>0</v>
      </c>
      <c r="C1000" t="s">
        <v>1837</v>
      </c>
      <c r="D1000">
        <v>36187</v>
      </c>
      <c r="E1000" t="s">
        <v>120</v>
      </c>
    </row>
    <row r="1001" spans="1:5" x14ac:dyDescent="0.2">
      <c r="A1001">
        <v>2924</v>
      </c>
      <c r="B1001">
        <v>7</v>
      </c>
      <c r="C1001" t="s">
        <v>1838</v>
      </c>
      <c r="D1001">
        <v>36978</v>
      </c>
      <c r="E1001" t="s">
        <v>1330</v>
      </c>
    </row>
    <row r="1002" spans="1:5" x14ac:dyDescent="0.2">
      <c r="A1002">
        <v>2054</v>
      </c>
      <c r="B1002">
        <v>48</v>
      </c>
      <c r="C1002" t="s">
        <v>686</v>
      </c>
      <c r="D1002">
        <v>37265</v>
      </c>
      <c r="E1002" t="s">
        <v>105</v>
      </c>
    </row>
    <row r="1003" spans="1:5" x14ac:dyDescent="0.2">
      <c r="A1003">
        <v>2333</v>
      </c>
      <c r="B1003">
        <v>33</v>
      </c>
      <c r="C1003" t="s">
        <v>530</v>
      </c>
      <c r="D1003">
        <v>36526</v>
      </c>
      <c r="E1003" t="s">
        <v>122</v>
      </c>
    </row>
    <row r="1004" spans="1:5" x14ac:dyDescent="0.2">
      <c r="A1004">
        <v>2641</v>
      </c>
      <c r="B1004">
        <v>18</v>
      </c>
      <c r="C1004" t="s">
        <v>687</v>
      </c>
      <c r="D1004">
        <v>36815</v>
      </c>
      <c r="E1004" t="s">
        <v>120</v>
      </c>
    </row>
    <row r="1005" spans="1:5" x14ac:dyDescent="0.2">
      <c r="A1005">
        <v>3180</v>
      </c>
      <c r="B1005">
        <v>1</v>
      </c>
      <c r="C1005" t="s">
        <v>1839</v>
      </c>
      <c r="D1005">
        <v>36571</v>
      </c>
      <c r="E1005" t="s">
        <v>1270</v>
      </c>
    </row>
    <row r="1006" spans="1:5" x14ac:dyDescent="0.2">
      <c r="A1006">
        <v>3643</v>
      </c>
      <c r="B1006">
        <v>0</v>
      </c>
      <c r="C1006" t="s">
        <v>1840</v>
      </c>
      <c r="D1006">
        <v>37139</v>
      </c>
      <c r="E1006" t="s">
        <v>1121</v>
      </c>
    </row>
    <row r="1007" spans="1:5" x14ac:dyDescent="0.2">
      <c r="A1007">
        <v>2727</v>
      </c>
      <c r="B1007">
        <v>14</v>
      </c>
      <c r="C1007" t="s">
        <v>1841</v>
      </c>
      <c r="D1007">
        <v>36685</v>
      </c>
      <c r="E1007" t="s">
        <v>120</v>
      </c>
    </row>
    <row r="1008" spans="1:5" x14ac:dyDescent="0.2">
      <c r="A1008">
        <v>3036</v>
      </c>
      <c r="B1008">
        <v>4</v>
      </c>
      <c r="C1008" t="s">
        <v>1841</v>
      </c>
      <c r="D1008">
        <v>36685</v>
      </c>
      <c r="E1008" t="s">
        <v>120</v>
      </c>
    </row>
    <row r="1009" spans="1:5" x14ac:dyDescent="0.2">
      <c r="A1009">
        <v>2961</v>
      </c>
      <c r="B1009">
        <v>5</v>
      </c>
      <c r="C1009" t="s">
        <v>284</v>
      </c>
      <c r="D1009">
        <v>36196</v>
      </c>
      <c r="E1009" t="s">
        <v>105</v>
      </c>
    </row>
    <row r="1010" spans="1:5" x14ac:dyDescent="0.2">
      <c r="A1010">
        <v>2390</v>
      </c>
      <c r="B1010">
        <v>31</v>
      </c>
      <c r="C1010" t="s">
        <v>1842</v>
      </c>
      <c r="D1010">
        <v>37013</v>
      </c>
      <c r="E1010" t="s">
        <v>1419</v>
      </c>
    </row>
    <row r="1011" spans="1:5" x14ac:dyDescent="0.2">
      <c r="A1011">
        <v>3337</v>
      </c>
      <c r="B1011">
        <v>0</v>
      </c>
      <c r="C1011" t="s">
        <v>1843</v>
      </c>
      <c r="D1011">
        <v>36251</v>
      </c>
      <c r="E1011" t="s">
        <v>99</v>
      </c>
    </row>
    <row r="1012" spans="1:5" x14ac:dyDescent="0.2">
      <c r="A1012">
        <v>2174</v>
      </c>
      <c r="B1012">
        <v>43</v>
      </c>
      <c r="C1012" t="s">
        <v>1844</v>
      </c>
      <c r="D1012">
        <v>36429</v>
      </c>
      <c r="E1012" t="s">
        <v>120</v>
      </c>
    </row>
    <row r="1013" spans="1:5" x14ac:dyDescent="0.2">
      <c r="A1013">
        <v>2705</v>
      </c>
      <c r="B1013">
        <v>15</v>
      </c>
      <c r="C1013" t="s">
        <v>1845</v>
      </c>
      <c r="D1013">
        <v>36470</v>
      </c>
      <c r="E1013" t="s">
        <v>74</v>
      </c>
    </row>
    <row r="1014" spans="1:5" x14ac:dyDescent="0.2">
      <c r="A1014">
        <v>1603</v>
      </c>
      <c r="B1014">
        <v>95</v>
      </c>
      <c r="C1014" t="s">
        <v>285</v>
      </c>
      <c r="D1014">
        <v>36313</v>
      </c>
      <c r="E1014" t="s">
        <v>105</v>
      </c>
    </row>
    <row r="1015" spans="1:5" x14ac:dyDescent="0.2">
      <c r="A1015">
        <v>3504</v>
      </c>
      <c r="B1015">
        <v>0</v>
      </c>
      <c r="C1015" t="s">
        <v>1847</v>
      </c>
      <c r="D1015">
        <v>36397</v>
      </c>
      <c r="E1015" t="s">
        <v>105</v>
      </c>
    </row>
    <row r="1016" spans="1:5" x14ac:dyDescent="0.2">
      <c r="A1016">
        <v>2604</v>
      </c>
      <c r="B1016">
        <v>20</v>
      </c>
      <c r="C1016" t="s">
        <v>286</v>
      </c>
      <c r="D1016">
        <v>37192</v>
      </c>
      <c r="E1016" t="s">
        <v>1111</v>
      </c>
    </row>
    <row r="1017" spans="1:5" x14ac:dyDescent="0.2">
      <c r="A1017">
        <v>1342</v>
      </c>
      <c r="B1017">
        <v>141</v>
      </c>
      <c r="C1017" t="s">
        <v>531</v>
      </c>
      <c r="D1017">
        <v>36945</v>
      </c>
      <c r="E1017" t="s">
        <v>72</v>
      </c>
    </row>
    <row r="1018" spans="1:5" x14ac:dyDescent="0.2">
      <c r="A1018">
        <v>2391</v>
      </c>
      <c r="B1018">
        <v>31</v>
      </c>
      <c r="C1018" t="s">
        <v>1848</v>
      </c>
      <c r="D1018">
        <v>36535</v>
      </c>
      <c r="E1018" t="s">
        <v>1121</v>
      </c>
    </row>
    <row r="1019" spans="1:5" x14ac:dyDescent="0.2">
      <c r="A1019">
        <v>2247</v>
      </c>
      <c r="B1019">
        <v>38</v>
      </c>
      <c r="C1019" t="s">
        <v>532</v>
      </c>
      <c r="D1019">
        <v>36660</v>
      </c>
      <c r="E1019" t="s">
        <v>73</v>
      </c>
    </row>
    <row r="1020" spans="1:5" x14ac:dyDescent="0.2">
      <c r="A1020">
        <v>2443</v>
      </c>
      <c r="B1020">
        <v>28</v>
      </c>
      <c r="C1020" t="s">
        <v>1849</v>
      </c>
      <c r="D1020">
        <v>37278</v>
      </c>
      <c r="E1020" t="s">
        <v>128</v>
      </c>
    </row>
    <row r="1021" spans="1:5" x14ac:dyDescent="0.2">
      <c r="A1021">
        <v>2226</v>
      </c>
      <c r="B1021">
        <v>39</v>
      </c>
      <c r="C1021" t="s">
        <v>533</v>
      </c>
      <c r="D1021">
        <v>36896</v>
      </c>
      <c r="E1021" t="s">
        <v>1193</v>
      </c>
    </row>
    <row r="1022" spans="1:5" x14ac:dyDescent="0.2">
      <c r="A1022">
        <v>3383</v>
      </c>
      <c r="B1022">
        <v>0</v>
      </c>
      <c r="C1022" t="s">
        <v>1850</v>
      </c>
      <c r="D1022">
        <v>36812</v>
      </c>
      <c r="E1022" t="s">
        <v>113</v>
      </c>
    </row>
    <row r="1023" spans="1:5" x14ac:dyDescent="0.2">
      <c r="A1023">
        <v>1026</v>
      </c>
      <c r="B1023">
        <v>212</v>
      </c>
      <c r="C1023" t="s">
        <v>287</v>
      </c>
      <c r="D1023">
        <v>36224</v>
      </c>
      <c r="E1023" t="s">
        <v>1078</v>
      </c>
    </row>
    <row r="1024" spans="1:5" x14ac:dyDescent="0.2">
      <c r="A1024">
        <v>3133</v>
      </c>
      <c r="B1024">
        <v>2</v>
      </c>
      <c r="C1024" t="s">
        <v>1851</v>
      </c>
      <c r="D1024">
        <v>36507</v>
      </c>
      <c r="E1024" t="s">
        <v>105</v>
      </c>
    </row>
    <row r="1025" spans="1:5" x14ac:dyDescent="0.2">
      <c r="A1025">
        <v>1813</v>
      </c>
      <c r="B1025">
        <v>71</v>
      </c>
      <c r="C1025" t="s">
        <v>1852</v>
      </c>
      <c r="D1025">
        <v>36575</v>
      </c>
      <c r="E1025" t="s">
        <v>1158</v>
      </c>
    </row>
    <row r="1026" spans="1:5" x14ac:dyDescent="0.2">
      <c r="A1026">
        <v>2440</v>
      </c>
      <c r="B1026">
        <v>28</v>
      </c>
      <c r="C1026" t="s">
        <v>1853</v>
      </c>
      <c r="D1026">
        <v>36885</v>
      </c>
      <c r="E1026" t="s">
        <v>103</v>
      </c>
    </row>
    <row r="1027" spans="1:5" x14ac:dyDescent="0.2">
      <c r="A1027">
        <v>3525</v>
      </c>
      <c r="B1027">
        <v>0</v>
      </c>
      <c r="C1027" t="s">
        <v>1854</v>
      </c>
      <c r="D1027">
        <v>37162</v>
      </c>
      <c r="E1027" t="s">
        <v>171</v>
      </c>
    </row>
    <row r="1028" spans="1:5" x14ac:dyDescent="0.2">
      <c r="A1028">
        <v>2647</v>
      </c>
      <c r="B1028">
        <v>18</v>
      </c>
      <c r="C1028" t="s">
        <v>1855</v>
      </c>
      <c r="D1028">
        <v>37790</v>
      </c>
      <c r="E1028" t="s">
        <v>105</v>
      </c>
    </row>
    <row r="1029" spans="1:5" x14ac:dyDescent="0.2">
      <c r="A1029">
        <v>2945</v>
      </c>
      <c r="B1029">
        <v>6</v>
      </c>
      <c r="C1029" t="s">
        <v>1856</v>
      </c>
      <c r="D1029">
        <v>36935</v>
      </c>
      <c r="E1029" t="s">
        <v>1143</v>
      </c>
    </row>
    <row r="1030" spans="1:5" x14ac:dyDescent="0.2">
      <c r="A1030">
        <v>1578</v>
      </c>
      <c r="B1030">
        <v>99</v>
      </c>
      <c r="C1030" t="s">
        <v>288</v>
      </c>
      <c r="D1030">
        <v>36754</v>
      </c>
      <c r="E1030" t="s">
        <v>163</v>
      </c>
    </row>
    <row r="1031" spans="1:5" x14ac:dyDescent="0.2">
      <c r="A1031">
        <v>2575</v>
      </c>
      <c r="B1031">
        <v>21</v>
      </c>
      <c r="C1031" t="s">
        <v>534</v>
      </c>
      <c r="D1031">
        <v>36322</v>
      </c>
      <c r="E1031" t="s">
        <v>379</v>
      </c>
    </row>
    <row r="1032" spans="1:5" x14ac:dyDescent="0.2">
      <c r="A1032">
        <v>2501</v>
      </c>
      <c r="B1032">
        <v>25</v>
      </c>
      <c r="C1032" t="s">
        <v>1857</v>
      </c>
      <c r="D1032">
        <v>37454</v>
      </c>
      <c r="E1032" t="s">
        <v>120</v>
      </c>
    </row>
    <row r="1033" spans="1:5" x14ac:dyDescent="0.2">
      <c r="A1033">
        <v>2154</v>
      </c>
      <c r="B1033">
        <v>44</v>
      </c>
      <c r="C1033" t="s">
        <v>1858</v>
      </c>
      <c r="D1033">
        <v>37690</v>
      </c>
      <c r="E1033" t="s">
        <v>105</v>
      </c>
    </row>
    <row r="1034" spans="1:5" x14ac:dyDescent="0.2">
      <c r="A1034">
        <v>1718</v>
      </c>
      <c r="B1034">
        <v>81</v>
      </c>
      <c r="C1034" t="s">
        <v>535</v>
      </c>
      <c r="D1034">
        <v>36749</v>
      </c>
      <c r="E1034" t="s">
        <v>113</v>
      </c>
    </row>
    <row r="1035" spans="1:5" x14ac:dyDescent="0.2">
      <c r="A1035">
        <v>2136</v>
      </c>
      <c r="B1035">
        <v>44</v>
      </c>
      <c r="C1035" t="s">
        <v>536</v>
      </c>
      <c r="D1035">
        <v>36526</v>
      </c>
      <c r="E1035" t="s">
        <v>1859</v>
      </c>
    </row>
    <row r="1036" spans="1:5" x14ac:dyDescent="0.2">
      <c r="A1036">
        <v>2125</v>
      </c>
      <c r="B1036">
        <v>45</v>
      </c>
      <c r="C1036" t="s">
        <v>1860</v>
      </c>
      <c r="D1036">
        <v>36812</v>
      </c>
      <c r="E1036" t="s">
        <v>176</v>
      </c>
    </row>
    <row r="1037" spans="1:5" x14ac:dyDescent="0.2">
      <c r="A1037">
        <v>2871</v>
      </c>
      <c r="B1037">
        <v>9</v>
      </c>
      <c r="C1037" t="s">
        <v>1861</v>
      </c>
      <c r="D1037">
        <v>36938</v>
      </c>
      <c r="E1037" t="s">
        <v>105</v>
      </c>
    </row>
    <row r="1038" spans="1:5" x14ac:dyDescent="0.2">
      <c r="A1038">
        <v>2346</v>
      </c>
      <c r="B1038">
        <v>33</v>
      </c>
      <c r="C1038" t="s">
        <v>1862</v>
      </c>
      <c r="D1038">
        <v>36866</v>
      </c>
      <c r="E1038" t="s">
        <v>246</v>
      </c>
    </row>
    <row r="1039" spans="1:5" x14ac:dyDescent="0.2">
      <c r="A1039">
        <v>2056</v>
      </c>
      <c r="B1039">
        <v>48</v>
      </c>
      <c r="C1039" t="s">
        <v>1863</v>
      </c>
      <c r="D1039">
        <v>36402</v>
      </c>
      <c r="E1039" t="s">
        <v>171</v>
      </c>
    </row>
    <row r="1040" spans="1:5" x14ac:dyDescent="0.2">
      <c r="A1040">
        <v>2919</v>
      </c>
      <c r="B1040">
        <v>7</v>
      </c>
      <c r="C1040" t="s">
        <v>1864</v>
      </c>
      <c r="D1040">
        <v>37306</v>
      </c>
      <c r="E1040" t="s">
        <v>105</v>
      </c>
    </row>
    <row r="1041" spans="1:5" x14ac:dyDescent="0.2">
      <c r="A1041">
        <v>3582</v>
      </c>
      <c r="B1041">
        <v>0</v>
      </c>
      <c r="C1041" t="s">
        <v>1865</v>
      </c>
      <c r="D1041">
        <v>38442</v>
      </c>
      <c r="E1041" t="s">
        <v>105</v>
      </c>
    </row>
    <row r="1042" spans="1:5" x14ac:dyDescent="0.2">
      <c r="A1042">
        <v>3147</v>
      </c>
      <c r="B1042">
        <v>1</v>
      </c>
      <c r="C1042" t="s">
        <v>1866</v>
      </c>
      <c r="D1042">
        <v>37287</v>
      </c>
      <c r="E1042" t="s">
        <v>127</v>
      </c>
    </row>
    <row r="1043" spans="1:5" x14ac:dyDescent="0.2">
      <c r="A1043">
        <v>2811</v>
      </c>
      <c r="B1043">
        <v>11</v>
      </c>
      <c r="C1043" t="s">
        <v>1869</v>
      </c>
      <c r="D1043">
        <v>36558</v>
      </c>
      <c r="E1043" t="s">
        <v>213</v>
      </c>
    </row>
    <row r="1044" spans="1:5" x14ac:dyDescent="0.2">
      <c r="A1044">
        <v>3467</v>
      </c>
      <c r="B1044">
        <v>0</v>
      </c>
      <c r="C1044" t="s">
        <v>1870</v>
      </c>
      <c r="D1044">
        <v>36645</v>
      </c>
      <c r="E1044" t="s">
        <v>120</v>
      </c>
    </row>
    <row r="1045" spans="1:5" x14ac:dyDescent="0.2">
      <c r="A1045">
        <v>1969</v>
      </c>
      <c r="B1045">
        <v>54</v>
      </c>
      <c r="C1045" t="s">
        <v>537</v>
      </c>
      <c r="D1045">
        <v>36915</v>
      </c>
      <c r="E1045" t="s">
        <v>105</v>
      </c>
    </row>
    <row r="1046" spans="1:5" x14ac:dyDescent="0.2">
      <c r="A1046">
        <v>2461</v>
      </c>
      <c r="B1046">
        <v>27</v>
      </c>
      <c r="C1046" t="s">
        <v>1871</v>
      </c>
      <c r="D1046">
        <v>36246</v>
      </c>
      <c r="E1046" t="s">
        <v>84</v>
      </c>
    </row>
    <row r="1047" spans="1:5" x14ac:dyDescent="0.2">
      <c r="A1047">
        <v>1384</v>
      </c>
      <c r="B1047">
        <v>134</v>
      </c>
      <c r="C1047" t="s">
        <v>538</v>
      </c>
      <c r="D1047">
        <v>36976</v>
      </c>
      <c r="E1047" t="s">
        <v>1069</v>
      </c>
    </row>
    <row r="1048" spans="1:5" x14ac:dyDescent="0.2">
      <c r="A1048">
        <v>2519</v>
      </c>
      <c r="B1048">
        <v>24</v>
      </c>
      <c r="C1048" t="s">
        <v>1872</v>
      </c>
      <c r="D1048">
        <v>36767</v>
      </c>
      <c r="E1048" t="s">
        <v>1078</v>
      </c>
    </row>
    <row r="1049" spans="1:5" x14ac:dyDescent="0.2">
      <c r="A1049">
        <v>890</v>
      </c>
      <c r="B1049">
        <v>256</v>
      </c>
      <c r="C1049" t="s">
        <v>289</v>
      </c>
      <c r="D1049">
        <v>36384</v>
      </c>
      <c r="E1049" t="s">
        <v>105</v>
      </c>
    </row>
    <row r="1050" spans="1:5" x14ac:dyDescent="0.2">
      <c r="A1050">
        <v>3162</v>
      </c>
      <c r="B1050">
        <v>1</v>
      </c>
      <c r="C1050" t="s">
        <v>1873</v>
      </c>
      <c r="D1050">
        <v>36747</v>
      </c>
      <c r="E1050" t="s">
        <v>105</v>
      </c>
    </row>
    <row r="1051" spans="1:5" x14ac:dyDescent="0.2">
      <c r="A1051">
        <v>1978</v>
      </c>
      <c r="B1051">
        <v>54</v>
      </c>
      <c r="C1051" t="s">
        <v>1874</v>
      </c>
      <c r="D1051">
        <v>36705</v>
      </c>
      <c r="E1051" t="s">
        <v>1875</v>
      </c>
    </row>
    <row r="1052" spans="1:5" x14ac:dyDescent="0.2">
      <c r="A1052">
        <v>2758</v>
      </c>
      <c r="B1052">
        <v>13</v>
      </c>
      <c r="C1052" t="s">
        <v>1876</v>
      </c>
      <c r="D1052">
        <v>36556</v>
      </c>
      <c r="E1052" t="s">
        <v>138</v>
      </c>
    </row>
    <row r="1053" spans="1:5" x14ac:dyDescent="0.2">
      <c r="A1053">
        <v>3587</v>
      </c>
      <c r="B1053">
        <v>0</v>
      </c>
      <c r="C1053" t="s">
        <v>1877</v>
      </c>
      <c r="D1053">
        <v>37510</v>
      </c>
      <c r="E1053" t="s">
        <v>1143</v>
      </c>
    </row>
    <row r="1054" spans="1:5" x14ac:dyDescent="0.2">
      <c r="A1054">
        <v>1469</v>
      </c>
      <c r="B1054">
        <v>117</v>
      </c>
      <c r="C1054" t="s">
        <v>539</v>
      </c>
      <c r="D1054">
        <v>36487</v>
      </c>
      <c r="E1054" t="s">
        <v>175</v>
      </c>
    </row>
    <row r="1055" spans="1:5" x14ac:dyDescent="0.2">
      <c r="A1055">
        <v>1814</v>
      </c>
      <c r="B1055">
        <v>70</v>
      </c>
      <c r="C1055" t="s">
        <v>688</v>
      </c>
      <c r="D1055">
        <v>36778</v>
      </c>
      <c r="E1055" t="s">
        <v>105</v>
      </c>
    </row>
    <row r="1056" spans="1:5" x14ac:dyDescent="0.2">
      <c r="A1056">
        <v>3089</v>
      </c>
      <c r="B1056">
        <v>3</v>
      </c>
      <c r="C1056" t="s">
        <v>1878</v>
      </c>
      <c r="D1056">
        <v>37193</v>
      </c>
      <c r="E1056" t="s">
        <v>105</v>
      </c>
    </row>
    <row r="1057" spans="1:5" x14ac:dyDescent="0.2">
      <c r="A1057">
        <v>3361</v>
      </c>
      <c r="B1057">
        <v>0</v>
      </c>
      <c r="C1057" t="s">
        <v>1879</v>
      </c>
      <c r="D1057">
        <v>37082</v>
      </c>
      <c r="E1057" t="s">
        <v>72</v>
      </c>
    </row>
    <row r="1058" spans="1:5" x14ac:dyDescent="0.2">
      <c r="A1058">
        <v>2285</v>
      </c>
      <c r="B1058">
        <v>36</v>
      </c>
      <c r="C1058" t="s">
        <v>1880</v>
      </c>
      <c r="D1058">
        <v>36464</v>
      </c>
      <c r="E1058" t="s">
        <v>163</v>
      </c>
    </row>
    <row r="1059" spans="1:5" x14ac:dyDescent="0.2">
      <c r="A1059">
        <v>1304</v>
      </c>
      <c r="B1059">
        <v>147</v>
      </c>
      <c r="C1059" t="s">
        <v>1881</v>
      </c>
      <c r="D1059">
        <v>36930</v>
      </c>
      <c r="E1059" t="s">
        <v>1107</v>
      </c>
    </row>
    <row r="1060" spans="1:5" x14ac:dyDescent="0.2">
      <c r="A1060">
        <v>2370</v>
      </c>
      <c r="B1060">
        <v>32</v>
      </c>
      <c r="C1060" t="s">
        <v>810</v>
      </c>
      <c r="D1060">
        <v>36839</v>
      </c>
      <c r="E1060" t="s">
        <v>1875</v>
      </c>
    </row>
    <row r="1061" spans="1:5" x14ac:dyDescent="0.2">
      <c r="A1061">
        <v>3287</v>
      </c>
      <c r="B1061">
        <v>0</v>
      </c>
      <c r="C1061" t="s">
        <v>1882</v>
      </c>
      <c r="D1061">
        <v>37257</v>
      </c>
      <c r="E1061" t="s">
        <v>165</v>
      </c>
    </row>
    <row r="1062" spans="1:5" x14ac:dyDescent="0.2">
      <c r="A1062">
        <v>3112</v>
      </c>
      <c r="B1062">
        <v>2</v>
      </c>
      <c r="C1062" t="s">
        <v>1883</v>
      </c>
      <c r="D1062">
        <v>36725</v>
      </c>
      <c r="E1062" t="s">
        <v>1107</v>
      </c>
    </row>
    <row r="1063" spans="1:5" x14ac:dyDescent="0.2">
      <c r="A1063">
        <v>2196</v>
      </c>
      <c r="B1063">
        <v>41</v>
      </c>
      <c r="C1063" t="s">
        <v>402</v>
      </c>
      <c r="D1063">
        <v>36273</v>
      </c>
      <c r="E1063" t="s">
        <v>133</v>
      </c>
    </row>
    <row r="1064" spans="1:5" x14ac:dyDescent="0.2">
      <c r="A1064">
        <v>2408</v>
      </c>
      <c r="B1064">
        <v>30</v>
      </c>
      <c r="C1064" t="s">
        <v>689</v>
      </c>
      <c r="D1064">
        <v>36651</v>
      </c>
      <c r="E1064" t="s">
        <v>120</v>
      </c>
    </row>
    <row r="1065" spans="1:5" x14ac:dyDescent="0.2">
      <c r="A1065">
        <v>2325</v>
      </c>
      <c r="B1065">
        <v>34</v>
      </c>
      <c r="C1065" t="s">
        <v>1884</v>
      </c>
      <c r="D1065">
        <v>36684</v>
      </c>
      <c r="E1065" t="s">
        <v>180</v>
      </c>
    </row>
    <row r="1066" spans="1:5" x14ac:dyDescent="0.2">
      <c r="A1066">
        <v>2379</v>
      </c>
      <c r="B1066">
        <v>31</v>
      </c>
      <c r="C1066" t="s">
        <v>540</v>
      </c>
      <c r="D1066">
        <v>36377</v>
      </c>
      <c r="E1066" t="s">
        <v>110</v>
      </c>
    </row>
    <row r="1067" spans="1:5" x14ac:dyDescent="0.2">
      <c r="A1067">
        <v>3072</v>
      </c>
      <c r="B1067">
        <v>3</v>
      </c>
      <c r="C1067" t="s">
        <v>1885</v>
      </c>
      <c r="D1067">
        <v>36195</v>
      </c>
      <c r="E1067" t="s">
        <v>1609</v>
      </c>
    </row>
    <row r="1068" spans="1:5" x14ac:dyDescent="0.2">
      <c r="A1068">
        <v>2289</v>
      </c>
      <c r="B1068">
        <v>36</v>
      </c>
      <c r="C1068" t="s">
        <v>1886</v>
      </c>
      <c r="D1068">
        <v>36519</v>
      </c>
      <c r="E1068" t="s">
        <v>1097</v>
      </c>
    </row>
    <row r="1069" spans="1:5" x14ac:dyDescent="0.2">
      <c r="A1069">
        <v>2620</v>
      </c>
      <c r="B1069">
        <v>19</v>
      </c>
      <c r="C1069" t="s">
        <v>1887</v>
      </c>
      <c r="D1069">
        <v>37215</v>
      </c>
      <c r="E1069" t="s">
        <v>115</v>
      </c>
    </row>
    <row r="1070" spans="1:5" x14ac:dyDescent="0.2">
      <c r="A1070">
        <v>904</v>
      </c>
      <c r="B1070">
        <v>252</v>
      </c>
      <c r="C1070" t="s">
        <v>291</v>
      </c>
      <c r="D1070">
        <v>36319</v>
      </c>
      <c r="E1070" t="s">
        <v>1516</v>
      </c>
    </row>
    <row r="1071" spans="1:5" x14ac:dyDescent="0.2">
      <c r="A1071">
        <v>3306</v>
      </c>
      <c r="B1071">
        <v>0</v>
      </c>
      <c r="C1071" t="s">
        <v>1888</v>
      </c>
      <c r="D1071">
        <v>36282</v>
      </c>
      <c r="E1071" t="s">
        <v>130</v>
      </c>
    </row>
    <row r="1072" spans="1:5" x14ac:dyDescent="0.2">
      <c r="A1072">
        <v>2454</v>
      </c>
      <c r="B1072">
        <v>27</v>
      </c>
      <c r="C1072" t="s">
        <v>541</v>
      </c>
      <c r="D1072">
        <v>37252</v>
      </c>
      <c r="E1072" t="s">
        <v>105</v>
      </c>
    </row>
    <row r="1073" spans="1:5" x14ac:dyDescent="0.2">
      <c r="A1073">
        <v>1766</v>
      </c>
      <c r="B1073">
        <v>74</v>
      </c>
      <c r="C1073" t="s">
        <v>403</v>
      </c>
      <c r="D1073">
        <v>37445</v>
      </c>
      <c r="E1073" t="s">
        <v>128</v>
      </c>
    </row>
    <row r="1074" spans="1:5" x14ac:dyDescent="0.2">
      <c r="A1074">
        <v>3217</v>
      </c>
      <c r="B1074">
        <v>0</v>
      </c>
      <c r="C1074" t="s">
        <v>1889</v>
      </c>
      <c r="D1074">
        <v>36340</v>
      </c>
      <c r="E1074" t="s">
        <v>133</v>
      </c>
    </row>
    <row r="1075" spans="1:5" x14ac:dyDescent="0.2">
      <c r="A1075">
        <v>2599</v>
      </c>
      <c r="B1075">
        <v>20</v>
      </c>
      <c r="C1075" t="s">
        <v>1890</v>
      </c>
      <c r="D1075">
        <v>36323</v>
      </c>
      <c r="E1075" t="s">
        <v>1609</v>
      </c>
    </row>
    <row r="1076" spans="1:5" x14ac:dyDescent="0.2">
      <c r="A1076">
        <v>2521</v>
      </c>
      <c r="B1076">
        <v>24</v>
      </c>
      <c r="C1076" t="s">
        <v>1891</v>
      </c>
      <c r="D1076">
        <v>37452</v>
      </c>
      <c r="E1076" t="s">
        <v>1078</v>
      </c>
    </row>
    <row r="1077" spans="1:5" x14ac:dyDescent="0.2">
      <c r="A1077">
        <v>2201</v>
      </c>
      <c r="B1077">
        <v>41</v>
      </c>
      <c r="C1077" t="s">
        <v>811</v>
      </c>
      <c r="D1077">
        <v>36526</v>
      </c>
      <c r="E1077" t="s">
        <v>164</v>
      </c>
    </row>
    <row r="1078" spans="1:5" x14ac:dyDescent="0.2">
      <c r="A1078">
        <v>2803</v>
      </c>
      <c r="B1078">
        <v>11</v>
      </c>
      <c r="C1078" t="s">
        <v>1892</v>
      </c>
      <c r="D1078">
        <v>37221</v>
      </c>
      <c r="E1078" t="s">
        <v>114</v>
      </c>
    </row>
    <row r="1079" spans="1:5" x14ac:dyDescent="0.2">
      <c r="A1079">
        <v>3174</v>
      </c>
      <c r="B1079">
        <v>1</v>
      </c>
      <c r="C1079" t="s">
        <v>1893</v>
      </c>
      <c r="D1079">
        <v>36959</v>
      </c>
      <c r="E1079" t="s">
        <v>1143</v>
      </c>
    </row>
    <row r="1080" spans="1:5" x14ac:dyDescent="0.2">
      <c r="A1080">
        <v>1731</v>
      </c>
      <c r="B1080">
        <v>80</v>
      </c>
      <c r="C1080" t="s">
        <v>812</v>
      </c>
      <c r="D1080">
        <v>36770</v>
      </c>
      <c r="E1080" t="s">
        <v>1237</v>
      </c>
    </row>
    <row r="1081" spans="1:5" x14ac:dyDescent="0.2">
      <c r="A1081">
        <v>3173</v>
      </c>
      <c r="B1081">
        <v>1</v>
      </c>
      <c r="C1081" t="s">
        <v>1894</v>
      </c>
      <c r="D1081">
        <v>36992</v>
      </c>
      <c r="E1081" t="s">
        <v>1121</v>
      </c>
    </row>
    <row r="1082" spans="1:5" x14ac:dyDescent="0.2">
      <c r="A1082">
        <v>2036</v>
      </c>
      <c r="B1082">
        <v>50</v>
      </c>
      <c r="C1082" t="s">
        <v>1895</v>
      </c>
      <c r="D1082">
        <v>36908</v>
      </c>
      <c r="E1082" t="s">
        <v>176</v>
      </c>
    </row>
    <row r="1083" spans="1:5" x14ac:dyDescent="0.2">
      <c r="A1083">
        <v>3411</v>
      </c>
      <c r="B1083">
        <v>0</v>
      </c>
      <c r="C1083" t="s">
        <v>1896</v>
      </c>
      <c r="D1083">
        <v>37865</v>
      </c>
      <c r="E1083" t="s">
        <v>120</v>
      </c>
    </row>
    <row r="1084" spans="1:5" x14ac:dyDescent="0.2">
      <c r="A1084">
        <v>1591</v>
      </c>
      <c r="B1084">
        <v>97</v>
      </c>
      <c r="C1084" t="s">
        <v>542</v>
      </c>
      <c r="D1084">
        <v>36678</v>
      </c>
      <c r="E1084" t="s">
        <v>103</v>
      </c>
    </row>
    <row r="1085" spans="1:5" x14ac:dyDescent="0.2">
      <c r="A1085">
        <v>2890</v>
      </c>
      <c r="B1085">
        <v>8</v>
      </c>
      <c r="C1085" t="s">
        <v>1897</v>
      </c>
      <c r="D1085">
        <v>37063</v>
      </c>
      <c r="E1085" t="s">
        <v>120</v>
      </c>
    </row>
    <row r="1086" spans="1:5" x14ac:dyDescent="0.2">
      <c r="A1086">
        <v>3138</v>
      </c>
      <c r="B1086">
        <v>2</v>
      </c>
      <c r="C1086" t="s">
        <v>1898</v>
      </c>
      <c r="D1086">
        <v>36505</v>
      </c>
      <c r="E1086" t="s">
        <v>1367</v>
      </c>
    </row>
    <row r="1087" spans="1:5" x14ac:dyDescent="0.2">
      <c r="A1087">
        <v>2689</v>
      </c>
      <c r="B1087">
        <v>16</v>
      </c>
      <c r="C1087" t="s">
        <v>1899</v>
      </c>
      <c r="D1087">
        <v>36993</v>
      </c>
      <c r="E1087" t="s">
        <v>1367</v>
      </c>
    </row>
    <row r="1088" spans="1:5" x14ac:dyDescent="0.2">
      <c r="A1088">
        <v>3481</v>
      </c>
      <c r="B1088">
        <v>0</v>
      </c>
      <c r="C1088" t="s">
        <v>1900</v>
      </c>
      <c r="D1088">
        <v>37356</v>
      </c>
      <c r="E1088" t="s">
        <v>1163</v>
      </c>
    </row>
    <row r="1089" spans="1:5" x14ac:dyDescent="0.2">
      <c r="A1089">
        <v>2322</v>
      </c>
      <c r="B1089">
        <v>34</v>
      </c>
      <c r="C1089" t="s">
        <v>1901</v>
      </c>
      <c r="D1089">
        <v>36955</v>
      </c>
      <c r="E1089" t="s">
        <v>138</v>
      </c>
    </row>
    <row r="1090" spans="1:5" x14ac:dyDescent="0.2">
      <c r="A1090">
        <v>1764</v>
      </c>
      <c r="B1090">
        <v>75</v>
      </c>
      <c r="C1090" t="s">
        <v>1902</v>
      </c>
      <c r="D1090">
        <v>36167</v>
      </c>
      <c r="E1090" t="s">
        <v>438</v>
      </c>
    </row>
    <row r="1091" spans="1:5" x14ac:dyDescent="0.2">
      <c r="A1091">
        <v>2287</v>
      </c>
      <c r="B1091">
        <v>36</v>
      </c>
      <c r="C1091" t="s">
        <v>1903</v>
      </c>
      <c r="D1091">
        <v>36777</v>
      </c>
      <c r="E1091" t="s">
        <v>614</v>
      </c>
    </row>
    <row r="1092" spans="1:5" x14ac:dyDescent="0.2">
      <c r="A1092">
        <v>3406</v>
      </c>
      <c r="B1092">
        <v>0</v>
      </c>
      <c r="C1092" t="s">
        <v>1904</v>
      </c>
      <c r="D1092">
        <v>36894</v>
      </c>
      <c r="E1092" t="s">
        <v>110</v>
      </c>
    </row>
    <row r="1093" spans="1:5" x14ac:dyDescent="0.2">
      <c r="A1093">
        <v>1893</v>
      </c>
      <c r="B1093">
        <v>61</v>
      </c>
      <c r="C1093" t="s">
        <v>292</v>
      </c>
      <c r="D1093">
        <v>36367</v>
      </c>
      <c r="E1093" t="s">
        <v>99</v>
      </c>
    </row>
    <row r="1094" spans="1:5" x14ac:dyDescent="0.2">
      <c r="A1094">
        <v>2844</v>
      </c>
      <c r="B1094">
        <v>9</v>
      </c>
      <c r="C1094" t="s">
        <v>292</v>
      </c>
      <c r="D1094">
        <v>36768</v>
      </c>
      <c r="E1094" t="s">
        <v>105</v>
      </c>
    </row>
    <row r="1095" spans="1:5" x14ac:dyDescent="0.2">
      <c r="A1095">
        <v>1274</v>
      </c>
      <c r="B1095">
        <v>152</v>
      </c>
      <c r="C1095" t="s">
        <v>293</v>
      </c>
      <c r="D1095">
        <v>36655</v>
      </c>
      <c r="E1095" t="s">
        <v>105</v>
      </c>
    </row>
    <row r="1096" spans="1:5" x14ac:dyDescent="0.2">
      <c r="A1096">
        <v>2582</v>
      </c>
      <c r="B1096">
        <v>21</v>
      </c>
      <c r="C1096" t="s">
        <v>1905</v>
      </c>
      <c r="D1096">
        <v>36580</v>
      </c>
      <c r="E1096" t="s">
        <v>1354</v>
      </c>
    </row>
    <row r="1097" spans="1:5" x14ac:dyDescent="0.2">
      <c r="A1097">
        <v>2040</v>
      </c>
      <c r="B1097">
        <v>49</v>
      </c>
      <c r="C1097" t="s">
        <v>543</v>
      </c>
      <c r="D1097">
        <v>36892</v>
      </c>
      <c r="E1097" t="s">
        <v>105</v>
      </c>
    </row>
    <row r="1098" spans="1:5" x14ac:dyDescent="0.2">
      <c r="A1098">
        <v>3060</v>
      </c>
      <c r="B1098">
        <v>3</v>
      </c>
      <c r="C1098" t="s">
        <v>294</v>
      </c>
      <c r="D1098">
        <v>36727</v>
      </c>
      <c r="E1098" t="s">
        <v>120</v>
      </c>
    </row>
    <row r="1099" spans="1:5" x14ac:dyDescent="0.2">
      <c r="A1099">
        <v>3014</v>
      </c>
      <c r="B1099">
        <v>4</v>
      </c>
      <c r="C1099" t="s">
        <v>1906</v>
      </c>
      <c r="D1099">
        <v>37278</v>
      </c>
      <c r="E1099" t="s">
        <v>208</v>
      </c>
    </row>
    <row r="1100" spans="1:5" x14ac:dyDescent="0.2">
      <c r="A1100">
        <v>2188</v>
      </c>
      <c r="B1100">
        <v>42</v>
      </c>
      <c r="C1100" t="s">
        <v>690</v>
      </c>
      <c r="D1100">
        <v>36995</v>
      </c>
      <c r="E1100" t="s">
        <v>120</v>
      </c>
    </row>
    <row r="1101" spans="1:5" x14ac:dyDescent="0.2">
      <c r="A1101">
        <v>2500</v>
      </c>
      <c r="B1101">
        <v>25</v>
      </c>
      <c r="C1101" t="s">
        <v>1907</v>
      </c>
      <c r="D1101">
        <v>36581</v>
      </c>
      <c r="E1101" t="s">
        <v>1083</v>
      </c>
    </row>
    <row r="1102" spans="1:5" x14ac:dyDescent="0.2">
      <c r="A1102">
        <v>3246</v>
      </c>
      <c r="B1102">
        <v>0</v>
      </c>
      <c r="C1102" t="s">
        <v>1908</v>
      </c>
      <c r="D1102">
        <v>37475</v>
      </c>
      <c r="E1102" t="s">
        <v>122</v>
      </c>
    </row>
    <row r="1103" spans="1:5" x14ac:dyDescent="0.2">
      <c r="A1103">
        <v>1688</v>
      </c>
      <c r="B1103">
        <v>85</v>
      </c>
      <c r="C1103" t="s">
        <v>1909</v>
      </c>
      <c r="D1103">
        <v>36208</v>
      </c>
      <c r="E1103" t="s">
        <v>173</v>
      </c>
    </row>
    <row r="1104" spans="1:5" x14ac:dyDescent="0.2">
      <c r="A1104">
        <v>2974</v>
      </c>
      <c r="B1104">
        <v>5</v>
      </c>
      <c r="C1104" t="s">
        <v>1910</v>
      </c>
      <c r="D1104">
        <v>37257</v>
      </c>
      <c r="E1104" t="s">
        <v>104</v>
      </c>
    </row>
    <row r="1105" spans="1:5" x14ac:dyDescent="0.2">
      <c r="A1105">
        <v>2356</v>
      </c>
      <c r="B1105">
        <v>32</v>
      </c>
      <c r="C1105" t="s">
        <v>544</v>
      </c>
      <c r="D1105">
        <v>36526</v>
      </c>
      <c r="E1105" t="s">
        <v>122</v>
      </c>
    </row>
    <row r="1106" spans="1:5" x14ac:dyDescent="0.2">
      <c r="A1106">
        <v>3621</v>
      </c>
      <c r="B1106">
        <v>0</v>
      </c>
      <c r="C1106" t="s">
        <v>1911</v>
      </c>
      <c r="D1106">
        <v>37722</v>
      </c>
      <c r="E1106" t="s">
        <v>120</v>
      </c>
    </row>
    <row r="1107" spans="1:5" x14ac:dyDescent="0.2">
      <c r="A1107">
        <v>3015</v>
      </c>
      <c r="B1107">
        <v>4</v>
      </c>
      <c r="C1107" t="s">
        <v>1912</v>
      </c>
      <c r="D1107">
        <v>36680</v>
      </c>
      <c r="E1107" t="s">
        <v>1121</v>
      </c>
    </row>
    <row r="1108" spans="1:5" x14ac:dyDescent="0.2">
      <c r="A1108">
        <v>2008</v>
      </c>
      <c r="B1108">
        <v>52</v>
      </c>
      <c r="C1108" t="s">
        <v>813</v>
      </c>
      <c r="D1108">
        <v>36355</v>
      </c>
      <c r="E1108" t="s">
        <v>105</v>
      </c>
    </row>
    <row r="1109" spans="1:5" x14ac:dyDescent="0.2">
      <c r="A1109">
        <v>1869</v>
      </c>
      <c r="B1109">
        <v>63</v>
      </c>
      <c r="C1109" t="s">
        <v>545</v>
      </c>
      <c r="D1109">
        <v>37015</v>
      </c>
      <c r="E1109" t="s">
        <v>112</v>
      </c>
    </row>
    <row r="1110" spans="1:5" x14ac:dyDescent="0.2">
      <c r="A1110">
        <v>1495</v>
      </c>
      <c r="B1110">
        <v>113</v>
      </c>
      <c r="C1110" t="s">
        <v>295</v>
      </c>
      <c r="D1110">
        <v>36573</v>
      </c>
      <c r="E1110" t="s">
        <v>105</v>
      </c>
    </row>
    <row r="1111" spans="1:5" x14ac:dyDescent="0.2">
      <c r="A1111">
        <v>3327</v>
      </c>
      <c r="B1111">
        <v>0</v>
      </c>
      <c r="C1111" t="s">
        <v>1913</v>
      </c>
      <c r="D1111">
        <v>37016</v>
      </c>
      <c r="E1111" t="s">
        <v>164</v>
      </c>
    </row>
    <row r="1112" spans="1:5" x14ac:dyDescent="0.2">
      <c r="A1112">
        <v>3628</v>
      </c>
      <c r="B1112">
        <v>0</v>
      </c>
      <c r="C1112" t="s">
        <v>1914</v>
      </c>
      <c r="D1112">
        <v>37162</v>
      </c>
      <c r="E1112" t="s">
        <v>105</v>
      </c>
    </row>
    <row r="1113" spans="1:5" x14ac:dyDescent="0.2">
      <c r="A1113">
        <v>3618</v>
      </c>
      <c r="B1113">
        <v>0</v>
      </c>
      <c r="C1113" t="s">
        <v>1915</v>
      </c>
      <c r="D1113">
        <v>37190</v>
      </c>
      <c r="E1113" t="s">
        <v>1218</v>
      </c>
    </row>
    <row r="1114" spans="1:5" x14ac:dyDescent="0.2">
      <c r="A1114">
        <v>3143</v>
      </c>
      <c r="B1114">
        <v>1</v>
      </c>
      <c r="C1114" t="s">
        <v>1916</v>
      </c>
      <c r="D1114">
        <v>38280</v>
      </c>
      <c r="E1114" t="s">
        <v>105</v>
      </c>
    </row>
    <row r="1115" spans="1:5" x14ac:dyDescent="0.2">
      <c r="A1115">
        <v>2143</v>
      </c>
      <c r="B1115">
        <v>44</v>
      </c>
      <c r="C1115" t="s">
        <v>546</v>
      </c>
      <c r="D1115">
        <v>36555</v>
      </c>
      <c r="E1115" t="s">
        <v>139</v>
      </c>
    </row>
    <row r="1116" spans="1:5" x14ac:dyDescent="0.2">
      <c r="A1116">
        <v>2106</v>
      </c>
      <c r="B1116">
        <v>46</v>
      </c>
      <c r="C1116" t="s">
        <v>814</v>
      </c>
      <c r="D1116">
        <v>37125</v>
      </c>
      <c r="E1116" t="s">
        <v>105</v>
      </c>
    </row>
    <row r="1117" spans="1:5" x14ac:dyDescent="0.2">
      <c r="A1117">
        <v>1781</v>
      </c>
      <c r="B1117">
        <v>73</v>
      </c>
      <c r="C1117" t="s">
        <v>547</v>
      </c>
      <c r="D1117">
        <v>36784</v>
      </c>
      <c r="E1117" t="s">
        <v>103</v>
      </c>
    </row>
    <row r="1118" spans="1:5" x14ac:dyDescent="0.2">
      <c r="A1118">
        <v>884</v>
      </c>
      <c r="B1118">
        <v>258</v>
      </c>
      <c r="C1118" t="s">
        <v>296</v>
      </c>
      <c r="D1118">
        <v>36192</v>
      </c>
      <c r="E1118" t="s">
        <v>1767</v>
      </c>
    </row>
    <row r="1119" spans="1:5" x14ac:dyDescent="0.2">
      <c r="A1119">
        <v>1772</v>
      </c>
      <c r="B1119">
        <v>74</v>
      </c>
      <c r="C1119" t="s">
        <v>815</v>
      </c>
      <c r="D1119">
        <v>36426</v>
      </c>
      <c r="E1119" t="s">
        <v>105</v>
      </c>
    </row>
    <row r="1120" spans="1:5" x14ac:dyDescent="0.2">
      <c r="A1120">
        <v>3514</v>
      </c>
      <c r="B1120">
        <v>0</v>
      </c>
      <c r="C1120" t="s">
        <v>1917</v>
      </c>
      <c r="D1120">
        <v>37068</v>
      </c>
      <c r="E1120" t="s">
        <v>105</v>
      </c>
    </row>
    <row r="1121" spans="1:5" x14ac:dyDescent="0.2">
      <c r="A1121">
        <v>2609</v>
      </c>
      <c r="B1121">
        <v>20</v>
      </c>
      <c r="C1121" t="s">
        <v>816</v>
      </c>
      <c r="D1121">
        <v>36780</v>
      </c>
      <c r="E1121" t="s">
        <v>163</v>
      </c>
    </row>
    <row r="1122" spans="1:5" x14ac:dyDescent="0.2">
      <c r="A1122">
        <v>2652</v>
      </c>
      <c r="B1122">
        <v>18</v>
      </c>
      <c r="C1122" t="s">
        <v>1918</v>
      </c>
      <c r="D1122">
        <v>36685</v>
      </c>
      <c r="E1122" t="s">
        <v>119</v>
      </c>
    </row>
    <row r="1123" spans="1:5" x14ac:dyDescent="0.2">
      <c r="A1123">
        <v>3205</v>
      </c>
      <c r="B1123">
        <v>0</v>
      </c>
      <c r="C1123" t="s">
        <v>1919</v>
      </c>
      <c r="D1123">
        <v>36996</v>
      </c>
      <c r="E1123" t="s">
        <v>118</v>
      </c>
    </row>
    <row r="1124" spans="1:5" x14ac:dyDescent="0.2">
      <c r="A1124">
        <v>2413</v>
      </c>
      <c r="B1124">
        <v>30</v>
      </c>
      <c r="C1124" t="s">
        <v>691</v>
      </c>
      <c r="D1124">
        <v>36848</v>
      </c>
      <c r="E1124" t="s">
        <v>685</v>
      </c>
    </row>
    <row r="1125" spans="1:5" x14ac:dyDescent="0.2">
      <c r="A1125">
        <v>2804</v>
      </c>
      <c r="B1125">
        <v>11</v>
      </c>
      <c r="C1125" t="s">
        <v>1920</v>
      </c>
      <c r="D1125">
        <v>36735</v>
      </c>
      <c r="E1125" t="s">
        <v>1107</v>
      </c>
    </row>
    <row r="1126" spans="1:5" x14ac:dyDescent="0.2">
      <c r="A1126">
        <v>1608</v>
      </c>
      <c r="B1126">
        <v>94</v>
      </c>
      <c r="C1126" t="s">
        <v>548</v>
      </c>
      <c r="D1126">
        <v>36313</v>
      </c>
      <c r="E1126" t="s">
        <v>438</v>
      </c>
    </row>
    <row r="1127" spans="1:5" x14ac:dyDescent="0.2">
      <c r="A1127">
        <v>1201</v>
      </c>
      <c r="B1127">
        <v>168</v>
      </c>
      <c r="C1127" t="s">
        <v>549</v>
      </c>
      <c r="D1127">
        <v>36289</v>
      </c>
      <c r="E1127" t="s">
        <v>72</v>
      </c>
    </row>
    <row r="1128" spans="1:5" x14ac:dyDescent="0.2">
      <c r="A1128">
        <v>1851</v>
      </c>
      <c r="B1128">
        <v>66</v>
      </c>
      <c r="C1128" t="s">
        <v>1921</v>
      </c>
      <c r="D1128">
        <v>36885</v>
      </c>
      <c r="E1128" t="s">
        <v>120</v>
      </c>
    </row>
    <row r="1129" spans="1:5" x14ac:dyDescent="0.2">
      <c r="A1129">
        <v>1001</v>
      </c>
      <c r="B1129">
        <v>221</v>
      </c>
      <c r="C1129" t="s">
        <v>297</v>
      </c>
      <c r="D1129">
        <v>36838</v>
      </c>
      <c r="E1129" t="s">
        <v>1566</v>
      </c>
    </row>
    <row r="1130" spans="1:5" x14ac:dyDescent="0.2">
      <c r="A1130">
        <v>2525</v>
      </c>
      <c r="B1130">
        <v>24</v>
      </c>
      <c r="C1130" t="s">
        <v>1922</v>
      </c>
      <c r="D1130">
        <v>36676</v>
      </c>
      <c r="E1130" t="s">
        <v>1867</v>
      </c>
    </row>
    <row r="1131" spans="1:5" x14ac:dyDescent="0.2">
      <c r="A1131">
        <v>2198</v>
      </c>
      <c r="B1131">
        <v>41</v>
      </c>
      <c r="C1131" t="s">
        <v>1923</v>
      </c>
      <c r="D1131">
        <v>36555</v>
      </c>
      <c r="E1131" t="s">
        <v>1129</v>
      </c>
    </row>
    <row r="1132" spans="1:5" x14ac:dyDescent="0.2">
      <c r="A1132">
        <v>1830</v>
      </c>
      <c r="B1132">
        <v>69</v>
      </c>
      <c r="C1132" t="s">
        <v>1924</v>
      </c>
      <c r="D1132">
        <v>36295</v>
      </c>
      <c r="E1132" t="s">
        <v>72</v>
      </c>
    </row>
    <row r="1133" spans="1:5" x14ac:dyDescent="0.2">
      <c r="A1133">
        <v>1534</v>
      </c>
      <c r="B1133">
        <v>105</v>
      </c>
      <c r="C1133" t="s">
        <v>1925</v>
      </c>
      <c r="D1133">
        <v>36299</v>
      </c>
      <c r="E1133" t="s">
        <v>113</v>
      </c>
    </row>
    <row r="1134" spans="1:5" x14ac:dyDescent="0.2">
      <c r="A1134">
        <v>2799</v>
      </c>
      <c r="B1134">
        <v>11</v>
      </c>
      <c r="C1134" t="s">
        <v>1926</v>
      </c>
      <c r="D1134">
        <v>37024</v>
      </c>
      <c r="E1134" t="s">
        <v>165</v>
      </c>
    </row>
    <row r="1135" spans="1:5" x14ac:dyDescent="0.2">
      <c r="A1135">
        <v>1695</v>
      </c>
      <c r="B1135">
        <v>84</v>
      </c>
      <c r="C1135" t="s">
        <v>1927</v>
      </c>
      <c r="D1135">
        <v>37134</v>
      </c>
      <c r="E1135" t="s">
        <v>1928</v>
      </c>
    </row>
    <row r="1136" spans="1:5" x14ac:dyDescent="0.2">
      <c r="A1136">
        <v>1615</v>
      </c>
      <c r="B1136">
        <v>94</v>
      </c>
      <c r="C1136" t="s">
        <v>1929</v>
      </c>
      <c r="D1136">
        <v>37134</v>
      </c>
      <c r="E1136" t="s">
        <v>1928</v>
      </c>
    </row>
    <row r="1137" spans="1:5" x14ac:dyDescent="0.2">
      <c r="A1137">
        <v>2839</v>
      </c>
      <c r="B1137">
        <v>10</v>
      </c>
      <c r="C1137" t="s">
        <v>1930</v>
      </c>
      <c r="D1137">
        <v>36635</v>
      </c>
      <c r="E1137" t="s">
        <v>1121</v>
      </c>
    </row>
    <row r="1138" spans="1:5" x14ac:dyDescent="0.2">
      <c r="A1138">
        <v>2673</v>
      </c>
      <c r="B1138">
        <v>16</v>
      </c>
      <c r="C1138" t="s">
        <v>298</v>
      </c>
      <c r="D1138">
        <v>36526</v>
      </c>
      <c r="E1138" t="s">
        <v>105</v>
      </c>
    </row>
    <row r="1139" spans="1:5" x14ac:dyDescent="0.2">
      <c r="A1139">
        <v>1834</v>
      </c>
      <c r="B1139">
        <v>68</v>
      </c>
      <c r="C1139" t="s">
        <v>550</v>
      </c>
      <c r="D1139">
        <v>36967</v>
      </c>
      <c r="E1139" t="s">
        <v>105</v>
      </c>
    </row>
    <row r="1140" spans="1:5" x14ac:dyDescent="0.2">
      <c r="A1140">
        <v>1539</v>
      </c>
      <c r="B1140">
        <v>104</v>
      </c>
      <c r="C1140" t="s">
        <v>817</v>
      </c>
      <c r="D1140">
        <v>37315</v>
      </c>
      <c r="E1140" t="s">
        <v>109</v>
      </c>
    </row>
    <row r="1141" spans="1:5" x14ac:dyDescent="0.2">
      <c r="A1141">
        <v>1230</v>
      </c>
      <c r="B1141">
        <v>161</v>
      </c>
      <c r="C1141" t="s">
        <v>299</v>
      </c>
      <c r="D1141">
        <v>36176</v>
      </c>
      <c r="E1141" t="s">
        <v>105</v>
      </c>
    </row>
    <row r="1142" spans="1:5" x14ac:dyDescent="0.2">
      <c r="A1142">
        <v>920</v>
      </c>
      <c r="B1142">
        <v>245</v>
      </c>
      <c r="C1142" t="s">
        <v>300</v>
      </c>
      <c r="D1142">
        <v>36407</v>
      </c>
      <c r="E1142" t="s">
        <v>74</v>
      </c>
    </row>
    <row r="1143" spans="1:5" x14ac:dyDescent="0.2">
      <c r="A1143">
        <v>2003</v>
      </c>
      <c r="B1143">
        <v>52</v>
      </c>
      <c r="C1143" t="s">
        <v>551</v>
      </c>
      <c r="D1143">
        <v>37034</v>
      </c>
      <c r="E1143" t="s">
        <v>72</v>
      </c>
    </row>
    <row r="1144" spans="1:5" x14ac:dyDescent="0.2">
      <c r="A1144">
        <v>3026</v>
      </c>
      <c r="B1144">
        <v>4</v>
      </c>
      <c r="C1144" t="s">
        <v>551</v>
      </c>
      <c r="D1144">
        <v>37257</v>
      </c>
      <c r="E1144" t="s">
        <v>141</v>
      </c>
    </row>
    <row r="1145" spans="1:5" x14ac:dyDescent="0.2">
      <c r="A1145">
        <v>3309</v>
      </c>
      <c r="B1145">
        <v>0</v>
      </c>
      <c r="C1145" t="s">
        <v>551</v>
      </c>
      <c r="D1145">
        <v>37735</v>
      </c>
      <c r="E1145" t="s">
        <v>99</v>
      </c>
    </row>
    <row r="1146" spans="1:5" x14ac:dyDescent="0.2">
      <c r="A1146">
        <v>2278</v>
      </c>
      <c r="B1146">
        <v>36</v>
      </c>
      <c r="C1146" t="s">
        <v>301</v>
      </c>
      <c r="D1146">
        <v>36564</v>
      </c>
      <c r="E1146" t="s">
        <v>170</v>
      </c>
    </row>
    <row r="1147" spans="1:5" x14ac:dyDescent="0.2">
      <c r="A1147">
        <v>2399</v>
      </c>
      <c r="B1147">
        <v>30</v>
      </c>
      <c r="C1147" t="s">
        <v>552</v>
      </c>
      <c r="D1147">
        <v>37140</v>
      </c>
      <c r="E1147" t="s">
        <v>72</v>
      </c>
    </row>
    <row r="1148" spans="1:5" x14ac:dyDescent="0.2">
      <c r="A1148">
        <v>1524</v>
      </c>
      <c r="B1148">
        <v>107</v>
      </c>
      <c r="C1148" t="s">
        <v>1931</v>
      </c>
      <c r="D1148">
        <v>36763</v>
      </c>
      <c r="E1148" t="s">
        <v>120</v>
      </c>
    </row>
    <row r="1149" spans="1:5" x14ac:dyDescent="0.2">
      <c r="A1149">
        <v>1354</v>
      </c>
      <c r="B1149">
        <v>139</v>
      </c>
      <c r="C1149" t="s">
        <v>302</v>
      </c>
      <c r="D1149">
        <v>36239</v>
      </c>
      <c r="E1149" t="s">
        <v>1263</v>
      </c>
    </row>
    <row r="1150" spans="1:5" x14ac:dyDescent="0.2">
      <c r="A1150">
        <v>2503</v>
      </c>
      <c r="B1150">
        <v>25</v>
      </c>
      <c r="C1150" t="s">
        <v>818</v>
      </c>
      <c r="D1150">
        <v>36665</v>
      </c>
      <c r="E1150" t="s">
        <v>105</v>
      </c>
    </row>
    <row r="1151" spans="1:5" x14ac:dyDescent="0.2">
      <c r="A1151">
        <v>1906</v>
      </c>
      <c r="B1151">
        <v>60</v>
      </c>
      <c r="C1151" t="s">
        <v>819</v>
      </c>
      <c r="D1151">
        <v>36564</v>
      </c>
      <c r="E1151" t="s">
        <v>1063</v>
      </c>
    </row>
    <row r="1152" spans="1:5" x14ac:dyDescent="0.2">
      <c r="A1152">
        <v>3145</v>
      </c>
      <c r="B1152">
        <v>1</v>
      </c>
      <c r="C1152" t="s">
        <v>1932</v>
      </c>
      <c r="D1152">
        <v>36373</v>
      </c>
      <c r="E1152" t="s">
        <v>105</v>
      </c>
    </row>
    <row r="1153" spans="1:5" x14ac:dyDescent="0.2">
      <c r="A1153">
        <v>1288</v>
      </c>
      <c r="B1153">
        <v>150</v>
      </c>
      <c r="C1153" t="s">
        <v>692</v>
      </c>
      <c r="D1153">
        <v>36782</v>
      </c>
      <c r="E1153" t="s">
        <v>74</v>
      </c>
    </row>
    <row r="1154" spans="1:5" x14ac:dyDescent="0.2">
      <c r="A1154">
        <v>3108</v>
      </c>
      <c r="B1154">
        <v>2</v>
      </c>
      <c r="C1154" t="s">
        <v>1933</v>
      </c>
      <c r="D1154">
        <v>37257</v>
      </c>
      <c r="E1154" t="s">
        <v>74</v>
      </c>
    </row>
    <row r="1155" spans="1:5" x14ac:dyDescent="0.2">
      <c r="A1155">
        <v>3484</v>
      </c>
      <c r="B1155">
        <v>0</v>
      </c>
      <c r="C1155" t="s">
        <v>1934</v>
      </c>
      <c r="D1155">
        <v>37140</v>
      </c>
      <c r="E1155" t="s">
        <v>120</v>
      </c>
    </row>
    <row r="1156" spans="1:5" x14ac:dyDescent="0.2">
      <c r="A1156">
        <v>3071</v>
      </c>
      <c r="B1156">
        <v>3</v>
      </c>
      <c r="C1156" t="s">
        <v>1935</v>
      </c>
      <c r="D1156">
        <v>37656</v>
      </c>
      <c r="E1156" t="s">
        <v>105</v>
      </c>
    </row>
    <row r="1157" spans="1:5" x14ac:dyDescent="0.2">
      <c r="A1157">
        <v>2800</v>
      </c>
      <c r="B1157">
        <v>11</v>
      </c>
      <c r="C1157" t="s">
        <v>1936</v>
      </c>
      <c r="D1157">
        <v>36457</v>
      </c>
      <c r="E1157" t="s">
        <v>231</v>
      </c>
    </row>
    <row r="1158" spans="1:5" x14ac:dyDescent="0.2">
      <c r="A1158">
        <v>3405</v>
      </c>
      <c r="B1158">
        <v>0</v>
      </c>
      <c r="C1158" t="s">
        <v>1937</v>
      </c>
      <c r="D1158">
        <v>37343</v>
      </c>
      <c r="E1158" t="s">
        <v>1171</v>
      </c>
    </row>
    <row r="1159" spans="1:5" x14ac:dyDescent="0.2">
      <c r="A1159">
        <v>2617</v>
      </c>
      <c r="B1159">
        <v>19</v>
      </c>
      <c r="C1159" t="s">
        <v>1938</v>
      </c>
      <c r="D1159">
        <v>37228</v>
      </c>
      <c r="E1159" t="s">
        <v>120</v>
      </c>
    </row>
    <row r="1160" spans="1:5" x14ac:dyDescent="0.2">
      <c r="A1160">
        <v>2808</v>
      </c>
      <c r="B1160">
        <v>11</v>
      </c>
      <c r="C1160" t="s">
        <v>1939</v>
      </c>
      <c r="D1160">
        <v>37228</v>
      </c>
      <c r="E1160" t="s">
        <v>120</v>
      </c>
    </row>
    <row r="1161" spans="1:5" x14ac:dyDescent="0.2">
      <c r="A1161">
        <v>1205</v>
      </c>
      <c r="B1161">
        <v>167</v>
      </c>
      <c r="C1161" t="s">
        <v>303</v>
      </c>
      <c r="D1161">
        <v>36641</v>
      </c>
      <c r="E1161" t="s">
        <v>257</v>
      </c>
    </row>
    <row r="1162" spans="1:5" x14ac:dyDescent="0.2">
      <c r="A1162">
        <v>2334</v>
      </c>
      <c r="B1162">
        <v>33</v>
      </c>
      <c r="C1162" t="s">
        <v>553</v>
      </c>
      <c r="D1162">
        <v>36560</v>
      </c>
      <c r="E1162" t="s">
        <v>99</v>
      </c>
    </row>
    <row r="1163" spans="1:5" x14ac:dyDescent="0.2">
      <c r="A1163">
        <v>3281</v>
      </c>
      <c r="B1163">
        <v>0</v>
      </c>
      <c r="C1163" t="s">
        <v>1940</v>
      </c>
      <c r="D1163">
        <v>37500</v>
      </c>
      <c r="E1163" t="s">
        <v>165</v>
      </c>
    </row>
    <row r="1164" spans="1:5" x14ac:dyDescent="0.2">
      <c r="A1164">
        <v>1707</v>
      </c>
      <c r="B1164">
        <v>83</v>
      </c>
      <c r="C1164" t="s">
        <v>1941</v>
      </c>
      <c r="D1164">
        <v>36511</v>
      </c>
      <c r="E1164" t="s">
        <v>243</v>
      </c>
    </row>
    <row r="1165" spans="1:5" x14ac:dyDescent="0.2">
      <c r="A1165">
        <v>1017</v>
      </c>
      <c r="B1165">
        <v>216</v>
      </c>
      <c r="C1165" t="s">
        <v>304</v>
      </c>
      <c r="D1165">
        <v>36186</v>
      </c>
      <c r="E1165" t="s">
        <v>105</v>
      </c>
    </row>
    <row r="1166" spans="1:5" x14ac:dyDescent="0.2">
      <c r="A1166">
        <v>3295</v>
      </c>
      <c r="B1166">
        <v>0</v>
      </c>
      <c r="C1166" t="s">
        <v>1942</v>
      </c>
      <c r="D1166">
        <v>36330</v>
      </c>
      <c r="E1166" t="s">
        <v>1143</v>
      </c>
    </row>
    <row r="1167" spans="1:5" x14ac:dyDescent="0.2">
      <c r="A1167">
        <v>2400</v>
      </c>
      <c r="B1167">
        <v>30</v>
      </c>
      <c r="C1167" t="s">
        <v>554</v>
      </c>
      <c r="D1167">
        <v>37027</v>
      </c>
      <c r="E1167" t="s">
        <v>1069</v>
      </c>
    </row>
    <row r="1168" spans="1:5" x14ac:dyDescent="0.2">
      <c r="A1168">
        <v>2355</v>
      </c>
      <c r="B1168">
        <v>32</v>
      </c>
      <c r="C1168" t="s">
        <v>305</v>
      </c>
      <c r="D1168">
        <v>37317</v>
      </c>
      <c r="E1168" t="s">
        <v>110</v>
      </c>
    </row>
    <row r="1169" spans="1:5" x14ac:dyDescent="0.2">
      <c r="A1169">
        <v>2749</v>
      </c>
      <c r="B1169">
        <v>13</v>
      </c>
      <c r="C1169" t="s">
        <v>1943</v>
      </c>
      <c r="D1169">
        <v>37672</v>
      </c>
      <c r="E1169" t="s">
        <v>105</v>
      </c>
    </row>
    <row r="1170" spans="1:5" x14ac:dyDescent="0.2">
      <c r="A1170">
        <v>3135</v>
      </c>
      <c r="B1170">
        <v>2</v>
      </c>
      <c r="C1170" t="s">
        <v>1944</v>
      </c>
      <c r="D1170">
        <v>36959</v>
      </c>
      <c r="E1170" t="s">
        <v>120</v>
      </c>
    </row>
    <row r="1171" spans="1:5" x14ac:dyDescent="0.2">
      <c r="A1171">
        <v>3505</v>
      </c>
      <c r="B1171">
        <v>0</v>
      </c>
      <c r="C1171" t="s">
        <v>1945</v>
      </c>
      <c r="D1171">
        <v>36526</v>
      </c>
      <c r="E1171" t="s">
        <v>1155</v>
      </c>
    </row>
    <row r="1172" spans="1:5" x14ac:dyDescent="0.2">
      <c r="A1172">
        <v>3520</v>
      </c>
      <c r="B1172">
        <v>0</v>
      </c>
      <c r="C1172" t="s">
        <v>1946</v>
      </c>
      <c r="D1172">
        <v>37069</v>
      </c>
      <c r="E1172" t="s">
        <v>1867</v>
      </c>
    </row>
    <row r="1173" spans="1:5" x14ac:dyDescent="0.2">
      <c r="A1173">
        <v>1021</v>
      </c>
      <c r="B1173">
        <v>214</v>
      </c>
      <c r="C1173" t="s">
        <v>306</v>
      </c>
      <c r="D1173">
        <v>36421</v>
      </c>
      <c r="E1173" t="s">
        <v>120</v>
      </c>
    </row>
    <row r="1174" spans="1:5" x14ac:dyDescent="0.2">
      <c r="A1174">
        <v>3459</v>
      </c>
      <c r="B1174">
        <v>0</v>
      </c>
      <c r="C1174" t="s">
        <v>1947</v>
      </c>
      <c r="D1174">
        <v>37080</v>
      </c>
      <c r="E1174" t="s">
        <v>227</v>
      </c>
    </row>
    <row r="1175" spans="1:5" x14ac:dyDescent="0.2">
      <c r="A1175">
        <v>1529</v>
      </c>
      <c r="B1175">
        <v>106</v>
      </c>
      <c r="C1175" t="s">
        <v>555</v>
      </c>
      <c r="D1175">
        <v>36555</v>
      </c>
      <c r="E1175" t="s">
        <v>103</v>
      </c>
    </row>
    <row r="1176" spans="1:5" x14ac:dyDescent="0.2">
      <c r="A1176">
        <v>3440</v>
      </c>
      <c r="B1176">
        <v>0</v>
      </c>
      <c r="C1176" t="s">
        <v>1948</v>
      </c>
      <c r="D1176">
        <v>36892</v>
      </c>
      <c r="E1176" t="s">
        <v>105</v>
      </c>
    </row>
    <row r="1177" spans="1:5" x14ac:dyDescent="0.2">
      <c r="A1177">
        <v>1845</v>
      </c>
      <c r="B1177">
        <v>66</v>
      </c>
      <c r="C1177" t="s">
        <v>307</v>
      </c>
      <c r="D1177">
        <v>36229</v>
      </c>
      <c r="E1177" t="s">
        <v>105</v>
      </c>
    </row>
    <row r="1178" spans="1:5" x14ac:dyDescent="0.2">
      <c r="A1178">
        <v>1704</v>
      </c>
      <c r="B1178">
        <v>83</v>
      </c>
      <c r="C1178" t="s">
        <v>1949</v>
      </c>
      <c r="D1178">
        <v>36919</v>
      </c>
      <c r="E1178" t="s">
        <v>120</v>
      </c>
    </row>
    <row r="1179" spans="1:5" x14ac:dyDescent="0.2">
      <c r="A1179">
        <v>3648</v>
      </c>
      <c r="B1179">
        <v>0</v>
      </c>
      <c r="C1179" t="s">
        <v>1950</v>
      </c>
      <c r="D1179">
        <v>36778</v>
      </c>
      <c r="E1179" t="s">
        <v>114</v>
      </c>
    </row>
    <row r="1180" spans="1:5" x14ac:dyDescent="0.2">
      <c r="A1180">
        <v>1866</v>
      </c>
      <c r="B1180">
        <v>64</v>
      </c>
      <c r="C1180" t="s">
        <v>820</v>
      </c>
      <c r="D1180">
        <v>36830</v>
      </c>
      <c r="E1180" t="s">
        <v>1367</v>
      </c>
    </row>
    <row r="1181" spans="1:5" x14ac:dyDescent="0.2">
      <c r="A1181">
        <v>3588</v>
      </c>
      <c r="B1181">
        <v>0</v>
      </c>
      <c r="C1181" t="s">
        <v>1951</v>
      </c>
      <c r="D1181">
        <v>38391</v>
      </c>
      <c r="E1181" t="s">
        <v>1143</v>
      </c>
    </row>
    <row r="1182" spans="1:5" x14ac:dyDescent="0.2">
      <c r="A1182">
        <v>2949</v>
      </c>
      <c r="B1182">
        <v>6</v>
      </c>
      <c r="C1182" t="s">
        <v>1952</v>
      </c>
      <c r="D1182">
        <v>36254</v>
      </c>
      <c r="E1182" t="s">
        <v>145</v>
      </c>
    </row>
    <row r="1183" spans="1:5" x14ac:dyDescent="0.2">
      <c r="A1183">
        <v>2708</v>
      </c>
      <c r="B1183">
        <v>15</v>
      </c>
      <c r="C1183" t="s">
        <v>1953</v>
      </c>
      <c r="D1183">
        <v>36526</v>
      </c>
      <c r="E1183" t="s">
        <v>83</v>
      </c>
    </row>
    <row r="1184" spans="1:5" x14ac:dyDescent="0.2">
      <c r="A1184">
        <v>2016</v>
      </c>
      <c r="B1184">
        <v>51</v>
      </c>
      <c r="C1184" t="s">
        <v>1954</v>
      </c>
      <c r="D1184">
        <v>36202</v>
      </c>
      <c r="E1184" t="s">
        <v>111</v>
      </c>
    </row>
    <row r="1185" spans="1:5" x14ac:dyDescent="0.2">
      <c r="A1185">
        <v>3011</v>
      </c>
      <c r="B1185">
        <v>4</v>
      </c>
      <c r="C1185" t="s">
        <v>1955</v>
      </c>
      <c r="D1185">
        <v>36706</v>
      </c>
      <c r="E1185" t="s">
        <v>140</v>
      </c>
    </row>
    <row r="1186" spans="1:5" x14ac:dyDescent="0.2">
      <c r="A1186">
        <v>2496</v>
      </c>
      <c r="B1186">
        <v>25</v>
      </c>
      <c r="C1186" t="s">
        <v>556</v>
      </c>
      <c r="D1186">
        <v>37217</v>
      </c>
      <c r="E1186" t="s">
        <v>105</v>
      </c>
    </row>
    <row r="1187" spans="1:5" x14ac:dyDescent="0.2">
      <c r="A1187">
        <v>3214</v>
      </c>
      <c r="B1187">
        <v>0</v>
      </c>
      <c r="C1187" t="s">
        <v>1956</v>
      </c>
      <c r="D1187">
        <v>36822</v>
      </c>
      <c r="E1187" t="s">
        <v>145</v>
      </c>
    </row>
    <row r="1188" spans="1:5" x14ac:dyDescent="0.2">
      <c r="A1188">
        <v>2259</v>
      </c>
      <c r="B1188">
        <v>37</v>
      </c>
      <c r="C1188" t="s">
        <v>557</v>
      </c>
      <c r="D1188">
        <v>37051</v>
      </c>
      <c r="E1188" t="s">
        <v>105</v>
      </c>
    </row>
    <row r="1189" spans="1:5" x14ac:dyDescent="0.2">
      <c r="A1189">
        <v>3693</v>
      </c>
      <c r="B1189">
        <v>0</v>
      </c>
      <c r="C1189" t="s">
        <v>1957</v>
      </c>
      <c r="D1189">
        <v>37419</v>
      </c>
      <c r="E1189" t="s">
        <v>105</v>
      </c>
    </row>
    <row r="1190" spans="1:5" x14ac:dyDescent="0.2">
      <c r="A1190">
        <v>2156</v>
      </c>
      <c r="B1190">
        <v>43</v>
      </c>
      <c r="C1190" t="s">
        <v>558</v>
      </c>
      <c r="D1190">
        <v>36793</v>
      </c>
      <c r="E1190" t="s">
        <v>559</v>
      </c>
    </row>
    <row r="1191" spans="1:5" x14ac:dyDescent="0.2">
      <c r="A1191">
        <v>3159</v>
      </c>
      <c r="B1191">
        <v>1</v>
      </c>
      <c r="C1191" t="s">
        <v>1958</v>
      </c>
      <c r="D1191">
        <v>37169</v>
      </c>
      <c r="E1191" t="s">
        <v>1218</v>
      </c>
    </row>
    <row r="1192" spans="1:5" x14ac:dyDescent="0.2">
      <c r="A1192">
        <v>2707</v>
      </c>
      <c r="B1192">
        <v>15</v>
      </c>
      <c r="C1192" t="s">
        <v>1959</v>
      </c>
      <c r="D1192">
        <v>36704</v>
      </c>
      <c r="E1192" t="s">
        <v>614</v>
      </c>
    </row>
    <row r="1193" spans="1:5" x14ac:dyDescent="0.2">
      <c r="A1193">
        <v>1307</v>
      </c>
      <c r="B1193">
        <v>146</v>
      </c>
      <c r="C1193" t="s">
        <v>693</v>
      </c>
      <c r="D1193">
        <v>37147</v>
      </c>
      <c r="E1193" t="s">
        <v>105</v>
      </c>
    </row>
    <row r="1194" spans="1:5" x14ac:dyDescent="0.2">
      <c r="A1194">
        <v>2115</v>
      </c>
      <c r="B1194">
        <v>45</v>
      </c>
      <c r="C1194" t="s">
        <v>560</v>
      </c>
      <c r="D1194">
        <v>37341</v>
      </c>
      <c r="E1194" t="s">
        <v>73</v>
      </c>
    </row>
    <row r="1195" spans="1:5" x14ac:dyDescent="0.2">
      <c r="A1195">
        <v>2782</v>
      </c>
      <c r="B1195">
        <v>12</v>
      </c>
      <c r="C1195" t="s">
        <v>1960</v>
      </c>
      <c r="D1195">
        <v>36675</v>
      </c>
      <c r="E1195" t="s">
        <v>1961</v>
      </c>
    </row>
    <row r="1196" spans="1:5" x14ac:dyDescent="0.2">
      <c r="A1196">
        <v>2151</v>
      </c>
      <c r="B1196">
        <v>44</v>
      </c>
      <c r="C1196" t="s">
        <v>821</v>
      </c>
      <c r="D1196">
        <v>36945</v>
      </c>
      <c r="E1196" t="s">
        <v>208</v>
      </c>
    </row>
    <row r="1197" spans="1:5" x14ac:dyDescent="0.2">
      <c r="A1197">
        <v>1681</v>
      </c>
      <c r="B1197">
        <v>86</v>
      </c>
      <c r="C1197" t="s">
        <v>1962</v>
      </c>
      <c r="D1197">
        <v>36985</v>
      </c>
      <c r="E1197" t="s">
        <v>176</v>
      </c>
    </row>
    <row r="1198" spans="1:5" x14ac:dyDescent="0.2">
      <c r="A1198">
        <v>1582</v>
      </c>
      <c r="B1198">
        <v>99</v>
      </c>
      <c r="C1198" t="s">
        <v>1963</v>
      </c>
      <c r="D1198">
        <v>36514</v>
      </c>
      <c r="E1198" t="s">
        <v>105</v>
      </c>
    </row>
    <row r="1199" spans="1:5" x14ac:dyDescent="0.2">
      <c r="A1199">
        <v>2746</v>
      </c>
      <c r="B1199">
        <v>13</v>
      </c>
      <c r="C1199" t="s">
        <v>1964</v>
      </c>
      <c r="D1199">
        <v>36571</v>
      </c>
      <c r="E1199" t="s">
        <v>1076</v>
      </c>
    </row>
    <row r="1200" spans="1:5" x14ac:dyDescent="0.2">
      <c r="A1200">
        <v>2043</v>
      </c>
      <c r="B1200">
        <v>49</v>
      </c>
      <c r="C1200" t="s">
        <v>694</v>
      </c>
      <c r="D1200">
        <v>36636</v>
      </c>
      <c r="E1200" t="s">
        <v>120</v>
      </c>
    </row>
    <row r="1201" spans="1:5" x14ac:dyDescent="0.2">
      <c r="A1201">
        <v>1970</v>
      </c>
      <c r="B1201">
        <v>54</v>
      </c>
      <c r="C1201" t="s">
        <v>561</v>
      </c>
      <c r="D1201">
        <v>36276</v>
      </c>
      <c r="E1201" t="s">
        <v>1218</v>
      </c>
    </row>
    <row r="1202" spans="1:5" x14ac:dyDescent="0.2">
      <c r="A1202">
        <v>3583</v>
      </c>
      <c r="B1202">
        <v>0</v>
      </c>
      <c r="C1202" t="s">
        <v>1965</v>
      </c>
      <c r="D1202">
        <v>36909</v>
      </c>
      <c r="E1202" t="s">
        <v>1367</v>
      </c>
    </row>
    <row r="1203" spans="1:5" x14ac:dyDescent="0.2">
      <c r="A1203">
        <v>3559</v>
      </c>
      <c r="B1203">
        <v>0</v>
      </c>
      <c r="C1203" t="s">
        <v>1966</v>
      </c>
      <c r="D1203">
        <v>36658</v>
      </c>
      <c r="E1203" t="s">
        <v>1063</v>
      </c>
    </row>
    <row r="1204" spans="1:5" x14ac:dyDescent="0.2">
      <c r="A1204">
        <v>3575</v>
      </c>
      <c r="B1204">
        <v>0</v>
      </c>
      <c r="C1204" t="s">
        <v>1967</v>
      </c>
      <c r="D1204">
        <v>37262</v>
      </c>
      <c r="E1204" t="s">
        <v>1139</v>
      </c>
    </row>
    <row r="1205" spans="1:5" x14ac:dyDescent="0.2">
      <c r="A1205">
        <v>3663</v>
      </c>
      <c r="B1205">
        <v>0</v>
      </c>
      <c r="C1205" t="s">
        <v>1968</v>
      </c>
      <c r="D1205">
        <v>36886</v>
      </c>
      <c r="E1205" t="s">
        <v>1234</v>
      </c>
    </row>
    <row r="1206" spans="1:5" x14ac:dyDescent="0.2">
      <c r="A1206">
        <v>2272</v>
      </c>
      <c r="B1206">
        <v>37</v>
      </c>
      <c r="C1206" t="s">
        <v>1969</v>
      </c>
      <c r="D1206">
        <v>37390</v>
      </c>
      <c r="E1206" t="s">
        <v>80</v>
      </c>
    </row>
    <row r="1207" spans="1:5" x14ac:dyDescent="0.2">
      <c r="A1207">
        <v>3435</v>
      </c>
      <c r="B1207">
        <v>0</v>
      </c>
      <c r="C1207" t="s">
        <v>1970</v>
      </c>
      <c r="D1207">
        <v>36945</v>
      </c>
      <c r="E1207" t="s">
        <v>1506</v>
      </c>
    </row>
    <row r="1208" spans="1:5" x14ac:dyDescent="0.2">
      <c r="A1208">
        <v>2999</v>
      </c>
      <c r="B1208">
        <v>5</v>
      </c>
      <c r="C1208" t="s">
        <v>1971</v>
      </c>
      <c r="D1208">
        <v>37643</v>
      </c>
      <c r="E1208" t="s">
        <v>105</v>
      </c>
    </row>
    <row r="1209" spans="1:5" x14ac:dyDescent="0.2">
      <c r="A1209">
        <v>1042</v>
      </c>
      <c r="B1209">
        <v>207</v>
      </c>
      <c r="C1209" t="s">
        <v>562</v>
      </c>
      <c r="D1209">
        <v>36325</v>
      </c>
      <c r="E1209" t="s">
        <v>117</v>
      </c>
    </row>
    <row r="1210" spans="1:5" x14ac:dyDescent="0.2">
      <c r="A1210">
        <v>1321</v>
      </c>
      <c r="B1210">
        <v>144</v>
      </c>
      <c r="C1210" t="s">
        <v>563</v>
      </c>
      <c r="D1210">
        <v>36263</v>
      </c>
      <c r="E1210" t="s">
        <v>72</v>
      </c>
    </row>
    <row r="1211" spans="1:5" x14ac:dyDescent="0.2">
      <c r="A1211">
        <v>2494</v>
      </c>
      <c r="B1211">
        <v>25</v>
      </c>
      <c r="C1211" t="s">
        <v>564</v>
      </c>
      <c r="D1211">
        <v>36936</v>
      </c>
      <c r="E1211" t="s">
        <v>129</v>
      </c>
    </row>
    <row r="1212" spans="1:5" x14ac:dyDescent="0.2">
      <c r="A1212">
        <v>3589</v>
      </c>
      <c r="B1212">
        <v>0</v>
      </c>
      <c r="C1212" t="s">
        <v>1972</v>
      </c>
      <c r="D1212">
        <v>37298</v>
      </c>
      <c r="E1212" t="s">
        <v>1143</v>
      </c>
    </row>
    <row r="1213" spans="1:5" x14ac:dyDescent="0.2">
      <c r="A1213">
        <v>2000</v>
      </c>
      <c r="B1213">
        <v>52</v>
      </c>
      <c r="C1213" t="s">
        <v>308</v>
      </c>
      <c r="D1213">
        <v>36600</v>
      </c>
      <c r="E1213" t="s">
        <v>105</v>
      </c>
    </row>
    <row r="1214" spans="1:5" x14ac:dyDescent="0.2">
      <c r="A1214">
        <v>3486</v>
      </c>
      <c r="B1214">
        <v>0</v>
      </c>
      <c r="C1214" t="s">
        <v>1973</v>
      </c>
      <c r="D1214">
        <v>37322</v>
      </c>
      <c r="E1214" t="s">
        <v>110</v>
      </c>
    </row>
    <row r="1215" spans="1:5" x14ac:dyDescent="0.2">
      <c r="A1215">
        <v>3321</v>
      </c>
      <c r="B1215">
        <v>0</v>
      </c>
      <c r="C1215" t="s">
        <v>1974</v>
      </c>
      <c r="D1215">
        <v>37361</v>
      </c>
      <c r="E1215" t="s">
        <v>120</v>
      </c>
    </row>
    <row r="1216" spans="1:5" x14ac:dyDescent="0.2">
      <c r="A1216">
        <v>2954</v>
      </c>
      <c r="B1216">
        <v>6</v>
      </c>
      <c r="C1216" t="s">
        <v>1975</v>
      </c>
      <c r="D1216">
        <v>37218</v>
      </c>
      <c r="E1216" t="s">
        <v>1214</v>
      </c>
    </row>
    <row r="1217" spans="1:5" x14ac:dyDescent="0.2">
      <c r="A1217">
        <v>3476</v>
      </c>
      <c r="B1217">
        <v>0</v>
      </c>
      <c r="C1217" t="s">
        <v>1976</v>
      </c>
      <c r="D1217">
        <v>38065</v>
      </c>
      <c r="E1217" t="s">
        <v>105</v>
      </c>
    </row>
    <row r="1218" spans="1:5" x14ac:dyDescent="0.2">
      <c r="A1218">
        <v>3590</v>
      </c>
      <c r="B1218">
        <v>0</v>
      </c>
      <c r="C1218" t="s">
        <v>1977</v>
      </c>
      <c r="D1218">
        <v>36998</v>
      </c>
      <c r="E1218" t="s">
        <v>103</v>
      </c>
    </row>
    <row r="1219" spans="1:5" x14ac:dyDescent="0.2">
      <c r="A1219">
        <v>3410</v>
      </c>
      <c r="B1219">
        <v>0</v>
      </c>
      <c r="C1219" t="s">
        <v>1978</v>
      </c>
      <c r="D1219">
        <v>37618</v>
      </c>
      <c r="E1219" t="s">
        <v>1105</v>
      </c>
    </row>
    <row r="1220" spans="1:5" x14ac:dyDescent="0.2">
      <c r="A1220">
        <v>1736</v>
      </c>
      <c r="B1220">
        <v>78</v>
      </c>
      <c r="C1220" t="s">
        <v>565</v>
      </c>
      <c r="D1220">
        <v>36316</v>
      </c>
      <c r="E1220" t="s">
        <v>1063</v>
      </c>
    </row>
    <row r="1221" spans="1:5" x14ac:dyDescent="0.2">
      <c r="A1221">
        <v>2603</v>
      </c>
      <c r="B1221">
        <v>20</v>
      </c>
      <c r="C1221" t="s">
        <v>1979</v>
      </c>
      <c r="D1221">
        <v>37384</v>
      </c>
      <c r="E1221" t="s">
        <v>117</v>
      </c>
    </row>
    <row r="1222" spans="1:5" x14ac:dyDescent="0.2">
      <c r="A1222">
        <v>2329</v>
      </c>
      <c r="B1222">
        <v>34</v>
      </c>
      <c r="C1222" t="s">
        <v>1980</v>
      </c>
      <c r="D1222">
        <v>37421</v>
      </c>
      <c r="E1222" t="s">
        <v>1315</v>
      </c>
    </row>
    <row r="1223" spans="1:5" x14ac:dyDescent="0.2">
      <c r="A1223">
        <v>1621</v>
      </c>
      <c r="B1223">
        <v>93</v>
      </c>
      <c r="C1223" t="s">
        <v>695</v>
      </c>
      <c r="D1223">
        <v>36712</v>
      </c>
      <c r="E1223" t="s">
        <v>105</v>
      </c>
    </row>
    <row r="1224" spans="1:5" x14ac:dyDescent="0.2">
      <c r="A1224">
        <v>2783</v>
      </c>
      <c r="B1224">
        <v>12</v>
      </c>
      <c r="C1224" t="s">
        <v>1981</v>
      </c>
      <c r="D1224">
        <v>37257</v>
      </c>
      <c r="E1224" t="s">
        <v>105</v>
      </c>
    </row>
    <row r="1225" spans="1:5" x14ac:dyDescent="0.2">
      <c r="A1225">
        <v>3553</v>
      </c>
      <c r="B1225">
        <v>0</v>
      </c>
      <c r="C1225" t="s">
        <v>1982</v>
      </c>
      <c r="D1225">
        <v>36736</v>
      </c>
      <c r="E1225" t="s">
        <v>105</v>
      </c>
    </row>
    <row r="1226" spans="1:5" x14ac:dyDescent="0.2">
      <c r="A1226">
        <v>1347</v>
      </c>
      <c r="B1226">
        <v>141</v>
      </c>
      <c r="C1226" t="s">
        <v>1983</v>
      </c>
      <c r="D1226">
        <v>37298</v>
      </c>
      <c r="E1226" t="s">
        <v>120</v>
      </c>
    </row>
    <row r="1227" spans="1:5" x14ac:dyDescent="0.2">
      <c r="A1227">
        <v>3352</v>
      </c>
      <c r="B1227">
        <v>0</v>
      </c>
      <c r="C1227" t="s">
        <v>1984</v>
      </c>
      <c r="D1227">
        <v>37377</v>
      </c>
      <c r="E1227" t="s">
        <v>113</v>
      </c>
    </row>
    <row r="1228" spans="1:5" x14ac:dyDescent="0.2">
      <c r="A1228">
        <v>3646</v>
      </c>
      <c r="B1228">
        <v>0</v>
      </c>
      <c r="C1228" t="s">
        <v>1985</v>
      </c>
      <c r="D1228">
        <v>37909</v>
      </c>
      <c r="E1228" t="s">
        <v>1234</v>
      </c>
    </row>
    <row r="1229" spans="1:5" x14ac:dyDescent="0.2">
      <c r="A1229">
        <v>3560</v>
      </c>
      <c r="B1229">
        <v>0</v>
      </c>
      <c r="C1229" t="s">
        <v>1986</v>
      </c>
      <c r="D1229">
        <v>37150</v>
      </c>
      <c r="E1229" t="s">
        <v>1063</v>
      </c>
    </row>
    <row r="1230" spans="1:5" x14ac:dyDescent="0.2">
      <c r="A1230">
        <v>2574</v>
      </c>
      <c r="B1230">
        <v>21</v>
      </c>
      <c r="C1230" t="s">
        <v>309</v>
      </c>
      <c r="D1230">
        <v>36258</v>
      </c>
      <c r="E1230" t="s">
        <v>122</v>
      </c>
    </row>
    <row r="1231" spans="1:5" x14ac:dyDescent="0.2">
      <c r="A1231">
        <v>2591</v>
      </c>
      <c r="B1231">
        <v>20</v>
      </c>
      <c r="C1231" t="s">
        <v>310</v>
      </c>
      <c r="D1231">
        <v>36557</v>
      </c>
      <c r="E1231" t="s">
        <v>163</v>
      </c>
    </row>
    <row r="1232" spans="1:5" x14ac:dyDescent="0.2">
      <c r="A1232">
        <v>1189</v>
      </c>
      <c r="B1232">
        <v>170</v>
      </c>
      <c r="C1232" t="s">
        <v>1987</v>
      </c>
      <c r="D1232">
        <v>36343</v>
      </c>
      <c r="E1232" t="s">
        <v>1382</v>
      </c>
    </row>
    <row r="1233" spans="1:5" x14ac:dyDescent="0.2">
      <c r="A1233">
        <v>3428</v>
      </c>
      <c r="B1233">
        <v>0</v>
      </c>
      <c r="C1233" t="s">
        <v>1988</v>
      </c>
      <c r="D1233">
        <v>36540</v>
      </c>
      <c r="E1233" t="s">
        <v>365</v>
      </c>
    </row>
    <row r="1234" spans="1:5" x14ac:dyDescent="0.2">
      <c r="A1234">
        <v>3019</v>
      </c>
      <c r="B1234">
        <v>4</v>
      </c>
      <c r="C1234" t="s">
        <v>1989</v>
      </c>
      <c r="D1234">
        <v>36201</v>
      </c>
      <c r="E1234" t="s">
        <v>72</v>
      </c>
    </row>
    <row r="1235" spans="1:5" x14ac:dyDescent="0.2">
      <c r="A1235">
        <v>2602</v>
      </c>
      <c r="B1235">
        <v>20</v>
      </c>
      <c r="C1235" t="s">
        <v>1990</v>
      </c>
      <c r="D1235">
        <v>36700</v>
      </c>
      <c r="E1235" t="s">
        <v>140</v>
      </c>
    </row>
    <row r="1236" spans="1:5" x14ac:dyDescent="0.2">
      <c r="A1236">
        <v>3034</v>
      </c>
      <c r="B1236">
        <v>4</v>
      </c>
      <c r="C1236" t="s">
        <v>1991</v>
      </c>
      <c r="D1236">
        <v>36641</v>
      </c>
      <c r="E1236" t="s">
        <v>1992</v>
      </c>
    </row>
    <row r="1237" spans="1:5" x14ac:dyDescent="0.2">
      <c r="A1237">
        <v>2096</v>
      </c>
      <c r="B1237">
        <v>46</v>
      </c>
      <c r="C1237" t="s">
        <v>566</v>
      </c>
      <c r="D1237">
        <v>36428</v>
      </c>
      <c r="E1237" t="s">
        <v>141</v>
      </c>
    </row>
    <row r="1238" spans="1:5" x14ac:dyDescent="0.2">
      <c r="A1238">
        <v>2306</v>
      </c>
      <c r="B1238">
        <v>35</v>
      </c>
      <c r="C1238" t="s">
        <v>1993</v>
      </c>
      <c r="D1238">
        <v>37004</v>
      </c>
      <c r="E1238" t="s">
        <v>138</v>
      </c>
    </row>
    <row r="1239" spans="1:5" x14ac:dyDescent="0.2">
      <c r="A1239">
        <v>3591</v>
      </c>
      <c r="B1239">
        <v>0</v>
      </c>
      <c r="C1239" t="s">
        <v>567</v>
      </c>
      <c r="D1239">
        <v>37263</v>
      </c>
      <c r="E1239" t="s">
        <v>1143</v>
      </c>
    </row>
    <row r="1240" spans="1:5" x14ac:dyDescent="0.2">
      <c r="A1240">
        <v>3644</v>
      </c>
      <c r="B1240">
        <v>0</v>
      </c>
      <c r="C1240" t="s">
        <v>1994</v>
      </c>
      <c r="D1240">
        <v>37261</v>
      </c>
      <c r="E1240" t="s">
        <v>1218</v>
      </c>
    </row>
    <row r="1241" spans="1:5" x14ac:dyDescent="0.2">
      <c r="A1241">
        <v>3662</v>
      </c>
      <c r="B1241">
        <v>0</v>
      </c>
      <c r="C1241" t="s">
        <v>1995</v>
      </c>
      <c r="D1241">
        <v>37257</v>
      </c>
      <c r="E1241" t="s">
        <v>136</v>
      </c>
    </row>
    <row r="1242" spans="1:5" x14ac:dyDescent="0.2">
      <c r="A1242">
        <v>3258</v>
      </c>
      <c r="B1242">
        <v>0</v>
      </c>
      <c r="C1242" t="s">
        <v>568</v>
      </c>
      <c r="D1242">
        <v>36721</v>
      </c>
      <c r="E1242" t="s">
        <v>127</v>
      </c>
    </row>
    <row r="1243" spans="1:5" x14ac:dyDescent="0.2">
      <c r="A1243">
        <v>2920</v>
      </c>
      <c r="B1243">
        <v>7</v>
      </c>
      <c r="C1243" t="s">
        <v>1996</v>
      </c>
      <c r="D1243">
        <v>36956</v>
      </c>
      <c r="E1243" t="s">
        <v>120</v>
      </c>
    </row>
    <row r="1244" spans="1:5" x14ac:dyDescent="0.2">
      <c r="A1244">
        <v>3541</v>
      </c>
      <c r="B1244">
        <v>0</v>
      </c>
      <c r="C1244" t="s">
        <v>1997</v>
      </c>
      <c r="D1244">
        <v>36250</v>
      </c>
      <c r="E1244" t="s">
        <v>120</v>
      </c>
    </row>
    <row r="1245" spans="1:5" x14ac:dyDescent="0.2">
      <c r="A1245">
        <v>3672</v>
      </c>
      <c r="B1245">
        <v>0</v>
      </c>
      <c r="C1245" t="s">
        <v>1998</v>
      </c>
      <c r="D1245">
        <v>37661</v>
      </c>
      <c r="E1245" t="s">
        <v>105</v>
      </c>
    </row>
    <row r="1246" spans="1:5" x14ac:dyDescent="0.2">
      <c r="A1246">
        <v>2938</v>
      </c>
      <c r="B1246">
        <v>6</v>
      </c>
      <c r="C1246" t="s">
        <v>1999</v>
      </c>
      <c r="D1246">
        <v>36892</v>
      </c>
      <c r="E1246" t="s">
        <v>120</v>
      </c>
    </row>
    <row r="1247" spans="1:5" x14ac:dyDescent="0.2">
      <c r="A1247">
        <v>3056</v>
      </c>
      <c r="B1247">
        <v>4</v>
      </c>
      <c r="C1247" t="s">
        <v>2000</v>
      </c>
      <c r="D1247">
        <v>37200</v>
      </c>
      <c r="E1247" t="s">
        <v>72</v>
      </c>
    </row>
    <row r="1248" spans="1:5" x14ac:dyDescent="0.2">
      <c r="A1248">
        <v>3142</v>
      </c>
      <c r="B1248">
        <v>1</v>
      </c>
      <c r="C1248" t="s">
        <v>2001</v>
      </c>
      <c r="D1248">
        <v>36454</v>
      </c>
      <c r="E1248" t="s">
        <v>127</v>
      </c>
    </row>
    <row r="1249" spans="1:5" x14ac:dyDescent="0.2">
      <c r="A1249">
        <v>2532</v>
      </c>
      <c r="B1249">
        <v>24</v>
      </c>
      <c r="C1249" t="s">
        <v>822</v>
      </c>
      <c r="D1249">
        <v>36538</v>
      </c>
      <c r="E1249" t="s">
        <v>1111</v>
      </c>
    </row>
    <row r="1250" spans="1:5" x14ac:dyDescent="0.2">
      <c r="A1250">
        <v>2068</v>
      </c>
      <c r="B1250">
        <v>48</v>
      </c>
      <c r="C1250" t="s">
        <v>2002</v>
      </c>
      <c r="D1250">
        <v>37008</v>
      </c>
      <c r="E1250" t="s">
        <v>120</v>
      </c>
    </row>
    <row r="1251" spans="1:5" x14ac:dyDescent="0.2">
      <c r="A1251">
        <v>2898</v>
      </c>
      <c r="B1251">
        <v>8</v>
      </c>
      <c r="C1251" t="s">
        <v>2003</v>
      </c>
      <c r="D1251">
        <v>36998</v>
      </c>
      <c r="E1251" t="s">
        <v>127</v>
      </c>
    </row>
    <row r="1252" spans="1:5" x14ac:dyDescent="0.2">
      <c r="A1252">
        <v>2331</v>
      </c>
      <c r="B1252">
        <v>33</v>
      </c>
      <c r="C1252" t="s">
        <v>569</v>
      </c>
      <c r="D1252">
        <v>37046</v>
      </c>
      <c r="E1252" t="s">
        <v>106</v>
      </c>
    </row>
    <row r="1253" spans="1:5" x14ac:dyDescent="0.2">
      <c r="A1253">
        <v>2688</v>
      </c>
      <c r="B1253">
        <v>16</v>
      </c>
      <c r="C1253" t="s">
        <v>2004</v>
      </c>
      <c r="D1253">
        <v>37469</v>
      </c>
      <c r="E1253" t="s">
        <v>1143</v>
      </c>
    </row>
    <row r="1254" spans="1:5" x14ac:dyDescent="0.2">
      <c r="A1254">
        <v>2336</v>
      </c>
      <c r="B1254">
        <v>33</v>
      </c>
      <c r="C1254" t="s">
        <v>696</v>
      </c>
      <c r="D1254">
        <v>36795</v>
      </c>
      <c r="E1254" t="s">
        <v>222</v>
      </c>
    </row>
    <row r="1255" spans="1:5" x14ac:dyDescent="0.2">
      <c r="A1255">
        <v>2055</v>
      </c>
      <c r="B1255">
        <v>48</v>
      </c>
      <c r="C1255" t="s">
        <v>697</v>
      </c>
      <c r="D1255">
        <v>36877</v>
      </c>
      <c r="E1255" t="s">
        <v>126</v>
      </c>
    </row>
    <row r="1256" spans="1:5" x14ac:dyDescent="0.2">
      <c r="A1256">
        <v>2131</v>
      </c>
      <c r="B1256">
        <v>45</v>
      </c>
      <c r="C1256" t="s">
        <v>2005</v>
      </c>
      <c r="D1256">
        <v>36407</v>
      </c>
      <c r="E1256" t="s">
        <v>1182</v>
      </c>
    </row>
    <row r="1257" spans="1:5" x14ac:dyDescent="0.2">
      <c r="A1257">
        <v>3179</v>
      </c>
      <c r="B1257">
        <v>1</v>
      </c>
      <c r="C1257" t="s">
        <v>2006</v>
      </c>
      <c r="D1257">
        <v>36627</v>
      </c>
      <c r="E1257" t="s">
        <v>1222</v>
      </c>
    </row>
    <row r="1258" spans="1:5" x14ac:dyDescent="0.2">
      <c r="A1258">
        <v>2328</v>
      </c>
      <c r="B1258">
        <v>34</v>
      </c>
      <c r="C1258" t="s">
        <v>2007</v>
      </c>
      <c r="D1258">
        <v>37229</v>
      </c>
      <c r="E1258" t="s">
        <v>113</v>
      </c>
    </row>
    <row r="1259" spans="1:5" x14ac:dyDescent="0.2">
      <c r="A1259">
        <v>2581</v>
      </c>
      <c r="B1259">
        <v>21</v>
      </c>
      <c r="C1259" t="s">
        <v>823</v>
      </c>
      <c r="D1259">
        <v>36623</v>
      </c>
      <c r="E1259" t="s">
        <v>1063</v>
      </c>
    </row>
    <row r="1260" spans="1:5" x14ac:dyDescent="0.2">
      <c r="A1260">
        <v>2213</v>
      </c>
      <c r="B1260">
        <v>40</v>
      </c>
      <c r="C1260" t="s">
        <v>2008</v>
      </c>
      <c r="D1260">
        <v>36896</v>
      </c>
      <c r="E1260" t="s">
        <v>120</v>
      </c>
    </row>
    <row r="1261" spans="1:5" x14ac:dyDescent="0.2">
      <c r="A1261">
        <v>2383</v>
      </c>
      <c r="B1261">
        <v>31</v>
      </c>
      <c r="C1261" t="s">
        <v>698</v>
      </c>
      <c r="D1261">
        <v>36684</v>
      </c>
      <c r="E1261" t="s">
        <v>1184</v>
      </c>
    </row>
    <row r="1262" spans="1:5" x14ac:dyDescent="0.2">
      <c r="A1262">
        <v>2161</v>
      </c>
      <c r="B1262">
        <v>43</v>
      </c>
      <c r="C1262" t="s">
        <v>570</v>
      </c>
      <c r="D1262">
        <v>36370</v>
      </c>
      <c r="E1262" t="s">
        <v>1121</v>
      </c>
    </row>
    <row r="1263" spans="1:5" x14ac:dyDescent="0.2">
      <c r="A1263">
        <v>1836</v>
      </c>
      <c r="B1263">
        <v>68</v>
      </c>
      <c r="C1263" t="s">
        <v>571</v>
      </c>
      <c r="D1263">
        <v>36370</v>
      </c>
      <c r="E1263" t="s">
        <v>1121</v>
      </c>
    </row>
    <row r="1264" spans="1:5" x14ac:dyDescent="0.2">
      <c r="A1264">
        <v>1846</v>
      </c>
      <c r="B1264">
        <v>66</v>
      </c>
      <c r="C1264" t="s">
        <v>572</v>
      </c>
      <c r="D1264">
        <v>37041</v>
      </c>
      <c r="E1264" t="s">
        <v>99</v>
      </c>
    </row>
    <row r="1265" spans="1:5" x14ac:dyDescent="0.2">
      <c r="A1265">
        <v>2014</v>
      </c>
      <c r="B1265">
        <v>51</v>
      </c>
      <c r="C1265" t="s">
        <v>573</v>
      </c>
      <c r="D1265">
        <v>36609</v>
      </c>
      <c r="E1265" t="s">
        <v>72</v>
      </c>
    </row>
    <row r="1266" spans="1:5" x14ac:dyDescent="0.2">
      <c r="A1266">
        <v>1973</v>
      </c>
      <c r="B1266">
        <v>54</v>
      </c>
      <c r="C1266" t="s">
        <v>699</v>
      </c>
      <c r="D1266">
        <v>36586</v>
      </c>
      <c r="E1266" t="s">
        <v>105</v>
      </c>
    </row>
    <row r="1267" spans="1:5" x14ac:dyDescent="0.2">
      <c r="A1267">
        <v>2884</v>
      </c>
      <c r="B1267">
        <v>8</v>
      </c>
      <c r="C1267" t="s">
        <v>2009</v>
      </c>
      <c r="D1267">
        <v>37181</v>
      </c>
      <c r="E1267" t="s">
        <v>1367</v>
      </c>
    </row>
    <row r="1268" spans="1:5" x14ac:dyDescent="0.2">
      <c r="A1268">
        <v>3153</v>
      </c>
      <c r="B1268">
        <v>1</v>
      </c>
      <c r="C1268" t="s">
        <v>2010</v>
      </c>
      <c r="D1268">
        <v>36428</v>
      </c>
      <c r="E1268" t="s">
        <v>213</v>
      </c>
    </row>
    <row r="1269" spans="1:5" x14ac:dyDescent="0.2">
      <c r="A1269">
        <v>2360</v>
      </c>
      <c r="B1269">
        <v>32</v>
      </c>
      <c r="C1269" t="s">
        <v>311</v>
      </c>
      <c r="D1269">
        <v>36631</v>
      </c>
      <c r="E1269" t="s">
        <v>142</v>
      </c>
    </row>
    <row r="1270" spans="1:5" x14ac:dyDescent="0.2">
      <c r="A1270">
        <v>3349</v>
      </c>
      <c r="B1270">
        <v>0</v>
      </c>
      <c r="C1270" t="s">
        <v>2011</v>
      </c>
      <c r="D1270">
        <v>37820</v>
      </c>
      <c r="E1270" t="s">
        <v>120</v>
      </c>
    </row>
    <row r="1271" spans="1:5" x14ac:dyDescent="0.2">
      <c r="A1271">
        <v>2751</v>
      </c>
      <c r="B1271">
        <v>13</v>
      </c>
      <c r="C1271" t="s">
        <v>2012</v>
      </c>
      <c r="D1271">
        <v>36188</v>
      </c>
      <c r="E1271" t="s">
        <v>1153</v>
      </c>
    </row>
    <row r="1272" spans="1:5" x14ac:dyDescent="0.2">
      <c r="A1272">
        <v>1984</v>
      </c>
      <c r="B1272">
        <v>53</v>
      </c>
      <c r="C1272" t="s">
        <v>700</v>
      </c>
      <c r="D1272">
        <v>36526</v>
      </c>
      <c r="E1272" t="s">
        <v>120</v>
      </c>
    </row>
    <row r="1273" spans="1:5" x14ac:dyDescent="0.2">
      <c r="A1273">
        <v>1949</v>
      </c>
      <c r="B1273">
        <v>56</v>
      </c>
      <c r="C1273" t="s">
        <v>2013</v>
      </c>
      <c r="D1273">
        <v>37006</v>
      </c>
      <c r="E1273" t="s">
        <v>1334</v>
      </c>
    </row>
    <row r="1274" spans="1:5" x14ac:dyDescent="0.2">
      <c r="A1274">
        <v>1503</v>
      </c>
      <c r="B1274">
        <v>111</v>
      </c>
      <c r="C1274" t="s">
        <v>574</v>
      </c>
      <c r="D1274">
        <v>36654</v>
      </c>
      <c r="E1274" t="s">
        <v>105</v>
      </c>
    </row>
    <row r="1275" spans="1:5" x14ac:dyDescent="0.2">
      <c r="A1275">
        <v>2897</v>
      </c>
      <c r="B1275">
        <v>8</v>
      </c>
      <c r="C1275" t="s">
        <v>2014</v>
      </c>
      <c r="D1275">
        <v>36240</v>
      </c>
      <c r="E1275" t="s">
        <v>1186</v>
      </c>
    </row>
    <row r="1276" spans="1:5" x14ac:dyDescent="0.2">
      <c r="A1276">
        <v>3501</v>
      </c>
      <c r="B1276">
        <v>0</v>
      </c>
      <c r="C1276" t="s">
        <v>2015</v>
      </c>
      <c r="D1276">
        <v>37068</v>
      </c>
      <c r="E1276" t="s">
        <v>165</v>
      </c>
    </row>
    <row r="1277" spans="1:5" x14ac:dyDescent="0.2">
      <c r="A1277">
        <v>3465</v>
      </c>
      <c r="B1277">
        <v>0</v>
      </c>
      <c r="C1277" t="s">
        <v>2016</v>
      </c>
      <c r="D1277">
        <v>37257</v>
      </c>
      <c r="E1277" t="s">
        <v>73</v>
      </c>
    </row>
    <row r="1278" spans="1:5" x14ac:dyDescent="0.2">
      <c r="A1278">
        <v>2292</v>
      </c>
      <c r="B1278">
        <v>36</v>
      </c>
      <c r="C1278" t="s">
        <v>824</v>
      </c>
      <c r="D1278">
        <v>36898</v>
      </c>
      <c r="E1278" t="s">
        <v>160</v>
      </c>
    </row>
    <row r="1279" spans="1:5" x14ac:dyDescent="0.2">
      <c r="A1279">
        <v>2508</v>
      </c>
      <c r="B1279">
        <v>25</v>
      </c>
      <c r="C1279" t="s">
        <v>2017</v>
      </c>
      <c r="D1279">
        <v>36505</v>
      </c>
      <c r="E1279" t="s">
        <v>2018</v>
      </c>
    </row>
    <row r="1280" spans="1:5" x14ac:dyDescent="0.2">
      <c r="A1280">
        <v>2720</v>
      </c>
      <c r="B1280">
        <v>14</v>
      </c>
      <c r="C1280" t="s">
        <v>2019</v>
      </c>
      <c r="D1280">
        <v>36732</v>
      </c>
      <c r="E1280" t="s">
        <v>120</v>
      </c>
    </row>
    <row r="1281" spans="1:5" x14ac:dyDescent="0.2">
      <c r="A1281">
        <v>2714</v>
      </c>
      <c r="B1281">
        <v>14</v>
      </c>
      <c r="C1281" t="s">
        <v>2020</v>
      </c>
      <c r="D1281">
        <v>36874</v>
      </c>
      <c r="E1281" t="s">
        <v>1237</v>
      </c>
    </row>
    <row r="1282" spans="1:5" x14ac:dyDescent="0.2">
      <c r="A1282">
        <v>1941</v>
      </c>
      <c r="B1282">
        <v>56</v>
      </c>
      <c r="C1282" t="s">
        <v>312</v>
      </c>
      <c r="D1282">
        <v>36257</v>
      </c>
      <c r="E1282" t="s">
        <v>138</v>
      </c>
    </row>
    <row r="1283" spans="1:5" x14ac:dyDescent="0.2">
      <c r="A1283">
        <v>3095</v>
      </c>
      <c r="B1283">
        <v>2</v>
      </c>
      <c r="C1283" t="s">
        <v>313</v>
      </c>
      <c r="D1283">
        <v>36754</v>
      </c>
      <c r="E1283" t="s">
        <v>1143</v>
      </c>
    </row>
    <row r="1284" spans="1:5" x14ac:dyDescent="0.2">
      <c r="A1284">
        <v>1647</v>
      </c>
      <c r="B1284">
        <v>90</v>
      </c>
      <c r="C1284" t="s">
        <v>575</v>
      </c>
      <c r="D1284">
        <v>37143</v>
      </c>
      <c r="E1284" t="s">
        <v>99</v>
      </c>
    </row>
    <row r="1285" spans="1:5" x14ac:dyDescent="0.2">
      <c r="A1285">
        <v>2063</v>
      </c>
      <c r="B1285">
        <v>48</v>
      </c>
      <c r="C1285" t="s">
        <v>2021</v>
      </c>
      <c r="D1285">
        <v>36335</v>
      </c>
      <c r="E1285" t="s">
        <v>379</v>
      </c>
    </row>
    <row r="1286" spans="1:5" x14ac:dyDescent="0.2">
      <c r="A1286">
        <v>2264</v>
      </c>
      <c r="B1286">
        <v>37</v>
      </c>
      <c r="C1286" t="s">
        <v>576</v>
      </c>
      <c r="D1286">
        <v>37228</v>
      </c>
      <c r="E1286" t="s">
        <v>165</v>
      </c>
    </row>
    <row r="1287" spans="1:5" x14ac:dyDescent="0.2">
      <c r="A1287">
        <v>1762</v>
      </c>
      <c r="B1287">
        <v>75</v>
      </c>
      <c r="C1287" t="s">
        <v>2022</v>
      </c>
      <c r="D1287">
        <v>36788</v>
      </c>
      <c r="E1287" t="s">
        <v>1078</v>
      </c>
    </row>
    <row r="1288" spans="1:5" x14ac:dyDescent="0.2">
      <c r="A1288">
        <v>3518</v>
      </c>
      <c r="B1288">
        <v>0</v>
      </c>
      <c r="C1288" t="s">
        <v>2023</v>
      </c>
      <c r="D1288">
        <v>36948</v>
      </c>
      <c r="E1288" t="s">
        <v>1363</v>
      </c>
    </row>
    <row r="1289" spans="1:5" x14ac:dyDescent="0.2">
      <c r="A1289">
        <v>3388</v>
      </c>
      <c r="B1289">
        <v>0</v>
      </c>
      <c r="C1289" t="s">
        <v>2024</v>
      </c>
      <c r="D1289">
        <v>36899</v>
      </c>
      <c r="E1289" t="s">
        <v>133</v>
      </c>
    </row>
    <row r="1290" spans="1:5" x14ac:dyDescent="0.2">
      <c r="A1290">
        <v>660</v>
      </c>
      <c r="B1290">
        <v>363</v>
      </c>
      <c r="C1290" t="s">
        <v>404</v>
      </c>
      <c r="D1290">
        <v>36229</v>
      </c>
      <c r="E1290" t="s">
        <v>2025</v>
      </c>
    </row>
    <row r="1291" spans="1:5" x14ac:dyDescent="0.2">
      <c r="A1291">
        <v>2584</v>
      </c>
      <c r="B1291">
        <v>21</v>
      </c>
      <c r="C1291" t="s">
        <v>2026</v>
      </c>
      <c r="D1291">
        <v>36526</v>
      </c>
      <c r="E1291" t="s">
        <v>1600</v>
      </c>
    </row>
    <row r="1292" spans="1:5" x14ac:dyDescent="0.2">
      <c r="A1292">
        <v>1685</v>
      </c>
      <c r="B1292">
        <v>85</v>
      </c>
      <c r="C1292" t="s">
        <v>2027</v>
      </c>
      <c r="D1292">
        <v>36235</v>
      </c>
      <c r="E1292" t="s">
        <v>114</v>
      </c>
    </row>
    <row r="1293" spans="1:5" x14ac:dyDescent="0.2">
      <c r="A1293">
        <v>3260</v>
      </c>
      <c r="B1293">
        <v>0</v>
      </c>
      <c r="C1293" t="s">
        <v>2028</v>
      </c>
      <c r="D1293">
        <v>37155</v>
      </c>
      <c r="E1293" t="s">
        <v>120</v>
      </c>
    </row>
    <row r="1294" spans="1:5" x14ac:dyDescent="0.2">
      <c r="A1294">
        <v>2404</v>
      </c>
      <c r="B1294">
        <v>30</v>
      </c>
      <c r="C1294" t="s">
        <v>701</v>
      </c>
      <c r="D1294">
        <v>37302</v>
      </c>
      <c r="E1294" t="s">
        <v>1193</v>
      </c>
    </row>
    <row r="1295" spans="1:5" x14ac:dyDescent="0.2">
      <c r="A1295">
        <v>2996</v>
      </c>
      <c r="B1295">
        <v>5</v>
      </c>
      <c r="C1295" t="s">
        <v>2029</v>
      </c>
      <c r="D1295">
        <v>37265</v>
      </c>
      <c r="E1295" t="s">
        <v>120</v>
      </c>
    </row>
    <row r="1296" spans="1:5" x14ac:dyDescent="0.2">
      <c r="A1296">
        <v>2586</v>
      </c>
      <c r="B1296">
        <v>21</v>
      </c>
      <c r="C1296" t="s">
        <v>2030</v>
      </c>
      <c r="D1296">
        <v>36966</v>
      </c>
      <c r="E1296" t="s">
        <v>120</v>
      </c>
    </row>
    <row r="1297" spans="1:5" x14ac:dyDescent="0.2">
      <c r="A1297">
        <v>1233</v>
      </c>
      <c r="B1297">
        <v>160</v>
      </c>
      <c r="C1297" t="s">
        <v>405</v>
      </c>
      <c r="D1297">
        <v>36293</v>
      </c>
      <c r="E1297" t="s">
        <v>377</v>
      </c>
    </row>
    <row r="1298" spans="1:5" x14ac:dyDescent="0.2">
      <c r="A1298">
        <v>3681</v>
      </c>
      <c r="B1298">
        <v>0</v>
      </c>
      <c r="C1298" t="s">
        <v>2031</v>
      </c>
      <c r="D1298">
        <v>36402</v>
      </c>
      <c r="E1298" t="s">
        <v>139</v>
      </c>
    </row>
    <row r="1299" spans="1:5" x14ac:dyDescent="0.2">
      <c r="A1299">
        <v>3493</v>
      </c>
      <c r="B1299">
        <v>0</v>
      </c>
      <c r="C1299" t="s">
        <v>2032</v>
      </c>
      <c r="D1299">
        <v>37205</v>
      </c>
      <c r="E1299" t="s">
        <v>1163</v>
      </c>
    </row>
    <row r="1300" spans="1:5" x14ac:dyDescent="0.2">
      <c r="A1300">
        <v>2948</v>
      </c>
      <c r="B1300">
        <v>6</v>
      </c>
      <c r="C1300" t="s">
        <v>2033</v>
      </c>
      <c r="D1300">
        <v>36892</v>
      </c>
      <c r="E1300" t="s">
        <v>120</v>
      </c>
    </row>
    <row r="1301" spans="1:5" x14ac:dyDescent="0.2">
      <c r="A1301">
        <v>1895</v>
      </c>
      <c r="B1301">
        <v>61</v>
      </c>
      <c r="C1301" t="s">
        <v>825</v>
      </c>
      <c r="D1301">
        <v>36701</v>
      </c>
      <c r="E1301" t="s">
        <v>109</v>
      </c>
    </row>
    <row r="1302" spans="1:5" x14ac:dyDescent="0.2">
      <c r="A1302">
        <v>2091</v>
      </c>
      <c r="B1302">
        <v>46</v>
      </c>
      <c r="C1302" t="s">
        <v>406</v>
      </c>
      <c r="D1302">
        <v>37255</v>
      </c>
      <c r="E1302" t="s">
        <v>106</v>
      </c>
    </row>
    <row r="1303" spans="1:5" x14ac:dyDescent="0.2">
      <c r="A1303">
        <v>3320</v>
      </c>
      <c r="B1303">
        <v>0</v>
      </c>
      <c r="C1303" t="s">
        <v>2034</v>
      </c>
      <c r="D1303">
        <v>37388</v>
      </c>
      <c r="E1303" t="s">
        <v>120</v>
      </c>
    </row>
    <row r="1304" spans="1:5" x14ac:dyDescent="0.2">
      <c r="A1304">
        <v>2981</v>
      </c>
      <c r="B1304">
        <v>5</v>
      </c>
      <c r="C1304" t="s">
        <v>2035</v>
      </c>
      <c r="D1304">
        <v>37202</v>
      </c>
      <c r="E1304" t="s">
        <v>127</v>
      </c>
    </row>
    <row r="1305" spans="1:5" x14ac:dyDescent="0.2">
      <c r="A1305">
        <v>3637</v>
      </c>
      <c r="B1305">
        <v>0</v>
      </c>
      <c r="C1305" t="s">
        <v>2036</v>
      </c>
      <c r="D1305">
        <v>36210</v>
      </c>
      <c r="E1305" t="s">
        <v>1763</v>
      </c>
    </row>
    <row r="1306" spans="1:5" x14ac:dyDescent="0.2">
      <c r="A1306">
        <v>2767</v>
      </c>
      <c r="B1306">
        <v>12</v>
      </c>
      <c r="C1306" t="s">
        <v>2037</v>
      </c>
      <c r="D1306">
        <v>37213</v>
      </c>
      <c r="E1306" t="s">
        <v>208</v>
      </c>
    </row>
    <row r="1307" spans="1:5" x14ac:dyDescent="0.2">
      <c r="A1307">
        <v>2141</v>
      </c>
      <c r="B1307">
        <v>44</v>
      </c>
      <c r="C1307" t="s">
        <v>577</v>
      </c>
      <c r="D1307">
        <v>36846</v>
      </c>
      <c r="E1307" t="s">
        <v>74</v>
      </c>
    </row>
    <row r="1308" spans="1:5" x14ac:dyDescent="0.2">
      <c r="A1308">
        <v>1465</v>
      </c>
      <c r="B1308">
        <v>118</v>
      </c>
      <c r="C1308" t="s">
        <v>2038</v>
      </c>
      <c r="D1308">
        <v>36254</v>
      </c>
      <c r="E1308" t="s">
        <v>1433</v>
      </c>
    </row>
    <row r="1309" spans="1:5" x14ac:dyDescent="0.2">
      <c r="A1309">
        <v>2081</v>
      </c>
      <c r="B1309">
        <v>47</v>
      </c>
      <c r="C1309" t="s">
        <v>2039</v>
      </c>
      <c r="D1309">
        <v>37672</v>
      </c>
      <c r="E1309" t="s">
        <v>1078</v>
      </c>
    </row>
    <row r="1310" spans="1:5" x14ac:dyDescent="0.2">
      <c r="A1310">
        <v>1915</v>
      </c>
      <c r="B1310">
        <v>59</v>
      </c>
      <c r="C1310" t="s">
        <v>2040</v>
      </c>
      <c r="D1310">
        <v>36175</v>
      </c>
      <c r="E1310" t="s">
        <v>132</v>
      </c>
    </row>
    <row r="1311" spans="1:5" x14ac:dyDescent="0.2">
      <c r="A1311">
        <v>3439</v>
      </c>
      <c r="B1311">
        <v>0</v>
      </c>
      <c r="C1311" t="s">
        <v>2041</v>
      </c>
      <c r="D1311">
        <v>37249</v>
      </c>
      <c r="E1311" t="s">
        <v>105</v>
      </c>
    </row>
    <row r="1312" spans="1:5" x14ac:dyDescent="0.2">
      <c r="A1312">
        <v>2312</v>
      </c>
      <c r="B1312">
        <v>35</v>
      </c>
      <c r="C1312" t="s">
        <v>2042</v>
      </c>
      <c r="D1312">
        <v>37060</v>
      </c>
      <c r="E1312" t="s">
        <v>1279</v>
      </c>
    </row>
    <row r="1313" spans="1:5" x14ac:dyDescent="0.2">
      <c r="A1313">
        <v>3192</v>
      </c>
      <c r="B1313">
        <v>0</v>
      </c>
      <c r="C1313" t="s">
        <v>314</v>
      </c>
      <c r="D1313">
        <v>37101</v>
      </c>
      <c r="E1313" t="s">
        <v>105</v>
      </c>
    </row>
    <row r="1314" spans="1:5" x14ac:dyDescent="0.2">
      <c r="A1314">
        <v>1651</v>
      </c>
      <c r="B1314">
        <v>90</v>
      </c>
      <c r="C1314" t="s">
        <v>2043</v>
      </c>
      <c r="D1314">
        <v>36255</v>
      </c>
      <c r="E1314" t="s">
        <v>105</v>
      </c>
    </row>
    <row r="1315" spans="1:5" x14ac:dyDescent="0.2">
      <c r="A1315">
        <v>3156</v>
      </c>
      <c r="B1315">
        <v>1</v>
      </c>
      <c r="C1315" t="s">
        <v>2044</v>
      </c>
      <c r="D1315">
        <v>37806</v>
      </c>
      <c r="E1315" t="s">
        <v>105</v>
      </c>
    </row>
    <row r="1316" spans="1:5" x14ac:dyDescent="0.2">
      <c r="A1316">
        <v>1938</v>
      </c>
      <c r="B1316">
        <v>57</v>
      </c>
      <c r="C1316" t="s">
        <v>702</v>
      </c>
      <c r="D1316">
        <v>37002</v>
      </c>
      <c r="E1316" t="s">
        <v>104</v>
      </c>
    </row>
    <row r="1317" spans="1:5" x14ac:dyDescent="0.2">
      <c r="A1317">
        <v>1412</v>
      </c>
      <c r="B1317">
        <v>130</v>
      </c>
      <c r="C1317" t="s">
        <v>2045</v>
      </c>
      <c r="D1317">
        <v>37008</v>
      </c>
      <c r="E1317" t="s">
        <v>1334</v>
      </c>
    </row>
    <row r="1318" spans="1:5" x14ac:dyDescent="0.2">
      <c r="A1318">
        <v>2006</v>
      </c>
      <c r="B1318">
        <v>52</v>
      </c>
      <c r="C1318" t="s">
        <v>2046</v>
      </c>
      <c r="D1318">
        <v>37099</v>
      </c>
      <c r="E1318" t="s">
        <v>139</v>
      </c>
    </row>
    <row r="1319" spans="1:5" x14ac:dyDescent="0.2">
      <c r="A1319">
        <v>3680</v>
      </c>
      <c r="B1319">
        <v>0</v>
      </c>
      <c r="C1319" t="s">
        <v>2047</v>
      </c>
      <c r="D1319">
        <v>36601</v>
      </c>
      <c r="E1319" t="s">
        <v>1612</v>
      </c>
    </row>
    <row r="1320" spans="1:5" x14ac:dyDescent="0.2">
      <c r="A1320">
        <v>2167</v>
      </c>
      <c r="B1320">
        <v>43</v>
      </c>
      <c r="C1320" t="s">
        <v>2048</v>
      </c>
      <c r="D1320">
        <v>36698</v>
      </c>
      <c r="E1320" t="s">
        <v>105</v>
      </c>
    </row>
    <row r="1321" spans="1:5" x14ac:dyDescent="0.2">
      <c r="A1321">
        <v>3385</v>
      </c>
      <c r="B1321">
        <v>0</v>
      </c>
      <c r="C1321" t="s">
        <v>2049</v>
      </c>
      <c r="D1321">
        <v>36892</v>
      </c>
      <c r="E1321" t="s">
        <v>2050</v>
      </c>
    </row>
    <row r="1322" spans="1:5" x14ac:dyDescent="0.2">
      <c r="A1322">
        <v>2447</v>
      </c>
      <c r="B1322">
        <v>28</v>
      </c>
      <c r="C1322" t="s">
        <v>2051</v>
      </c>
      <c r="D1322">
        <v>36347</v>
      </c>
      <c r="E1322" t="s">
        <v>1494</v>
      </c>
    </row>
    <row r="1323" spans="1:5" x14ac:dyDescent="0.2">
      <c r="A1323">
        <v>3447</v>
      </c>
      <c r="B1323">
        <v>0</v>
      </c>
      <c r="C1323" t="s">
        <v>2052</v>
      </c>
      <c r="D1323">
        <v>36519</v>
      </c>
      <c r="E1323" t="s">
        <v>120</v>
      </c>
    </row>
    <row r="1324" spans="1:5" x14ac:dyDescent="0.2">
      <c r="A1324">
        <v>2351</v>
      </c>
      <c r="B1324">
        <v>33</v>
      </c>
      <c r="C1324" t="s">
        <v>2053</v>
      </c>
      <c r="D1324">
        <v>36174</v>
      </c>
      <c r="E1324" t="s">
        <v>118</v>
      </c>
    </row>
    <row r="1325" spans="1:5" x14ac:dyDescent="0.2">
      <c r="A1325">
        <v>1331</v>
      </c>
      <c r="B1325">
        <v>143</v>
      </c>
      <c r="C1325" t="s">
        <v>315</v>
      </c>
      <c r="D1325">
        <v>36546</v>
      </c>
      <c r="E1325" t="s">
        <v>1143</v>
      </c>
    </row>
    <row r="1326" spans="1:5" x14ac:dyDescent="0.2">
      <c r="A1326">
        <v>1785</v>
      </c>
      <c r="B1326">
        <v>73</v>
      </c>
      <c r="C1326" t="s">
        <v>703</v>
      </c>
      <c r="D1326">
        <v>36979</v>
      </c>
      <c r="E1326" t="s">
        <v>180</v>
      </c>
    </row>
    <row r="1327" spans="1:5" x14ac:dyDescent="0.2">
      <c r="A1327">
        <v>2771</v>
      </c>
      <c r="B1327">
        <v>12</v>
      </c>
      <c r="C1327" t="s">
        <v>2054</v>
      </c>
      <c r="D1327">
        <v>36709</v>
      </c>
      <c r="E1327" t="s">
        <v>118</v>
      </c>
    </row>
    <row r="1328" spans="1:5" x14ac:dyDescent="0.2">
      <c r="A1328">
        <v>1593</v>
      </c>
      <c r="B1328">
        <v>97</v>
      </c>
      <c r="C1328" t="s">
        <v>578</v>
      </c>
      <c r="D1328">
        <v>36775</v>
      </c>
      <c r="E1328" t="s">
        <v>128</v>
      </c>
    </row>
    <row r="1329" spans="1:5" x14ac:dyDescent="0.2">
      <c r="A1329">
        <v>1135</v>
      </c>
      <c r="B1329">
        <v>183</v>
      </c>
      <c r="C1329" t="s">
        <v>826</v>
      </c>
      <c r="D1329">
        <v>36342</v>
      </c>
      <c r="E1329" t="s">
        <v>120</v>
      </c>
    </row>
    <row r="1330" spans="1:5" x14ac:dyDescent="0.2">
      <c r="A1330">
        <v>931</v>
      </c>
      <c r="B1330">
        <v>241</v>
      </c>
      <c r="C1330" t="s">
        <v>316</v>
      </c>
      <c r="D1330">
        <v>36226</v>
      </c>
      <c r="E1330" t="s">
        <v>74</v>
      </c>
    </row>
    <row r="1331" spans="1:5" x14ac:dyDescent="0.2">
      <c r="A1331">
        <v>3454</v>
      </c>
      <c r="B1331">
        <v>0</v>
      </c>
      <c r="C1331" t="s">
        <v>2055</v>
      </c>
      <c r="D1331">
        <v>37081</v>
      </c>
      <c r="E1331" t="s">
        <v>74</v>
      </c>
    </row>
    <row r="1332" spans="1:5" x14ac:dyDescent="0.2">
      <c r="A1332">
        <v>1671</v>
      </c>
      <c r="B1332">
        <v>87</v>
      </c>
      <c r="C1332" t="s">
        <v>2056</v>
      </c>
      <c r="D1332">
        <v>36696</v>
      </c>
      <c r="E1332" t="s">
        <v>105</v>
      </c>
    </row>
    <row r="1333" spans="1:5" x14ac:dyDescent="0.2">
      <c r="A1333">
        <v>3085</v>
      </c>
      <c r="B1333">
        <v>3</v>
      </c>
      <c r="C1333" t="s">
        <v>2056</v>
      </c>
      <c r="D1333">
        <v>36327</v>
      </c>
      <c r="E1333" t="s">
        <v>213</v>
      </c>
    </row>
    <row r="1334" spans="1:5" x14ac:dyDescent="0.2">
      <c r="A1334">
        <v>3003</v>
      </c>
      <c r="B1334">
        <v>4</v>
      </c>
      <c r="C1334" t="s">
        <v>2057</v>
      </c>
      <c r="D1334">
        <v>37461</v>
      </c>
      <c r="E1334" t="s">
        <v>186</v>
      </c>
    </row>
    <row r="1335" spans="1:5" x14ac:dyDescent="0.2">
      <c r="A1335">
        <v>3381</v>
      </c>
      <c r="B1335">
        <v>0</v>
      </c>
      <c r="C1335" t="s">
        <v>2058</v>
      </c>
      <c r="D1335">
        <v>37198</v>
      </c>
      <c r="E1335" t="s">
        <v>133</v>
      </c>
    </row>
    <row r="1336" spans="1:5" x14ac:dyDescent="0.2">
      <c r="A1336">
        <v>1999</v>
      </c>
      <c r="B1336">
        <v>52</v>
      </c>
      <c r="C1336" t="s">
        <v>704</v>
      </c>
      <c r="D1336">
        <v>37052</v>
      </c>
      <c r="E1336" t="s">
        <v>105</v>
      </c>
    </row>
    <row r="1337" spans="1:5" x14ac:dyDescent="0.2">
      <c r="A1337">
        <v>2189</v>
      </c>
      <c r="B1337">
        <v>42</v>
      </c>
      <c r="C1337" t="s">
        <v>827</v>
      </c>
      <c r="D1337">
        <v>37564</v>
      </c>
      <c r="E1337" t="s">
        <v>105</v>
      </c>
    </row>
    <row r="1338" spans="1:5" x14ac:dyDescent="0.2">
      <c r="A1338">
        <v>2195</v>
      </c>
      <c r="B1338">
        <v>41</v>
      </c>
      <c r="C1338" t="s">
        <v>407</v>
      </c>
      <c r="D1338">
        <v>36545</v>
      </c>
      <c r="E1338" t="s">
        <v>106</v>
      </c>
    </row>
    <row r="1339" spans="1:5" x14ac:dyDescent="0.2">
      <c r="A1339">
        <v>3279</v>
      </c>
      <c r="B1339">
        <v>0</v>
      </c>
      <c r="C1339" t="s">
        <v>2059</v>
      </c>
      <c r="D1339">
        <v>37037</v>
      </c>
      <c r="E1339" t="s">
        <v>186</v>
      </c>
    </row>
    <row r="1340" spans="1:5" x14ac:dyDescent="0.2">
      <c r="A1340">
        <v>2658</v>
      </c>
      <c r="B1340">
        <v>17</v>
      </c>
      <c r="C1340" t="s">
        <v>2060</v>
      </c>
      <c r="D1340">
        <v>37257</v>
      </c>
      <c r="E1340" t="s">
        <v>165</v>
      </c>
    </row>
    <row r="1341" spans="1:5" x14ac:dyDescent="0.2">
      <c r="A1341">
        <v>2828</v>
      </c>
      <c r="B1341">
        <v>10</v>
      </c>
      <c r="C1341" t="s">
        <v>579</v>
      </c>
      <c r="D1341">
        <v>36807</v>
      </c>
      <c r="E1341" t="s">
        <v>127</v>
      </c>
    </row>
    <row r="1342" spans="1:5" x14ac:dyDescent="0.2">
      <c r="A1342">
        <v>2756</v>
      </c>
      <c r="B1342">
        <v>13</v>
      </c>
      <c r="C1342" t="s">
        <v>2061</v>
      </c>
      <c r="D1342">
        <v>37078</v>
      </c>
      <c r="E1342" t="s">
        <v>117</v>
      </c>
    </row>
    <row r="1343" spans="1:5" x14ac:dyDescent="0.2">
      <c r="A1343">
        <v>2825</v>
      </c>
      <c r="B1343">
        <v>10</v>
      </c>
      <c r="C1343" t="s">
        <v>2062</v>
      </c>
      <c r="D1343">
        <v>37521</v>
      </c>
      <c r="E1343" t="s">
        <v>105</v>
      </c>
    </row>
    <row r="1344" spans="1:5" x14ac:dyDescent="0.2">
      <c r="A1344">
        <v>3499</v>
      </c>
      <c r="B1344">
        <v>0</v>
      </c>
      <c r="C1344" t="s">
        <v>2063</v>
      </c>
      <c r="D1344">
        <v>36265</v>
      </c>
      <c r="E1344" t="s">
        <v>1566</v>
      </c>
    </row>
    <row r="1345" spans="1:5" x14ac:dyDescent="0.2">
      <c r="A1345">
        <v>3664</v>
      </c>
      <c r="B1345">
        <v>0</v>
      </c>
      <c r="C1345" t="s">
        <v>2064</v>
      </c>
      <c r="D1345">
        <v>37412</v>
      </c>
      <c r="E1345" t="s">
        <v>105</v>
      </c>
    </row>
    <row r="1346" spans="1:5" x14ac:dyDescent="0.2">
      <c r="A1346">
        <v>3045</v>
      </c>
      <c r="B1346">
        <v>4</v>
      </c>
      <c r="C1346" t="s">
        <v>2065</v>
      </c>
      <c r="D1346">
        <v>37052</v>
      </c>
      <c r="E1346" t="s">
        <v>74</v>
      </c>
    </row>
    <row r="1347" spans="1:5" x14ac:dyDescent="0.2">
      <c r="A1347">
        <v>2170</v>
      </c>
      <c r="B1347">
        <v>43</v>
      </c>
      <c r="C1347" t="s">
        <v>2066</v>
      </c>
      <c r="D1347">
        <v>36871</v>
      </c>
      <c r="E1347" t="s">
        <v>105</v>
      </c>
    </row>
    <row r="1348" spans="1:5" x14ac:dyDescent="0.2">
      <c r="A1348">
        <v>1624</v>
      </c>
      <c r="B1348">
        <v>93</v>
      </c>
      <c r="C1348" t="s">
        <v>705</v>
      </c>
      <c r="D1348">
        <v>36352</v>
      </c>
      <c r="E1348" t="s">
        <v>74</v>
      </c>
    </row>
    <row r="1349" spans="1:5" x14ac:dyDescent="0.2">
      <c r="A1349">
        <v>1944</v>
      </c>
      <c r="B1349">
        <v>56</v>
      </c>
      <c r="C1349" t="s">
        <v>828</v>
      </c>
      <c r="D1349">
        <v>36662</v>
      </c>
      <c r="E1349" t="s">
        <v>208</v>
      </c>
    </row>
    <row r="1350" spans="1:5" x14ac:dyDescent="0.2">
      <c r="A1350">
        <v>3139</v>
      </c>
      <c r="B1350">
        <v>1</v>
      </c>
      <c r="C1350" t="s">
        <v>2067</v>
      </c>
      <c r="D1350">
        <v>37707</v>
      </c>
      <c r="E1350" t="s">
        <v>105</v>
      </c>
    </row>
    <row r="1351" spans="1:5" x14ac:dyDescent="0.2">
      <c r="A1351">
        <v>2394</v>
      </c>
      <c r="B1351">
        <v>30</v>
      </c>
      <c r="C1351" t="s">
        <v>706</v>
      </c>
      <c r="D1351">
        <v>36678</v>
      </c>
      <c r="E1351" t="s">
        <v>1234</v>
      </c>
    </row>
    <row r="1352" spans="1:5" x14ac:dyDescent="0.2">
      <c r="A1352">
        <v>2486</v>
      </c>
      <c r="B1352">
        <v>26</v>
      </c>
      <c r="C1352" t="s">
        <v>2068</v>
      </c>
      <c r="D1352">
        <v>36806</v>
      </c>
      <c r="E1352" t="s">
        <v>1121</v>
      </c>
    </row>
    <row r="1353" spans="1:5" x14ac:dyDescent="0.2">
      <c r="A1353">
        <v>3382</v>
      </c>
      <c r="B1353">
        <v>0</v>
      </c>
      <c r="C1353" t="s">
        <v>2069</v>
      </c>
      <c r="D1353">
        <v>36877</v>
      </c>
      <c r="E1353" t="s">
        <v>1961</v>
      </c>
    </row>
    <row r="1354" spans="1:5" x14ac:dyDescent="0.2">
      <c r="A1354">
        <v>3028</v>
      </c>
      <c r="B1354">
        <v>4</v>
      </c>
      <c r="C1354" t="s">
        <v>2070</v>
      </c>
      <c r="D1354">
        <v>37769</v>
      </c>
      <c r="E1354" t="s">
        <v>105</v>
      </c>
    </row>
    <row r="1355" spans="1:5" x14ac:dyDescent="0.2">
      <c r="A1355">
        <v>2515</v>
      </c>
      <c r="B1355">
        <v>24</v>
      </c>
      <c r="C1355" t="s">
        <v>580</v>
      </c>
      <c r="D1355">
        <v>36546</v>
      </c>
      <c r="E1355" t="s">
        <v>105</v>
      </c>
    </row>
    <row r="1356" spans="1:5" x14ac:dyDescent="0.2">
      <c r="A1356">
        <v>3082</v>
      </c>
      <c r="B1356">
        <v>3</v>
      </c>
      <c r="C1356" t="s">
        <v>2071</v>
      </c>
      <c r="D1356">
        <v>36900</v>
      </c>
      <c r="E1356" t="s">
        <v>117</v>
      </c>
    </row>
    <row r="1357" spans="1:5" x14ac:dyDescent="0.2">
      <c r="A1357">
        <v>2963</v>
      </c>
      <c r="B1357">
        <v>5</v>
      </c>
      <c r="C1357" t="s">
        <v>317</v>
      </c>
      <c r="D1357">
        <v>36588</v>
      </c>
      <c r="E1357" t="s">
        <v>99</v>
      </c>
    </row>
    <row r="1358" spans="1:5" x14ac:dyDescent="0.2">
      <c r="A1358">
        <v>2676</v>
      </c>
      <c r="B1358">
        <v>16</v>
      </c>
      <c r="C1358" t="s">
        <v>2072</v>
      </c>
      <c r="D1358">
        <v>37471</v>
      </c>
      <c r="E1358" t="s">
        <v>1150</v>
      </c>
    </row>
    <row r="1359" spans="1:5" x14ac:dyDescent="0.2">
      <c r="A1359">
        <v>2910</v>
      </c>
      <c r="B1359">
        <v>7</v>
      </c>
      <c r="C1359" t="s">
        <v>2073</v>
      </c>
      <c r="D1359">
        <v>37358</v>
      </c>
      <c r="E1359" t="s">
        <v>1286</v>
      </c>
    </row>
    <row r="1360" spans="1:5" x14ac:dyDescent="0.2">
      <c r="A1360">
        <v>3140</v>
      </c>
      <c r="B1360">
        <v>1</v>
      </c>
      <c r="C1360" t="s">
        <v>2074</v>
      </c>
      <c r="D1360">
        <v>36895</v>
      </c>
      <c r="E1360" t="s">
        <v>105</v>
      </c>
    </row>
    <row r="1361" spans="1:5" x14ac:dyDescent="0.2">
      <c r="A1361">
        <v>1251</v>
      </c>
      <c r="B1361">
        <v>158</v>
      </c>
      <c r="C1361" t="s">
        <v>581</v>
      </c>
      <c r="D1361">
        <v>36693</v>
      </c>
      <c r="E1361" t="s">
        <v>103</v>
      </c>
    </row>
    <row r="1362" spans="1:5" x14ac:dyDescent="0.2">
      <c r="A1362">
        <v>2541</v>
      </c>
      <c r="B1362">
        <v>24</v>
      </c>
      <c r="C1362" t="s">
        <v>2075</v>
      </c>
      <c r="D1362">
        <v>36526</v>
      </c>
      <c r="E1362" t="s">
        <v>104</v>
      </c>
    </row>
    <row r="1363" spans="1:5" x14ac:dyDescent="0.2">
      <c r="A1363">
        <v>2869</v>
      </c>
      <c r="B1363">
        <v>9</v>
      </c>
      <c r="C1363" t="s">
        <v>2076</v>
      </c>
      <c r="D1363">
        <v>36641</v>
      </c>
      <c r="E1363" t="s">
        <v>1083</v>
      </c>
    </row>
    <row r="1364" spans="1:5" x14ac:dyDescent="0.2">
      <c r="A1364">
        <v>2702</v>
      </c>
      <c r="B1364">
        <v>15</v>
      </c>
      <c r="C1364" t="s">
        <v>582</v>
      </c>
      <c r="D1364">
        <v>36735</v>
      </c>
      <c r="E1364" t="s">
        <v>74</v>
      </c>
    </row>
    <row r="1365" spans="1:5" x14ac:dyDescent="0.2">
      <c r="A1365">
        <v>2095</v>
      </c>
      <c r="B1365">
        <v>46</v>
      </c>
      <c r="C1365" t="s">
        <v>408</v>
      </c>
      <c r="D1365">
        <v>37132</v>
      </c>
      <c r="E1365" t="s">
        <v>1367</v>
      </c>
    </row>
    <row r="1366" spans="1:5" x14ac:dyDescent="0.2">
      <c r="A1366">
        <v>2479</v>
      </c>
      <c r="B1366">
        <v>26</v>
      </c>
      <c r="C1366" t="s">
        <v>707</v>
      </c>
      <c r="D1366">
        <v>36762</v>
      </c>
      <c r="E1366" t="s">
        <v>74</v>
      </c>
    </row>
    <row r="1367" spans="1:5" x14ac:dyDescent="0.2">
      <c r="A1367">
        <v>2053</v>
      </c>
      <c r="B1367">
        <v>49</v>
      </c>
      <c r="C1367" t="s">
        <v>2077</v>
      </c>
      <c r="D1367">
        <v>36739</v>
      </c>
      <c r="E1367" t="s">
        <v>83</v>
      </c>
    </row>
    <row r="1368" spans="1:5" x14ac:dyDescent="0.2">
      <c r="A1368">
        <v>2284</v>
      </c>
      <c r="B1368">
        <v>36</v>
      </c>
      <c r="C1368" t="s">
        <v>318</v>
      </c>
      <c r="D1368">
        <v>36697</v>
      </c>
      <c r="E1368" t="s">
        <v>110</v>
      </c>
    </row>
    <row r="1369" spans="1:5" x14ac:dyDescent="0.2">
      <c r="A1369">
        <v>2650</v>
      </c>
      <c r="B1369">
        <v>18</v>
      </c>
      <c r="C1369" t="s">
        <v>2078</v>
      </c>
      <c r="D1369">
        <v>36763</v>
      </c>
      <c r="E1369" t="s">
        <v>111</v>
      </c>
    </row>
    <row r="1370" spans="1:5" x14ac:dyDescent="0.2">
      <c r="A1370">
        <v>2023</v>
      </c>
      <c r="B1370">
        <v>50</v>
      </c>
      <c r="C1370" t="s">
        <v>319</v>
      </c>
      <c r="D1370">
        <v>37085</v>
      </c>
      <c r="E1370" t="s">
        <v>105</v>
      </c>
    </row>
    <row r="1371" spans="1:5" x14ac:dyDescent="0.2">
      <c r="A1371">
        <v>1743</v>
      </c>
      <c r="B1371">
        <v>77</v>
      </c>
      <c r="C1371" t="s">
        <v>583</v>
      </c>
      <c r="D1371">
        <v>37504</v>
      </c>
      <c r="E1371" t="s">
        <v>99</v>
      </c>
    </row>
    <row r="1372" spans="1:5" x14ac:dyDescent="0.2">
      <c r="A1372">
        <v>3031</v>
      </c>
      <c r="B1372">
        <v>4</v>
      </c>
      <c r="C1372" t="s">
        <v>2079</v>
      </c>
      <c r="D1372">
        <v>37238</v>
      </c>
      <c r="E1372" t="s">
        <v>105</v>
      </c>
    </row>
    <row r="1373" spans="1:5" x14ac:dyDescent="0.2">
      <c r="A1373">
        <v>2868</v>
      </c>
      <c r="B1373">
        <v>9</v>
      </c>
      <c r="C1373" t="s">
        <v>2080</v>
      </c>
      <c r="D1373">
        <v>36740</v>
      </c>
      <c r="E1373" t="s">
        <v>1506</v>
      </c>
    </row>
    <row r="1374" spans="1:5" x14ac:dyDescent="0.2">
      <c r="A1374">
        <v>1674</v>
      </c>
      <c r="B1374">
        <v>86</v>
      </c>
      <c r="C1374" t="s">
        <v>2081</v>
      </c>
      <c r="D1374">
        <v>36181</v>
      </c>
      <c r="E1374" t="s">
        <v>220</v>
      </c>
    </row>
    <row r="1375" spans="1:5" x14ac:dyDescent="0.2">
      <c r="A1375">
        <v>2633</v>
      </c>
      <c r="B1375">
        <v>19</v>
      </c>
      <c r="C1375" t="s">
        <v>2082</v>
      </c>
      <c r="D1375">
        <v>36336</v>
      </c>
      <c r="E1375" t="s">
        <v>120</v>
      </c>
    </row>
    <row r="1376" spans="1:5" x14ac:dyDescent="0.2">
      <c r="A1376">
        <v>1796</v>
      </c>
      <c r="B1376">
        <v>72</v>
      </c>
      <c r="C1376" t="s">
        <v>708</v>
      </c>
      <c r="D1376">
        <v>36528</v>
      </c>
      <c r="E1376" t="s">
        <v>105</v>
      </c>
    </row>
    <row r="1377" spans="1:5" x14ac:dyDescent="0.2">
      <c r="A1377">
        <v>2795</v>
      </c>
      <c r="B1377">
        <v>11</v>
      </c>
      <c r="C1377" t="s">
        <v>2083</v>
      </c>
      <c r="D1377">
        <v>36293</v>
      </c>
      <c r="E1377" t="s">
        <v>147</v>
      </c>
    </row>
    <row r="1378" spans="1:5" x14ac:dyDescent="0.2">
      <c r="A1378">
        <v>1492</v>
      </c>
      <c r="B1378">
        <v>114</v>
      </c>
      <c r="C1378" t="s">
        <v>2084</v>
      </c>
      <c r="D1378">
        <v>36188</v>
      </c>
      <c r="E1378" t="s">
        <v>1400</v>
      </c>
    </row>
    <row r="1379" spans="1:5" x14ac:dyDescent="0.2">
      <c r="A1379">
        <v>2691</v>
      </c>
      <c r="B1379">
        <v>16</v>
      </c>
      <c r="C1379" t="s">
        <v>2085</v>
      </c>
      <c r="D1379">
        <v>36546</v>
      </c>
      <c r="E1379" t="s">
        <v>1398</v>
      </c>
    </row>
    <row r="1380" spans="1:5" x14ac:dyDescent="0.2">
      <c r="A1380">
        <v>2512</v>
      </c>
      <c r="B1380">
        <v>25</v>
      </c>
      <c r="C1380" t="s">
        <v>2086</v>
      </c>
      <c r="D1380">
        <v>36485</v>
      </c>
      <c r="E1380" t="s">
        <v>148</v>
      </c>
    </row>
    <row r="1381" spans="1:5" x14ac:dyDescent="0.2">
      <c r="A1381">
        <v>2250</v>
      </c>
      <c r="B1381">
        <v>38</v>
      </c>
      <c r="C1381" t="s">
        <v>829</v>
      </c>
      <c r="D1381">
        <v>37120</v>
      </c>
      <c r="E1381" t="s">
        <v>99</v>
      </c>
    </row>
    <row r="1382" spans="1:5" x14ac:dyDescent="0.2">
      <c r="A1382">
        <v>2492</v>
      </c>
      <c r="B1382">
        <v>25</v>
      </c>
      <c r="C1382" t="s">
        <v>584</v>
      </c>
      <c r="D1382">
        <v>36634</v>
      </c>
      <c r="E1382" t="s">
        <v>72</v>
      </c>
    </row>
    <row r="1383" spans="1:5" x14ac:dyDescent="0.2">
      <c r="A1383">
        <v>1070</v>
      </c>
      <c r="B1383">
        <v>200</v>
      </c>
      <c r="C1383" t="s">
        <v>585</v>
      </c>
      <c r="D1383">
        <v>36196</v>
      </c>
      <c r="E1383" t="s">
        <v>105</v>
      </c>
    </row>
    <row r="1384" spans="1:5" x14ac:dyDescent="0.2">
      <c r="A1384">
        <v>3163</v>
      </c>
      <c r="B1384">
        <v>1</v>
      </c>
      <c r="C1384" t="s">
        <v>2087</v>
      </c>
      <c r="D1384">
        <v>37767</v>
      </c>
      <c r="E1384" t="s">
        <v>120</v>
      </c>
    </row>
    <row r="1385" spans="1:5" x14ac:dyDescent="0.2">
      <c r="A1385">
        <v>2822</v>
      </c>
      <c r="B1385">
        <v>10</v>
      </c>
      <c r="C1385" t="s">
        <v>2088</v>
      </c>
      <c r="D1385">
        <v>36197</v>
      </c>
      <c r="E1385" t="s">
        <v>72</v>
      </c>
    </row>
    <row r="1386" spans="1:5" x14ac:dyDescent="0.2">
      <c r="A1386">
        <v>2932</v>
      </c>
      <c r="B1386">
        <v>7</v>
      </c>
      <c r="C1386" t="s">
        <v>830</v>
      </c>
      <c r="D1386">
        <v>37257</v>
      </c>
      <c r="E1386" t="s">
        <v>73</v>
      </c>
    </row>
    <row r="1387" spans="1:5" x14ac:dyDescent="0.2">
      <c r="A1387">
        <v>1746</v>
      </c>
      <c r="B1387">
        <v>76</v>
      </c>
      <c r="C1387" t="s">
        <v>320</v>
      </c>
      <c r="D1387">
        <v>37459</v>
      </c>
      <c r="E1387" t="s">
        <v>321</v>
      </c>
    </row>
    <row r="1388" spans="1:5" x14ac:dyDescent="0.2">
      <c r="A1388">
        <v>2857</v>
      </c>
      <c r="B1388">
        <v>9</v>
      </c>
      <c r="C1388" t="s">
        <v>2089</v>
      </c>
      <c r="D1388">
        <v>36722</v>
      </c>
      <c r="E1388" t="s">
        <v>1334</v>
      </c>
    </row>
    <row r="1389" spans="1:5" x14ac:dyDescent="0.2">
      <c r="A1389">
        <v>1023</v>
      </c>
      <c r="B1389">
        <v>212</v>
      </c>
      <c r="C1389" t="s">
        <v>322</v>
      </c>
      <c r="D1389">
        <v>36590</v>
      </c>
      <c r="E1389" t="s">
        <v>163</v>
      </c>
    </row>
    <row r="1390" spans="1:5" x14ac:dyDescent="0.2">
      <c r="A1390">
        <v>2378</v>
      </c>
      <c r="B1390">
        <v>31</v>
      </c>
      <c r="C1390" t="s">
        <v>323</v>
      </c>
      <c r="D1390">
        <v>36485</v>
      </c>
      <c r="E1390" t="s">
        <v>102</v>
      </c>
    </row>
    <row r="1391" spans="1:5" x14ac:dyDescent="0.2">
      <c r="A1391">
        <v>3296</v>
      </c>
      <c r="B1391">
        <v>0</v>
      </c>
      <c r="C1391" t="s">
        <v>2090</v>
      </c>
      <c r="D1391">
        <v>36567</v>
      </c>
      <c r="E1391" t="s">
        <v>113</v>
      </c>
    </row>
    <row r="1392" spans="1:5" x14ac:dyDescent="0.2">
      <c r="A1392">
        <v>2311</v>
      </c>
      <c r="B1392">
        <v>35</v>
      </c>
      <c r="C1392" t="s">
        <v>709</v>
      </c>
      <c r="D1392">
        <v>36711</v>
      </c>
      <c r="E1392" t="s">
        <v>120</v>
      </c>
    </row>
    <row r="1393" spans="1:5" x14ac:dyDescent="0.2">
      <c r="A1393">
        <v>1690</v>
      </c>
      <c r="B1393">
        <v>84</v>
      </c>
      <c r="C1393" t="s">
        <v>324</v>
      </c>
      <c r="D1393">
        <v>36345</v>
      </c>
      <c r="E1393" t="s">
        <v>170</v>
      </c>
    </row>
    <row r="1394" spans="1:5" x14ac:dyDescent="0.2">
      <c r="A1394">
        <v>3100</v>
      </c>
      <c r="B1394">
        <v>2</v>
      </c>
      <c r="C1394" t="s">
        <v>2091</v>
      </c>
      <c r="D1394">
        <v>36523</v>
      </c>
      <c r="E1394" t="s">
        <v>1148</v>
      </c>
    </row>
    <row r="1395" spans="1:5" x14ac:dyDescent="0.2">
      <c r="A1395">
        <v>2137</v>
      </c>
      <c r="B1395">
        <v>44</v>
      </c>
      <c r="C1395" t="s">
        <v>710</v>
      </c>
      <c r="D1395">
        <v>36923</v>
      </c>
      <c r="E1395" t="s">
        <v>669</v>
      </c>
    </row>
    <row r="1396" spans="1:5" x14ac:dyDescent="0.2">
      <c r="A1396">
        <v>3318</v>
      </c>
      <c r="B1396">
        <v>0</v>
      </c>
      <c r="C1396" t="s">
        <v>2092</v>
      </c>
      <c r="D1396">
        <v>37344</v>
      </c>
      <c r="E1396" t="s">
        <v>120</v>
      </c>
    </row>
    <row r="1397" spans="1:5" x14ac:dyDescent="0.2">
      <c r="A1397">
        <v>2438</v>
      </c>
      <c r="B1397">
        <v>28</v>
      </c>
      <c r="C1397" t="s">
        <v>325</v>
      </c>
      <c r="D1397">
        <v>36740</v>
      </c>
      <c r="E1397" t="s">
        <v>99</v>
      </c>
    </row>
    <row r="1398" spans="1:5" x14ac:dyDescent="0.2">
      <c r="A1398">
        <v>2002</v>
      </c>
      <c r="B1398">
        <v>52</v>
      </c>
      <c r="C1398" t="s">
        <v>326</v>
      </c>
      <c r="D1398">
        <v>36790</v>
      </c>
      <c r="E1398" t="s">
        <v>1367</v>
      </c>
    </row>
    <row r="1399" spans="1:5" x14ac:dyDescent="0.2">
      <c r="A1399">
        <v>1789</v>
      </c>
      <c r="B1399">
        <v>73</v>
      </c>
      <c r="C1399" t="s">
        <v>586</v>
      </c>
      <c r="D1399">
        <v>36375</v>
      </c>
      <c r="E1399" t="s">
        <v>1186</v>
      </c>
    </row>
    <row r="1400" spans="1:5" x14ac:dyDescent="0.2">
      <c r="A1400">
        <v>2466</v>
      </c>
      <c r="B1400">
        <v>27</v>
      </c>
      <c r="C1400" t="s">
        <v>2093</v>
      </c>
      <c r="D1400">
        <v>37353</v>
      </c>
      <c r="E1400" t="s">
        <v>160</v>
      </c>
    </row>
    <row r="1401" spans="1:5" x14ac:dyDescent="0.2">
      <c r="A1401">
        <v>2374</v>
      </c>
      <c r="B1401">
        <v>32</v>
      </c>
      <c r="C1401" t="s">
        <v>831</v>
      </c>
      <c r="D1401">
        <v>36918</v>
      </c>
      <c r="E1401" t="s">
        <v>163</v>
      </c>
    </row>
    <row r="1402" spans="1:5" x14ac:dyDescent="0.2">
      <c r="A1402">
        <v>2470</v>
      </c>
      <c r="B1402">
        <v>26</v>
      </c>
      <c r="C1402" t="s">
        <v>587</v>
      </c>
      <c r="D1402">
        <v>37190</v>
      </c>
      <c r="E1402" t="s">
        <v>202</v>
      </c>
    </row>
    <row r="1403" spans="1:5" x14ac:dyDescent="0.2">
      <c r="A1403">
        <v>2875</v>
      </c>
      <c r="B1403">
        <v>8</v>
      </c>
      <c r="C1403" t="s">
        <v>327</v>
      </c>
      <c r="D1403">
        <v>36793</v>
      </c>
      <c r="E1403" t="s">
        <v>105</v>
      </c>
    </row>
    <row r="1404" spans="1:5" x14ac:dyDescent="0.2">
      <c r="A1404">
        <v>3127</v>
      </c>
      <c r="B1404">
        <v>2</v>
      </c>
      <c r="C1404" t="s">
        <v>2094</v>
      </c>
      <c r="D1404">
        <v>36935</v>
      </c>
      <c r="E1404" t="s">
        <v>105</v>
      </c>
    </row>
    <row r="1405" spans="1:5" x14ac:dyDescent="0.2">
      <c r="A1405">
        <v>2792</v>
      </c>
      <c r="B1405">
        <v>11</v>
      </c>
      <c r="C1405" t="s">
        <v>328</v>
      </c>
      <c r="D1405">
        <v>36656</v>
      </c>
      <c r="E1405" t="s">
        <v>1516</v>
      </c>
    </row>
    <row r="1406" spans="1:5" x14ac:dyDescent="0.2">
      <c r="A1406">
        <v>3496</v>
      </c>
      <c r="B1406">
        <v>0</v>
      </c>
      <c r="C1406" t="s">
        <v>2095</v>
      </c>
      <c r="D1406">
        <v>36488</v>
      </c>
      <c r="E1406" t="s">
        <v>105</v>
      </c>
    </row>
    <row r="1407" spans="1:5" x14ac:dyDescent="0.2">
      <c r="A1407">
        <v>3282</v>
      </c>
      <c r="B1407">
        <v>0</v>
      </c>
      <c r="C1407" t="s">
        <v>2096</v>
      </c>
      <c r="D1407">
        <v>36892</v>
      </c>
      <c r="E1407" t="s">
        <v>165</v>
      </c>
    </row>
    <row r="1408" spans="1:5" x14ac:dyDescent="0.2">
      <c r="A1408">
        <v>3244</v>
      </c>
      <c r="B1408">
        <v>0</v>
      </c>
      <c r="C1408" t="s">
        <v>2097</v>
      </c>
      <c r="D1408">
        <v>37247</v>
      </c>
      <c r="E1408" t="s">
        <v>115</v>
      </c>
    </row>
    <row r="1409" spans="1:5" x14ac:dyDescent="0.2">
      <c r="A1409">
        <v>3170</v>
      </c>
      <c r="B1409">
        <v>1</v>
      </c>
      <c r="C1409" t="s">
        <v>2098</v>
      </c>
      <c r="D1409">
        <v>37489</v>
      </c>
      <c r="E1409" t="s">
        <v>290</v>
      </c>
    </row>
    <row r="1410" spans="1:5" x14ac:dyDescent="0.2">
      <c r="A1410">
        <v>3070</v>
      </c>
      <c r="B1410">
        <v>3</v>
      </c>
      <c r="C1410" t="s">
        <v>2099</v>
      </c>
      <c r="D1410">
        <v>36890</v>
      </c>
      <c r="E1410" t="s">
        <v>614</v>
      </c>
    </row>
    <row r="1411" spans="1:5" x14ac:dyDescent="0.2">
      <c r="A1411">
        <v>2097</v>
      </c>
      <c r="B1411">
        <v>46</v>
      </c>
      <c r="C1411" t="s">
        <v>329</v>
      </c>
      <c r="D1411">
        <v>36489</v>
      </c>
      <c r="E1411" t="s">
        <v>1239</v>
      </c>
    </row>
    <row r="1412" spans="1:5" x14ac:dyDescent="0.2">
      <c r="A1412">
        <v>2215</v>
      </c>
      <c r="B1412">
        <v>40</v>
      </c>
      <c r="C1412" t="s">
        <v>2100</v>
      </c>
      <c r="D1412">
        <v>36866</v>
      </c>
      <c r="E1412" t="s">
        <v>1174</v>
      </c>
    </row>
    <row r="1413" spans="1:5" x14ac:dyDescent="0.2">
      <c r="A1413">
        <v>2384</v>
      </c>
      <c r="B1413">
        <v>31</v>
      </c>
      <c r="C1413" t="s">
        <v>2101</v>
      </c>
      <c r="D1413">
        <v>36838</v>
      </c>
      <c r="E1413" t="s">
        <v>1121</v>
      </c>
    </row>
    <row r="1414" spans="1:5" x14ac:dyDescent="0.2">
      <c r="A1414">
        <v>2113</v>
      </c>
      <c r="B1414">
        <v>45</v>
      </c>
      <c r="C1414" t="s">
        <v>588</v>
      </c>
      <c r="D1414">
        <v>36713</v>
      </c>
      <c r="E1414" t="s">
        <v>105</v>
      </c>
    </row>
    <row r="1415" spans="1:5" x14ac:dyDescent="0.2">
      <c r="A1415">
        <v>1333</v>
      </c>
      <c r="B1415">
        <v>143</v>
      </c>
      <c r="C1415" t="s">
        <v>330</v>
      </c>
      <c r="D1415">
        <v>36343</v>
      </c>
      <c r="E1415" t="s">
        <v>166</v>
      </c>
    </row>
    <row r="1416" spans="1:5" x14ac:dyDescent="0.2">
      <c r="A1416">
        <v>2993</v>
      </c>
      <c r="B1416">
        <v>5</v>
      </c>
      <c r="C1416" t="s">
        <v>2102</v>
      </c>
      <c r="D1416">
        <v>36372</v>
      </c>
      <c r="E1416" t="s">
        <v>126</v>
      </c>
    </row>
    <row r="1417" spans="1:5" x14ac:dyDescent="0.2">
      <c r="A1417">
        <v>1160</v>
      </c>
      <c r="B1417">
        <v>176</v>
      </c>
      <c r="C1417" t="s">
        <v>711</v>
      </c>
      <c r="D1417">
        <v>36534</v>
      </c>
      <c r="E1417" t="s">
        <v>99</v>
      </c>
    </row>
    <row r="1418" spans="1:5" x14ac:dyDescent="0.2">
      <c r="A1418">
        <v>2634</v>
      </c>
      <c r="B1418">
        <v>19</v>
      </c>
      <c r="C1418" t="s">
        <v>2103</v>
      </c>
      <c r="D1418">
        <v>36334</v>
      </c>
      <c r="E1418" t="s">
        <v>119</v>
      </c>
    </row>
    <row r="1419" spans="1:5" x14ac:dyDescent="0.2">
      <c r="A1419">
        <v>3554</v>
      </c>
      <c r="B1419">
        <v>0</v>
      </c>
      <c r="C1419" t="s">
        <v>2104</v>
      </c>
      <c r="D1419">
        <v>37257</v>
      </c>
      <c r="E1419" t="s">
        <v>1291</v>
      </c>
    </row>
    <row r="1420" spans="1:5" x14ac:dyDescent="0.2">
      <c r="A1420">
        <v>1947</v>
      </c>
      <c r="B1420">
        <v>56</v>
      </c>
      <c r="C1420" t="s">
        <v>2105</v>
      </c>
      <c r="D1420">
        <v>36790</v>
      </c>
      <c r="E1420" t="s">
        <v>1078</v>
      </c>
    </row>
    <row r="1421" spans="1:5" x14ac:dyDescent="0.2">
      <c r="A1421">
        <v>3671</v>
      </c>
      <c r="B1421">
        <v>0</v>
      </c>
      <c r="C1421" t="s">
        <v>2106</v>
      </c>
      <c r="D1421">
        <v>36892</v>
      </c>
      <c r="E1421" t="s">
        <v>136</v>
      </c>
    </row>
    <row r="1422" spans="1:5" x14ac:dyDescent="0.2">
      <c r="A1422">
        <v>3653</v>
      </c>
      <c r="B1422">
        <v>0</v>
      </c>
      <c r="C1422" t="s">
        <v>2107</v>
      </c>
      <c r="D1422">
        <v>36935</v>
      </c>
      <c r="E1422" t="s">
        <v>120</v>
      </c>
    </row>
    <row r="1423" spans="1:5" x14ac:dyDescent="0.2">
      <c r="A1423">
        <v>3149</v>
      </c>
      <c r="B1423">
        <v>1</v>
      </c>
      <c r="C1423" t="s">
        <v>2108</v>
      </c>
      <c r="D1423">
        <v>36944</v>
      </c>
      <c r="E1423" t="s">
        <v>138</v>
      </c>
    </row>
    <row r="1424" spans="1:5" x14ac:dyDescent="0.2">
      <c r="A1424">
        <v>2294</v>
      </c>
      <c r="B1424">
        <v>36</v>
      </c>
      <c r="C1424" t="s">
        <v>2109</v>
      </c>
      <c r="D1424">
        <v>37715</v>
      </c>
      <c r="E1424" t="s">
        <v>120</v>
      </c>
    </row>
    <row r="1425" spans="1:5" x14ac:dyDescent="0.2">
      <c r="A1425">
        <v>3576</v>
      </c>
      <c r="B1425">
        <v>0</v>
      </c>
      <c r="C1425" t="s">
        <v>2110</v>
      </c>
      <c r="D1425">
        <v>36862</v>
      </c>
      <c r="E1425" t="s">
        <v>1139</v>
      </c>
    </row>
    <row r="1426" spans="1:5" x14ac:dyDescent="0.2">
      <c r="A1426">
        <v>1800</v>
      </c>
      <c r="B1426">
        <v>72</v>
      </c>
      <c r="C1426" t="s">
        <v>589</v>
      </c>
      <c r="D1426">
        <v>37018</v>
      </c>
      <c r="E1426" t="s">
        <v>99</v>
      </c>
    </row>
    <row r="1427" spans="1:5" x14ac:dyDescent="0.2">
      <c r="A1427">
        <v>1782</v>
      </c>
      <c r="B1427">
        <v>73</v>
      </c>
      <c r="C1427" t="s">
        <v>590</v>
      </c>
      <c r="D1427">
        <v>36362</v>
      </c>
      <c r="E1427" t="s">
        <v>200</v>
      </c>
    </row>
    <row r="1428" spans="1:5" x14ac:dyDescent="0.2">
      <c r="A1428">
        <v>3630</v>
      </c>
      <c r="B1428">
        <v>0</v>
      </c>
      <c r="C1428" t="s">
        <v>2111</v>
      </c>
      <c r="D1428">
        <v>36712</v>
      </c>
      <c r="E1428" t="s">
        <v>1535</v>
      </c>
    </row>
    <row r="1429" spans="1:5" x14ac:dyDescent="0.2">
      <c r="A1429">
        <v>2274</v>
      </c>
      <c r="B1429">
        <v>37</v>
      </c>
      <c r="C1429" t="s">
        <v>2112</v>
      </c>
      <c r="D1429">
        <v>37083</v>
      </c>
      <c r="E1429" t="s">
        <v>99</v>
      </c>
    </row>
    <row r="1430" spans="1:5" x14ac:dyDescent="0.2">
      <c r="A1430">
        <v>2930</v>
      </c>
      <c r="B1430">
        <v>7</v>
      </c>
      <c r="C1430" t="s">
        <v>2113</v>
      </c>
      <c r="D1430">
        <v>37713</v>
      </c>
      <c r="E1430" t="s">
        <v>110</v>
      </c>
    </row>
    <row r="1431" spans="1:5" x14ac:dyDescent="0.2">
      <c r="A1431">
        <v>3594</v>
      </c>
      <c r="B1431">
        <v>0</v>
      </c>
      <c r="C1431" t="s">
        <v>2114</v>
      </c>
      <c r="D1431">
        <v>36241</v>
      </c>
      <c r="E1431" t="s">
        <v>122</v>
      </c>
    </row>
    <row r="1432" spans="1:5" x14ac:dyDescent="0.2">
      <c r="A1432">
        <v>2429</v>
      </c>
      <c r="B1432">
        <v>29</v>
      </c>
      <c r="C1432" t="s">
        <v>409</v>
      </c>
      <c r="D1432">
        <v>37277</v>
      </c>
      <c r="E1432" t="s">
        <v>120</v>
      </c>
    </row>
    <row r="1433" spans="1:5" x14ac:dyDescent="0.2">
      <c r="A1433">
        <v>3458</v>
      </c>
      <c r="B1433">
        <v>0</v>
      </c>
      <c r="C1433" t="s">
        <v>409</v>
      </c>
      <c r="D1433">
        <v>36324</v>
      </c>
      <c r="E1433" t="s">
        <v>290</v>
      </c>
    </row>
    <row r="1434" spans="1:5" x14ac:dyDescent="0.2">
      <c r="A1434">
        <v>2395</v>
      </c>
      <c r="B1434">
        <v>30</v>
      </c>
      <c r="C1434" t="s">
        <v>410</v>
      </c>
      <c r="D1434">
        <v>37042</v>
      </c>
      <c r="E1434" t="s">
        <v>1367</v>
      </c>
    </row>
    <row r="1435" spans="1:5" x14ac:dyDescent="0.2">
      <c r="A1435">
        <v>3477</v>
      </c>
      <c r="B1435">
        <v>0</v>
      </c>
      <c r="C1435" t="s">
        <v>2115</v>
      </c>
      <c r="D1435">
        <v>37372</v>
      </c>
      <c r="E1435" t="s">
        <v>105</v>
      </c>
    </row>
    <row r="1436" spans="1:5" x14ac:dyDescent="0.2">
      <c r="A1436">
        <v>1838</v>
      </c>
      <c r="B1436">
        <v>68</v>
      </c>
      <c r="C1436" t="s">
        <v>2116</v>
      </c>
      <c r="D1436">
        <v>36598</v>
      </c>
      <c r="E1436" t="s">
        <v>227</v>
      </c>
    </row>
    <row r="1437" spans="1:5" x14ac:dyDescent="0.2">
      <c r="A1437">
        <v>3592</v>
      </c>
      <c r="B1437">
        <v>0</v>
      </c>
      <c r="C1437" t="s">
        <v>2117</v>
      </c>
      <c r="D1437">
        <v>37332</v>
      </c>
      <c r="E1437" t="s">
        <v>1143</v>
      </c>
    </row>
    <row r="1438" spans="1:5" x14ac:dyDescent="0.2">
      <c r="A1438">
        <v>3564</v>
      </c>
      <c r="B1438">
        <v>0</v>
      </c>
      <c r="C1438" t="s">
        <v>2118</v>
      </c>
      <c r="D1438">
        <v>37047</v>
      </c>
      <c r="E1438" t="s">
        <v>119</v>
      </c>
    </row>
    <row r="1439" spans="1:5" x14ac:dyDescent="0.2">
      <c r="A1439">
        <v>1991</v>
      </c>
      <c r="B1439">
        <v>53</v>
      </c>
      <c r="C1439" t="s">
        <v>2119</v>
      </c>
      <c r="D1439">
        <v>36963</v>
      </c>
      <c r="E1439" t="s">
        <v>99</v>
      </c>
    </row>
    <row r="1440" spans="1:5" x14ac:dyDescent="0.2">
      <c r="A1440">
        <v>2474</v>
      </c>
      <c r="B1440">
        <v>26</v>
      </c>
      <c r="C1440" t="s">
        <v>331</v>
      </c>
      <c r="D1440">
        <v>36945</v>
      </c>
      <c r="E1440" t="s">
        <v>99</v>
      </c>
    </row>
    <row r="1441" spans="1:5" x14ac:dyDescent="0.2">
      <c r="A1441">
        <v>2697</v>
      </c>
      <c r="B1441">
        <v>16</v>
      </c>
      <c r="C1441" t="s">
        <v>2120</v>
      </c>
      <c r="D1441">
        <v>36688</v>
      </c>
      <c r="E1441" t="s">
        <v>105</v>
      </c>
    </row>
    <row r="1442" spans="1:5" x14ac:dyDescent="0.2">
      <c r="A1442">
        <v>3665</v>
      </c>
      <c r="B1442">
        <v>0</v>
      </c>
      <c r="C1442" t="s">
        <v>2121</v>
      </c>
      <c r="D1442">
        <v>37747</v>
      </c>
      <c r="E1442" t="s">
        <v>105</v>
      </c>
    </row>
    <row r="1443" spans="1:5" x14ac:dyDescent="0.2">
      <c r="A1443">
        <v>3339</v>
      </c>
      <c r="B1443">
        <v>0</v>
      </c>
      <c r="C1443" t="s">
        <v>2122</v>
      </c>
      <c r="D1443">
        <v>37257</v>
      </c>
      <c r="E1443" t="s">
        <v>290</v>
      </c>
    </row>
    <row r="1444" spans="1:5" x14ac:dyDescent="0.2">
      <c r="A1444">
        <v>2267</v>
      </c>
      <c r="B1444">
        <v>37</v>
      </c>
      <c r="C1444" t="s">
        <v>332</v>
      </c>
      <c r="D1444">
        <v>36607</v>
      </c>
      <c r="E1444" t="s">
        <v>126</v>
      </c>
    </row>
    <row r="1445" spans="1:5" x14ac:dyDescent="0.2">
      <c r="A1445">
        <v>2234</v>
      </c>
      <c r="B1445">
        <v>39</v>
      </c>
      <c r="C1445" t="s">
        <v>833</v>
      </c>
      <c r="D1445">
        <v>36992</v>
      </c>
      <c r="E1445" t="s">
        <v>110</v>
      </c>
    </row>
    <row r="1446" spans="1:5" x14ac:dyDescent="0.2">
      <c r="A1446">
        <v>2793</v>
      </c>
      <c r="B1446">
        <v>11</v>
      </c>
      <c r="C1446" t="s">
        <v>2123</v>
      </c>
      <c r="D1446">
        <v>37272</v>
      </c>
      <c r="E1446" t="s">
        <v>105</v>
      </c>
    </row>
    <row r="1447" spans="1:5" x14ac:dyDescent="0.2">
      <c r="A1447">
        <v>1592</v>
      </c>
      <c r="B1447">
        <v>97</v>
      </c>
      <c r="C1447" t="s">
        <v>333</v>
      </c>
      <c r="D1447">
        <v>37088</v>
      </c>
      <c r="E1447" t="s">
        <v>120</v>
      </c>
    </row>
    <row r="1448" spans="1:5" x14ac:dyDescent="0.2">
      <c r="A1448">
        <v>1976</v>
      </c>
      <c r="B1448">
        <v>54</v>
      </c>
      <c r="C1448" t="s">
        <v>333</v>
      </c>
      <c r="D1448">
        <v>37036</v>
      </c>
      <c r="E1448" t="s">
        <v>110</v>
      </c>
    </row>
    <row r="1449" spans="1:5" x14ac:dyDescent="0.2">
      <c r="A1449">
        <v>2147</v>
      </c>
      <c r="B1449">
        <v>44</v>
      </c>
      <c r="C1449" t="s">
        <v>2124</v>
      </c>
      <c r="D1449">
        <v>36540</v>
      </c>
      <c r="E1449" t="s">
        <v>105</v>
      </c>
    </row>
    <row r="1450" spans="1:5" x14ac:dyDescent="0.2">
      <c r="A1450">
        <v>2245</v>
      </c>
      <c r="B1450">
        <v>38</v>
      </c>
      <c r="C1450" t="s">
        <v>334</v>
      </c>
      <c r="D1450">
        <v>36828</v>
      </c>
      <c r="E1450" t="s">
        <v>1143</v>
      </c>
    </row>
    <row r="1451" spans="1:5" x14ac:dyDescent="0.2">
      <c r="A1451">
        <v>3261</v>
      </c>
      <c r="B1451">
        <v>0</v>
      </c>
      <c r="C1451" t="s">
        <v>2125</v>
      </c>
      <c r="D1451">
        <v>37806</v>
      </c>
      <c r="E1451" t="s">
        <v>1145</v>
      </c>
    </row>
    <row r="1452" spans="1:5" x14ac:dyDescent="0.2">
      <c r="A1452">
        <v>2967</v>
      </c>
      <c r="B1452">
        <v>5</v>
      </c>
      <c r="C1452" t="s">
        <v>2126</v>
      </c>
      <c r="D1452">
        <v>36963</v>
      </c>
      <c r="E1452" t="s">
        <v>120</v>
      </c>
    </row>
    <row r="1453" spans="1:5" x14ac:dyDescent="0.2">
      <c r="A1453">
        <v>2350</v>
      </c>
      <c r="B1453">
        <v>33</v>
      </c>
      <c r="C1453" t="s">
        <v>2127</v>
      </c>
      <c r="D1453">
        <v>37248</v>
      </c>
      <c r="E1453" t="s">
        <v>290</v>
      </c>
    </row>
    <row r="1454" spans="1:5" x14ac:dyDescent="0.2">
      <c r="A1454">
        <v>2150</v>
      </c>
      <c r="B1454">
        <v>44</v>
      </c>
      <c r="C1454" t="s">
        <v>2128</v>
      </c>
      <c r="D1454">
        <v>36355</v>
      </c>
      <c r="E1454" t="s">
        <v>1097</v>
      </c>
    </row>
    <row r="1455" spans="1:5" x14ac:dyDescent="0.2">
      <c r="A1455">
        <v>3022</v>
      </c>
      <c r="B1455">
        <v>4</v>
      </c>
      <c r="C1455" t="s">
        <v>2129</v>
      </c>
      <c r="D1455">
        <v>36773</v>
      </c>
      <c r="E1455" t="s">
        <v>105</v>
      </c>
    </row>
    <row r="1456" spans="1:5" x14ac:dyDescent="0.2">
      <c r="A1456">
        <v>2163</v>
      </c>
      <c r="B1456">
        <v>43</v>
      </c>
      <c r="C1456" t="s">
        <v>591</v>
      </c>
      <c r="D1456">
        <v>36769</v>
      </c>
      <c r="E1456" t="s">
        <v>105</v>
      </c>
    </row>
    <row r="1457" spans="1:5" x14ac:dyDescent="0.2">
      <c r="A1457">
        <v>2959</v>
      </c>
      <c r="B1457">
        <v>6</v>
      </c>
      <c r="C1457" t="s">
        <v>2130</v>
      </c>
      <c r="D1457">
        <v>36526</v>
      </c>
      <c r="E1457" t="s">
        <v>105</v>
      </c>
    </row>
    <row r="1458" spans="1:5" x14ac:dyDescent="0.2">
      <c r="A1458">
        <v>2583</v>
      </c>
      <c r="B1458">
        <v>21</v>
      </c>
      <c r="C1458" t="s">
        <v>2131</v>
      </c>
      <c r="D1458">
        <v>36188</v>
      </c>
      <c r="E1458" t="s">
        <v>117</v>
      </c>
    </row>
    <row r="1459" spans="1:5" x14ac:dyDescent="0.2">
      <c r="A1459">
        <v>1954</v>
      </c>
      <c r="B1459">
        <v>55</v>
      </c>
      <c r="C1459" t="s">
        <v>335</v>
      </c>
      <c r="D1459">
        <v>36266</v>
      </c>
      <c r="E1459" t="s">
        <v>1582</v>
      </c>
    </row>
    <row r="1460" spans="1:5" x14ac:dyDescent="0.2">
      <c r="A1460">
        <v>2985</v>
      </c>
      <c r="B1460">
        <v>5</v>
      </c>
      <c r="C1460" t="s">
        <v>2132</v>
      </c>
      <c r="D1460">
        <v>37277</v>
      </c>
      <c r="E1460" t="s">
        <v>1143</v>
      </c>
    </row>
    <row r="1461" spans="1:5" x14ac:dyDescent="0.2">
      <c r="A1461">
        <v>3096</v>
      </c>
      <c r="B1461">
        <v>2</v>
      </c>
      <c r="C1461" t="s">
        <v>712</v>
      </c>
      <c r="D1461">
        <v>36952</v>
      </c>
      <c r="E1461" t="s">
        <v>99</v>
      </c>
    </row>
    <row r="1462" spans="1:5" x14ac:dyDescent="0.2">
      <c r="A1462">
        <v>2915</v>
      </c>
      <c r="B1462">
        <v>7</v>
      </c>
      <c r="C1462" t="s">
        <v>2133</v>
      </c>
      <c r="D1462">
        <v>37540</v>
      </c>
      <c r="E1462" t="s">
        <v>105</v>
      </c>
    </row>
    <row r="1463" spans="1:5" x14ac:dyDescent="0.2">
      <c r="A1463">
        <v>2626</v>
      </c>
      <c r="B1463">
        <v>19</v>
      </c>
      <c r="C1463" t="s">
        <v>2134</v>
      </c>
      <c r="D1463">
        <v>36526</v>
      </c>
      <c r="E1463" t="s">
        <v>137</v>
      </c>
    </row>
    <row r="1464" spans="1:5" x14ac:dyDescent="0.2">
      <c r="A1464">
        <v>2703</v>
      </c>
      <c r="B1464">
        <v>15</v>
      </c>
      <c r="C1464" t="s">
        <v>713</v>
      </c>
      <c r="D1464">
        <v>37430</v>
      </c>
      <c r="E1464" t="s">
        <v>222</v>
      </c>
    </row>
    <row r="1465" spans="1:5" x14ac:dyDescent="0.2">
      <c r="A1465">
        <v>2178</v>
      </c>
      <c r="B1465">
        <v>42</v>
      </c>
      <c r="C1465" t="s">
        <v>336</v>
      </c>
      <c r="D1465">
        <v>36237</v>
      </c>
      <c r="E1465" t="s">
        <v>1089</v>
      </c>
    </row>
    <row r="1466" spans="1:5" x14ac:dyDescent="0.2">
      <c r="A1466">
        <v>3118</v>
      </c>
      <c r="B1466">
        <v>2</v>
      </c>
      <c r="C1466" t="s">
        <v>2135</v>
      </c>
      <c r="D1466">
        <v>36686</v>
      </c>
      <c r="E1466" t="s">
        <v>365</v>
      </c>
    </row>
    <row r="1467" spans="1:5" x14ac:dyDescent="0.2">
      <c r="A1467">
        <v>3171</v>
      </c>
      <c r="B1467">
        <v>1</v>
      </c>
      <c r="C1467" t="s">
        <v>2136</v>
      </c>
      <c r="D1467">
        <v>36538</v>
      </c>
      <c r="E1467" t="s">
        <v>83</v>
      </c>
    </row>
    <row r="1468" spans="1:5" x14ac:dyDescent="0.2">
      <c r="A1468">
        <v>3257</v>
      </c>
      <c r="B1468">
        <v>0</v>
      </c>
      <c r="C1468" t="s">
        <v>2137</v>
      </c>
      <c r="D1468">
        <v>36338</v>
      </c>
      <c r="E1468" t="s">
        <v>1089</v>
      </c>
    </row>
    <row r="1469" spans="1:5" x14ac:dyDescent="0.2">
      <c r="A1469">
        <v>1756</v>
      </c>
      <c r="B1469">
        <v>75</v>
      </c>
      <c r="C1469" t="s">
        <v>714</v>
      </c>
      <c r="D1469">
        <v>36675</v>
      </c>
      <c r="E1469" t="s">
        <v>105</v>
      </c>
    </row>
    <row r="1470" spans="1:5" x14ac:dyDescent="0.2">
      <c r="A1470">
        <v>2402</v>
      </c>
      <c r="B1470">
        <v>30</v>
      </c>
      <c r="C1470" t="s">
        <v>2138</v>
      </c>
      <c r="D1470">
        <v>36287</v>
      </c>
      <c r="E1470" t="s">
        <v>117</v>
      </c>
    </row>
    <row r="1471" spans="1:5" x14ac:dyDescent="0.2">
      <c r="A1471">
        <v>864</v>
      </c>
      <c r="B1471">
        <v>266</v>
      </c>
      <c r="C1471" t="s">
        <v>2139</v>
      </c>
      <c r="D1471">
        <v>36579</v>
      </c>
      <c r="E1471" t="s">
        <v>2140</v>
      </c>
    </row>
    <row r="1472" spans="1:5" x14ac:dyDescent="0.2">
      <c r="A1472">
        <v>2305</v>
      </c>
      <c r="B1472">
        <v>35</v>
      </c>
      <c r="C1472" t="s">
        <v>2141</v>
      </c>
      <c r="D1472">
        <v>36970</v>
      </c>
      <c r="E1472" t="s">
        <v>1107</v>
      </c>
    </row>
    <row r="1473" spans="1:5" x14ac:dyDescent="0.2">
      <c r="A1473">
        <v>2450</v>
      </c>
      <c r="B1473">
        <v>28</v>
      </c>
      <c r="C1473" t="s">
        <v>2142</v>
      </c>
      <c r="D1473">
        <v>36477</v>
      </c>
      <c r="E1473" t="s">
        <v>1121</v>
      </c>
    </row>
    <row r="1474" spans="1:5" x14ac:dyDescent="0.2">
      <c r="A1474">
        <v>1525</v>
      </c>
      <c r="B1474">
        <v>107</v>
      </c>
      <c r="C1474" t="s">
        <v>2143</v>
      </c>
      <c r="D1474">
        <v>37083</v>
      </c>
      <c r="E1474" t="s">
        <v>2144</v>
      </c>
    </row>
    <row r="1475" spans="1:5" x14ac:dyDescent="0.2">
      <c r="A1475">
        <v>3185</v>
      </c>
      <c r="B1475">
        <v>1</v>
      </c>
      <c r="C1475" t="s">
        <v>2145</v>
      </c>
      <c r="D1475">
        <v>37975</v>
      </c>
      <c r="E1475" t="s">
        <v>113</v>
      </c>
    </row>
    <row r="1476" spans="1:5" x14ac:dyDescent="0.2">
      <c r="A1476">
        <v>1424</v>
      </c>
      <c r="B1476">
        <v>128</v>
      </c>
      <c r="C1476" t="s">
        <v>337</v>
      </c>
      <c r="D1476">
        <v>36411</v>
      </c>
      <c r="E1476" t="s">
        <v>1121</v>
      </c>
    </row>
    <row r="1477" spans="1:5" x14ac:dyDescent="0.2">
      <c r="A1477">
        <v>2074</v>
      </c>
      <c r="B1477">
        <v>47</v>
      </c>
      <c r="C1477" t="s">
        <v>715</v>
      </c>
      <c r="D1477">
        <v>36946</v>
      </c>
      <c r="E1477" t="s">
        <v>128</v>
      </c>
    </row>
    <row r="1478" spans="1:5" x14ac:dyDescent="0.2">
      <c r="A1478">
        <v>3667</v>
      </c>
      <c r="B1478">
        <v>0</v>
      </c>
      <c r="C1478" t="s">
        <v>2146</v>
      </c>
      <c r="D1478">
        <v>36572</v>
      </c>
      <c r="E1478" t="s">
        <v>128</v>
      </c>
    </row>
    <row r="1479" spans="1:5" x14ac:dyDescent="0.2">
      <c r="A1479">
        <v>2880</v>
      </c>
      <c r="B1479">
        <v>8</v>
      </c>
      <c r="C1479" t="s">
        <v>2147</v>
      </c>
      <c r="D1479">
        <v>36490</v>
      </c>
      <c r="E1479" t="s">
        <v>1868</v>
      </c>
    </row>
    <row r="1480" spans="1:5" x14ac:dyDescent="0.2">
      <c r="A1480">
        <v>3441</v>
      </c>
      <c r="B1480">
        <v>0</v>
      </c>
      <c r="C1480" t="s">
        <v>2148</v>
      </c>
      <c r="D1480">
        <v>36648</v>
      </c>
      <c r="E1480" t="s">
        <v>105</v>
      </c>
    </row>
    <row r="1481" spans="1:5" x14ac:dyDescent="0.2">
      <c r="A1481">
        <v>2711</v>
      </c>
      <c r="B1481">
        <v>14</v>
      </c>
      <c r="C1481" t="s">
        <v>338</v>
      </c>
      <c r="D1481">
        <v>36676</v>
      </c>
      <c r="E1481" t="s">
        <v>183</v>
      </c>
    </row>
    <row r="1482" spans="1:5" x14ac:dyDescent="0.2">
      <c r="A1482">
        <v>2015</v>
      </c>
      <c r="B1482">
        <v>51</v>
      </c>
      <c r="C1482" t="s">
        <v>834</v>
      </c>
      <c r="D1482">
        <v>37297</v>
      </c>
      <c r="E1482" t="s">
        <v>105</v>
      </c>
    </row>
    <row r="1483" spans="1:5" x14ac:dyDescent="0.2">
      <c r="A1483">
        <v>2622</v>
      </c>
      <c r="B1483">
        <v>19</v>
      </c>
      <c r="C1483" t="s">
        <v>2149</v>
      </c>
      <c r="D1483">
        <v>37311</v>
      </c>
      <c r="E1483" t="s">
        <v>1429</v>
      </c>
    </row>
    <row r="1484" spans="1:5" x14ac:dyDescent="0.2">
      <c r="A1484">
        <v>2893</v>
      </c>
      <c r="B1484">
        <v>8</v>
      </c>
      <c r="C1484" t="s">
        <v>2150</v>
      </c>
      <c r="D1484">
        <v>36804</v>
      </c>
      <c r="E1484" t="s">
        <v>1961</v>
      </c>
    </row>
    <row r="1485" spans="1:5" x14ac:dyDescent="0.2">
      <c r="A1485">
        <v>3121</v>
      </c>
      <c r="B1485">
        <v>2</v>
      </c>
      <c r="C1485" t="s">
        <v>2151</v>
      </c>
      <c r="D1485">
        <v>36711</v>
      </c>
      <c r="E1485" t="s">
        <v>122</v>
      </c>
    </row>
    <row r="1486" spans="1:5" x14ac:dyDescent="0.2">
      <c r="A1486">
        <v>2851</v>
      </c>
      <c r="B1486">
        <v>9</v>
      </c>
      <c r="C1486" t="s">
        <v>2152</v>
      </c>
      <c r="D1486">
        <v>36740</v>
      </c>
      <c r="E1486" t="s">
        <v>1121</v>
      </c>
    </row>
    <row r="1487" spans="1:5" x14ac:dyDescent="0.2">
      <c r="A1487">
        <v>1700</v>
      </c>
      <c r="B1487">
        <v>83</v>
      </c>
      <c r="C1487" t="s">
        <v>339</v>
      </c>
      <c r="D1487">
        <v>36190</v>
      </c>
      <c r="E1487" t="s">
        <v>109</v>
      </c>
    </row>
    <row r="1488" spans="1:5" x14ac:dyDescent="0.2">
      <c r="A1488">
        <v>3278</v>
      </c>
      <c r="B1488">
        <v>0</v>
      </c>
      <c r="C1488" t="s">
        <v>2153</v>
      </c>
      <c r="D1488">
        <v>37134</v>
      </c>
      <c r="E1488" t="s">
        <v>117</v>
      </c>
    </row>
    <row r="1489" spans="1:5" x14ac:dyDescent="0.2">
      <c r="A1489">
        <v>1952</v>
      </c>
      <c r="B1489">
        <v>56</v>
      </c>
      <c r="C1489" t="s">
        <v>2154</v>
      </c>
      <c r="D1489">
        <v>36670</v>
      </c>
      <c r="E1489" t="s">
        <v>1271</v>
      </c>
    </row>
    <row r="1490" spans="1:5" x14ac:dyDescent="0.2">
      <c r="A1490">
        <v>3175</v>
      </c>
      <c r="B1490">
        <v>1</v>
      </c>
      <c r="C1490" t="s">
        <v>2155</v>
      </c>
      <c r="D1490">
        <v>36205</v>
      </c>
      <c r="E1490" t="s">
        <v>120</v>
      </c>
    </row>
    <row r="1491" spans="1:5" x14ac:dyDescent="0.2">
      <c r="A1491">
        <v>3004</v>
      </c>
      <c r="B1491">
        <v>4</v>
      </c>
      <c r="C1491" t="s">
        <v>2156</v>
      </c>
      <c r="D1491">
        <v>37339</v>
      </c>
      <c r="E1491" t="s">
        <v>120</v>
      </c>
    </row>
    <row r="1492" spans="1:5" x14ac:dyDescent="0.2">
      <c r="A1492">
        <v>3640</v>
      </c>
      <c r="B1492">
        <v>0</v>
      </c>
      <c r="C1492" t="s">
        <v>2157</v>
      </c>
      <c r="D1492">
        <v>36797</v>
      </c>
      <c r="E1492" t="s">
        <v>126</v>
      </c>
    </row>
    <row r="1493" spans="1:5" x14ac:dyDescent="0.2">
      <c r="A1493">
        <v>2277</v>
      </c>
      <c r="B1493">
        <v>37</v>
      </c>
      <c r="C1493" t="s">
        <v>835</v>
      </c>
      <c r="D1493">
        <v>36526</v>
      </c>
      <c r="E1493" t="s">
        <v>105</v>
      </c>
    </row>
    <row r="1494" spans="1:5" x14ac:dyDescent="0.2">
      <c r="A1494">
        <v>3256</v>
      </c>
      <c r="B1494">
        <v>0</v>
      </c>
      <c r="C1494" t="s">
        <v>2158</v>
      </c>
      <c r="D1494">
        <v>37073</v>
      </c>
      <c r="E1494" t="s">
        <v>1400</v>
      </c>
    </row>
    <row r="1495" spans="1:5" x14ac:dyDescent="0.2">
      <c r="A1495">
        <v>3658</v>
      </c>
      <c r="B1495">
        <v>0</v>
      </c>
      <c r="C1495" t="s">
        <v>2159</v>
      </c>
      <c r="D1495">
        <v>37134</v>
      </c>
      <c r="E1495" t="s">
        <v>1582</v>
      </c>
    </row>
    <row r="1496" spans="1:5" x14ac:dyDescent="0.2">
      <c r="A1496">
        <v>3479</v>
      </c>
      <c r="B1496">
        <v>0</v>
      </c>
      <c r="C1496" t="s">
        <v>2160</v>
      </c>
      <c r="D1496">
        <v>37257</v>
      </c>
      <c r="E1496" t="s">
        <v>74</v>
      </c>
    </row>
    <row r="1497" spans="1:5" x14ac:dyDescent="0.2">
      <c r="A1497">
        <v>3362</v>
      </c>
      <c r="B1497">
        <v>0</v>
      </c>
      <c r="C1497" t="s">
        <v>2161</v>
      </c>
      <c r="D1497">
        <v>37948</v>
      </c>
      <c r="E1497" t="s">
        <v>72</v>
      </c>
    </row>
    <row r="1498" spans="1:5" x14ac:dyDescent="0.2">
      <c r="A1498">
        <v>1144</v>
      </c>
      <c r="B1498">
        <v>181</v>
      </c>
      <c r="C1498" t="s">
        <v>2162</v>
      </c>
      <c r="D1498">
        <v>36670</v>
      </c>
      <c r="E1498" t="s">
        <v>2163</v>
      </c>
    </row>
    <row r="1499" spans="1:5" x14ac:dyDescent="0.2">
      <c r="A1499">
        <v>3299</v>
      </c>
      <c r="B1499">
        <v>0</v>
      </c>
      <c r="C1499" t="s">
        <v>2164</v>
      </c>
      <c r="D1499">
        <v>37183</v>
      </c>
      <c r="E1499" t="s">
        <v>2165</v>
      </c>
    </row>
    <row r="1500" spans="1:5" x14ac:dyDescent="0.2">
      <c r="A1500">
        <v>2380</v>
      </c>
      <c r="B1500">
        <v>31</v>
      </c>
      <c r="C1500" t="s">
        <v>592</v>
      </c>
      <c r="D1500">
        <v>36528</v>
      </c>
      <c r="E1500" t="s">
        <v>99</v>
      </c>
    </row>
    <row r="1501" spans="1:5" x14ac:dyDescent="0.2">
      <c r="A1501">
        <v>1918</v>
      </c>
      <c r="B1501">
        <v>58</v>
      </c>
      <c r="C1501" t="s">
        <v>593</v>
      </c>
      <c r="D1501">
        <v>36621</v>
      </c>
      <c r="E1501" t="s">
        <v>72</v>
      </c>
    </row>
    <row r="1502" spans="1:5" x14ac:dyDescent="0.2">
      <c r="A1502">
        <v>2080</v>
      </c>
      <c r="B1502">
        <v>47</v>
      </c>
      <c r="C1502" t="s">
        <v>2166</v>
      </c>
      <c r="D1502">
        <v>36851</v>
      </c>
      <c r="E1502" t="s">
        <v>105</v>
      </c>
    </row>
    <row r="1503" spans="1:5" x14ac:dyDescent="0.2">
      <c r="A1503">
        <v>1296</v>
      </c>
      <c r="B1503">
        <v>148</v>
      </c>
      <c r="C1503" t="s">
        <v>411</v>
      </c>
      <c r="D1503">
        <v>36630</v>
      </c>
      <c r="E1503" t="s">
        <v>145</v>
      </c>
    </row>
    <row r="1504" spans="1:5" x14ac:dyDescent="0.2">
      <c r="A1504">
        <v>3669</v>
      </c>
      <c r="B1504">
        <v>0</v>
      </c>
      <c r="C1504" t="s">
        <v>2167</v>
      </c>
      <c r="D1504">
        <v>37244</v>
      </c>
      <c r="E1504" t="s">
        <v>105</v>
      </c>
    </row>
    <row r="1505" spans="1:5" x14ac:dyDescent="0.2">
      <c r="A1505">
        <v>1863</v>
      </c>
      <c r="B1505">
        <v>64</v>
      </c>
      <c r="C1505" t="s">
        <v>340</v>
      </c>
      <c r="D1505">
        <v>36384</v>
      </c>
      <c r="E1505" t="s">
        <v>1193</v>
      </c>
    </row>
    <row r="1506" spans="1:5" x14ac:dyDescent="0.2">
      <c r="A1506">
        <v>3593</v>
      </c>
      <c r="B1506">
        <v>0</v>
      </c>
      <c r="C1506" t="s">
        <v>2168</v>
      </c>
      <c r="D1506">
        <v>37558</v>
      </c>
      <c r="E1506" t="s">
        <v>1143</v>
      </c>
    </row>
    <row r="1507" spans="1:5" x14ac:dyDescent="0.2">
      <c r="A1507">
        <v>2372</v>
      </c>
      <c r="B1507">
        <v>32</v>
      </c>
      <c r="C1507" t="s">
        <v>836</v>
      </c>
      <c r="D1507">
        <v>37315</v>
      </c>
      <c r="E1507" t="s">
        <v>1063</v>
      </c>
    </row>
    <row r="1508" spans="1:5" x14ac:dyDescent="0.2">
      <c r="A1508">
        <v>1632</v>
      </c>
      <c r="B1508">
        <v>92</v>
      </c>
      <c r="C1508" t="s">
        <v>2169</v>
      </c>
      <c r="D1508">
        <v>36292</v>
      </c>
      <c r="E1508" t="s">
        <v>2170</v>
      </c>
    </row>
    <row r="1509" spans="1:5" x14ac:dyDescent="0.2">
      <c r="A1509">
        <v>2878</v>
      </c>
      <c r="B1509">
        <v>8</v>
      </c>
      <c r="C1509" t="s">
        <v>2171</v>
      </c>
      <c r="D1509">
        <v>36543</v>
      </c>
      <c r="E1509" t="s">
        <v>138</v>
      </c>
    </row>
    <row r="1510" spans="1:5" x14ac:dyDescent="0.2">
      <c r="A1510">
        <v>3255</v>
      </c>
      <c r="B1510">
        <v>0</v>
      </c>
      <c r="C1510" t="s">
        <v>2172</v>
      </c>
      <c r="D1510">
        <v>37098</v>
      </c>
      <c r="E1510" t="s">
        <v>138</v>
      </c>
    </row>
    <row r="1511" spans="1:5" x14ac:dyDescent="0.2">
      <c r="A1511">
        <v>1994</v>
      </c>
      <c r="B1511">
        <v>53</v>
      </c>
      <c r="C1511" t="s">
        <v>837</v>
      </c>
      <c r="D1511">
        <v>36923</v>
      </c>
      <c r="E1511" t="s">
        <v>1111</v>
      </c>
    </row>
    <row r="1512" spans="1:5" x14ac:dyDescent="0.2">
      <c r="A1512">
        <v>3376</v>
      </c>
      <c r="B1512">
        <v>0</v>
      </c>
      <c r="C1512" t="s">
        <v>2173</v>
      </c>
      <c r="D1512">
        <v>36198</v>
      </c>
      <c r="E1512" t="s">
        <v>127</v>
      </c>
    </row>
    <row r="1513" spans="1:5" x14ac:dyDescent="0.2">
      <c r="A1513">
        <v>3016</v>
      </c>
      <c r="B1513">
        <v>4</v>
      </c>
      <c r="C1513" t="s">
        <v>2174</v>
      </c>
      <c r="D1513">
        <v>37238</v>
      </c>
      <c r="E1513" t="s">
        <v>165</v>
      </c>
    </row>
    <row r="1514" spans="1:5" x14ac:dyDescent="0.2">
      <c r="A1514">
        <v>3245</v>
      </c>
      <c r="B1514">
        <v>0</v>
      </c>
      <c r="C1514" t="s">
        <v>2175</v>
      </c>
      <c r="D1514">
        <v>36711</v>
      </c>
      <c r="E1514" t="s">
        <v>170</v>
      </c>
    </row>
    <row r="1515" spans="1:5" x14ac:dyDescent="0.2">
      <c r="A1515">
        <v>1675</v>
      </c>
      <c r="B1515">
        <v>86</v>
      </c>
      <c r="C1515" t="s">
        <v>341</v>
      </c>
      <c r="D1515">
        <v>36948</v>
      </c>
      <c r="E1515" t="s">
        <v>155</v>
      </c>
    </row>
    <row r="1516" spans="1:5" x14ac:dyDescent="0.2">
      <c r="A1516">
        <v>1682</v>
      </c>
      <c r="B1516">
        <v>86</v>
      </c>
      <c r="C1516" t="s">
        <v>2176</v>
      </c>
      <c r="D1516">
        <v>36337</v>
      </c>
      <c r="E1516" t="s">
        <v>1400</v>
      </c>
    </row>
    <row r="1517" spans="1:5" x14ac:dyDescent="0.2">
      <c r="A1517">
        <v>3317</v>
      </c>
      <c r="B1517">
        <v>0</v>
      </c>
      <c r="C1517" t="s">
        <v>2176</v>
      </c>
      <c r="D1517">
        <v>37590</v>
      </c>
      <c r="E1517" t="s">
        <v>120</v>
      </c>
    </row>
    <row r="1518" spans="1:5" x14ac:dyDescent="0.2">
      <c r="A1518">
        <v>1873</v>
      </c>
      <c r="B1518">
        <v>63</v>
      </c>
      <c r="C1518" t="s">
        <v>2177</v>
      </c>
      <c r="D1518">
        <v>36294</v>
      </c>
      <c r="E1518" t="s">
        <v>120</v>
      </c>
    </row>
    <row r="1519" spans="1:5" x14ac:dyDescent="0.2">
      <c r="A1519">
        <v>2916</v>
      </c>
      <c r="B1519">
        <v>7</v>
      </c>
      <c r="C1519" t="s">
        <v>2178</v>
      </c>
      <c r="D1519">
        <v>36613</v>
      </c>
      <c r="E1519" t="s">
        <v>1330</v>
      </c>
    </row>
    <row r="1520" spans="1:5" x14ac:dyDescent="0.2">
      <c r="A1520">
        <v>2290</v>
      </c>
      <c r="B1520">
        <v>36</v>
      </c>
      <c r="C1520" t="s">
        <v>2179</v>
      </c>
      <c r="D1520">
        <v>36427</v>
      </c>
      <c r="E1520" t="s">
        <v>166</v>
      </c>
    </row>
    <row r="1521" spans="1:5" x14ac:dyDescent="0.2">
      <c r="A1521">
        <v>1778</v>
      </c>
      <c r="B1521">
        <v>74</v>
      </c>
      <c r="C1521" t="s">
        <v>838</v>
      </c>
      <c r="D1521">
        <v>36816</v>
      </c>
      <c r="E1521" t="s">
        <v>179</v>
      </c>
    </row>
    <row r="1522" spans="1:5" x14ac:dyDescent="0.2">
      <c r="A1522">
        <v>3046</v>
      </c>
      <c r="B1522">
        <v>4</v>
      </c>
      <c r="C1522" t="s">
        <v>2180</v>
      </c>
      <c r="D1522">
        <v>37140</v>
      </c>
      <c r="E1522" t="s">
        <v>1186</v>
      </c>
    </row>
    <row r="1523" spans="1:5" x14ac:dyDescent="0.2">
      <c r="A1523">
        <v>1286</v>
      </c>
      <c r="B1523">
        <v>150</v>
      </c>
      <c r="C1523" t="s">
        <v>342</v>
      </c>
      <c r="D1523">
        <v>36438</v>
      </c>
      <c r="E1523" t="s">
        <v>1271</v>
      </c>
    </row>
    <row r="1524" spans="1:5" x14ac:dyDescent="0.2">
      <c r="A1524">
        <v>1811</v>
      </c>
      <c r="B1524">
        <v>71</v>
      </c>
      <c r="C1524" t="s">
        <v>2181</v>
      </c>
      <c r="D1524">
        <v>36890</v>
      </c>
      <c r="E1524" t="s">
        <v>120</v>
      </c>
    </row>
    <row r="1525" spans="1:5" x14ac:dyDescent="0.2">
      <c r="A1525">
        <v>1854</v>
      </c>
      <c r="B1525">
        <v>65</v>
      </c>
      <c r="C1525" t="s">
        <v>343</v>
      </c>
      <c r="D1525">
        <v>36543</v>
      </c>
      <c r="E1525" t="s">
        <v>165</v>
      </c>
    </row>
    <row r="1526" spans="1:5" x14ac:dyDescent="0.2">
      <c r="A1526">
        <v>2010</v>
      </c>
      <c r="B1526">
        <v>51</v>
      </c>
      <c r="C1526" t="s">
        <v>594</v>
      </c>
      <c r="D1526">
        <v>37303</v>
      </c>
      <c r="E1526" t="s">
        <v>165</v>
      </c>
    </row>
    <row r="1527" spans="1:5" x14ac:dyDescent="0.2">
      <c r="A1527">
        <v>2913</v>
      </c>
      <c r="B1527">
        <v>7</v>
      </c>
      <c r="C1527" t="s">
        <v>2182</v>
      </c>
      <c r="D1527">
        <v>37161</v>
      </c>
      <c r="E1527" t="s">
        <v>120</v>
      </c>
    </row>
    <row r="1528" spans="1:5" x14ac:dyDescent="0.2">
      <c r="A1528">
        <v>2437</v>
      </c>
      <c r="B1528">
        <v>28</v>
      </c>
      <c r="C1528" t="s">
        <v>595</v>
      </c>
      <c r="D1528">
        <v>36619</v>
      </c>
      <c r="E1528" t="s">
        <v>73</v>
      </c>
    </row>
    <row r="1529" spans="1:5" x14ac:dyDescent="0.2">
      <c r="A1529">
        <v>1362</v>
      </c>
      <c r="B1529">
        <v>138</v>
      </c>
      <c r="C1529" t="s">
        <v>2183</v>
      </c>
      <c r="D1529">
        <v>36524</v>
      </c>
      <c r="E1529" t="s">
        <v>1846</v>
      </c>
    </row>
    <row r="1530" spans="1:5" x14ac:dyDescent="0.2">
      <c r="A1530">
        <v>3524</v>
      </c>
      <c r="B1530">
        <v>0</v>
      </c>
      <c r="C1530" t="s">
        <v>2184</v>
      </c>
      <c r="D1530">
        <v>36830</v>
      </c>
      <c r="E1530" t="s">
        <v>139</v>
      </c>
    </row>
    <row r="1531" spans="1:5" x14ac:dyDescent="0.2">
      <c r="A1531">
        <v>2059</v>
      </c>
      <c r="B1531">
        <v>48</v>
      </c>
      <c r="C1531" t="s">
        <v>716</v>
      </c>
      <c r="D1531">
        <v>37123</v>
      </c>
      <c r="E1531" t="s">
        <v>1063</v>
      </c>
    </row>
    <row r="1532" spans="1:5" x14ac:dyDescent="0.2">
      <c r="A1532">
        <v>2616</v>
      </c>
      <c r="B1532">
        <v>19</v>
      </c>
      <c r="C1532" t="s">
        <v>344</v>
      </c>
      <c r="D1532">
        <v>36650</v>
      </c>
      <c r="E1532" t="s">
        <v>105</v>
      </c>
    </row>
    <row r="1533" spans="1:5" x14ac:dyDescent="0.2">
      <c r="A1533">
        <v>3038</v>
      </c>
      <c r="B1533">
        <v>4</v>
      </c>
      <c r="C1533" t="s">
        <v>2185</v>
      </c>
      <c r="D1533">
        <v>37617</v>
      </c>
      <c r="E1533" t="s">
        <v>109</v>
      </c>
    </row>
    <row r="1534" spans="1:5" x14ac:dyDescent="0.2">
      <c r="A1534">
        <v>3268</v>
      </c>
      <c r="B1534">
        <v>0</v>
      </c>
      <c r="C1534" t="s">
        <v>2186</v>
      </c>
      <c r="D1534">
        <v>37663</v>
      </c>
      <c r="E1534" t="s">
        <v>1145</v>
      </c>
    </row>
    <row r="1535" spans="1:5" x14ac:dyDescent="0.2">
      <c r="A1535">
        <v>1790</v>
      </c>
      <c r="B1535">
        <v>73</v>
      </c>
      <c r="C1535" t="s">
        <v>412</v>
      </c>
      <c r="D1535">
        <v>36526</v>
      </c>
      <c r="E1535" t="s">
        <v>133</v>
      </c>
    </row>
    <row r="1536" spans="1:5" x14ac:dyDescent="0.2">
      <c r="A1536">
        <v>3270</v>
      </c>
      <c r="B1536">
        <v>0</v>
      </c>
      <c r="C1536" t="s">
        <v>2187</v>
      </c>
      <c r="D1536">
        <v>36748</v>
      </c>
      <c r="E1536" t="s">
        <v>127</v>
      </c>
    </row>
    <row r="1537" spans="1:5" x14ac:dyDescent="0.2">
      <c r="A1537">
        <v>3422</v>
      </c>
      <c r="B1537">
        <v>0</v>
      </c>
      <c r="C1537" t="s">
        <v>2188</v>
      </c>
      <c r="D1537">
        <v>36505</v>
      </c>
      <c r="E1537" t="s">
        <v>1089</v>
      </c>
    </row>
    <row r="1538" spans="1:5" x14ac:dyDescent="0.2">
      <c r="A1538">
        <v>3529</v>
      </c>
      <c r="B1538">
        <v>0</v>
      </c>
      <c r="C1538" t="s">
        <v>2189</v>
      </c>
      <c r="D1538">
        <v>36872</v>
      </c>
      <c r="E1538" t="s">
        <v>105</v>
      </c>
    </row>
    <row r="1539" spans="1:5" x14ac:dyDescent="0.2">
      <c r="A1539">
        <v>3510</v>
      </c>
      <c r="B1539">
        <v>0</v>
      </c>
      <c r="C1539" t="s">
        <v>2190</v>
      </c>
      <c r="D1539">
        <v>36654</v>
      </c>
      <c r="E1539" t="s">
        <v>105</v>
      </c>
    </row>
    <row r="1540" spans="1:5" x14ac:dyDescent="0.2">
      <c r="A1540">
        <v>1741</v>
      </c>
      <c r="B1540">
        <v>77</v>
      </c>
      <c r="C1540" t="s">
        <v>596</v>
      </c>
      <c r="D1540">
        <v>36243</v>
      </c>
      <c r="E1540" t="s">
        <v>72</v>
      </c>
    </row>
    <row r="1541" spans="1:5" x14ac:dyDescent="0.2">
      <c r="A1541">
        <v>2718</v>
      </c>
      <c r="B1541">
        <v>14</v>
      </c>
      <c r="C1541" t="s">
        <v>2191</v>
      </c>
      <c r="D1541">
        <v>36451</v>
      </c>
      <c r="E1541" t="s">
        <v>74</v>
      </c>
    </row>
    <row r="1542" spans="1:5" x14ac:dyDescent="0.2">
      <c r="A1542">
        <v>2648</v>
      </c>
      <c r="B1542">
        <v>18</v>
      </c>
      <c r="C1542" t="s">
        <v>345</v>
      </c>
      <c r="D1542">
        <v>37117</v>
      </c>
      <c r="E1542" t="s">
        <v>213</v>
      </c>
    </row>
    <row r="1543" spans="1:5" x14ac:dyDescent="0.2">
      <c r="A1543">
        <v>1449</v>
      </c>
      <c r="B1543">
        <v>122</v>
      </c>
      <c r="C1543" t="s">
        <v>839</v>
      </c>
      <c r="D1543">
        <v>37100</v>
      </c>
      <c r="E1543" t="s">
        <v>147</v>
      </c>
    </row>
    <row r="1544" spans="1:5" x14ac:dyDescent="0.2">
      <c r="A1544">
        <v>2243</v>
      </c>
      <c r="B1544">
        <v>38</v>
      </c>
      <c r="C1544" t="s">
        <v>2192</v>
      </c>
      <c r="D1544">
        <v>36630</v>
      </c>
      <c r="E1544" t="s">
        <v>105</v>
      </c>
    </row>
    <row r="1545" spans="1:5" x14ac:dyDescent="0.2">
      <c r="A1545">
        <v>3605</v>
      </c>
      <c r="B1545">
        <v>0</v>
      </c>
      <c r="C1545" t="s">
        <v>2193</v>
      </c>
      <c r="D1545">
        <v>37159</v>
      </c>
      <c r="E1545" t="s">
        <v>1089</v>
      </c>
    </row>
    <row r="1546" spans="1:5" x14ac:dyDescent="0.2">
      <c r="A1546">
        <v>3178</v>
      </c>
      <c r="B1546">
        <v>1</v>
      </c>
      <c r="C1546" t="s">
        <v>2194</v>
      </c>
      <c r="D1546">
        <v>36330</v>
      </c>
      <c r="E1546" t="s">
        <v>105</v>
      </c>
    </row>
    <row r="1547" spans="1:5" x14ac:dyDescent="0.2">
      <c r="A1547">
        <v>2407</v>
      </c>
      <c r="B1547">
        <v>30</v>
      </c>
      <c r="C1547" t="s">
        <v>2195</v>
      </c>
      <c r="D1547">
        <v>36301</v>
      </c>
      <c r="E1547" t="s">
        <v>208</v>
      </c>
    </row>
    <row r="1548" spans="1:5" x14ac:dyDescent="0.2">
      <c r="A1548">
        <v>2117</v>
      </c>
      <c r="B1548">
        <v>45</v>
      </c>
      <c r="C1548" t="s">
        <v>413</v>
      </c>
      <c r="D1548">
        <v>36885</v>
      </c>
      <c r="E1548" t="s">
        <v>105</v>
      </c>
    </row>
    <row r="1549" spans="1:5" x14ac:dyDescent="0.2">
      <c r="A1549">
        <v>1006</v>
      </c>
      <c r="B1549">
        <v>220</v>
      </c>
      <c r="C1549" t="s">
        <v>346</v>
      </c>
      <c r="D1549">
        <v>36225</v>
      </c>
      <c r="E1549" t="s">
        <v>1078</v>
      </c>
    </row>
    <row r="1550" spans="1:5" x14ac:dyDescent="0.2">
      <c r="A1550">
        <v>2971</v>
      </c>
      <c r="B1550">
        <v>5</v>
      </c>
      <c r="C1550" t="s">
        <v>2196</v>
      </c>
      <c r="D1550">
        <v>36455</v>
      </c>
      <c r="E1550" t="s">
        <v>110</v>
      </c>
    </row>
    <row r="1551" spans="1:5" x14ac:dyDescent="0.2">
      <c r="A1551">
        <v>3259</v>
      </c>
      <c r="B1551">
        <v>0</v>
      </c>
      <c r="C1551" t="s">
        <v>2197</v>
      </c>
      <c r="D1551">
        <v>36695</v>
      </c>
      <c r="E1551" t="s">
        <v>2198</v>
      </c>
    </row>
    <row r="1552" spans="1:5" x14ac:dyDescent="0.2">
      <c r="A1552">
        <v>3273</v>
      </c>
      <c r="B1552">
        <v>0</v>
      </c>
      <c r="C1552" t="s">
        <v>2199</v>
      </c>
      <c r="D1552">
        <v>36695</v>
      </c>
      <c r="E1552" t="s">
        <v>2198</v>
      </c>
    </row>
    <row r="1553" spans="1:5" x14ac:dyDescent="0.2">
      <c r="A1553">
        <v>1014</v>
      </c>
      <c r="B1553">
        <v>216</v>
      </c>
      <c r="C1553" t="s">
        <v>347</v>
      </c>
      <c r="D1553">
        <v>36923</v>
      </c>
      <c r="E1553" t="s">
        <v>105</v>
      </c>
    </row>
    <row r="1554" spans="1:5" x14ac:dyDescent="0.2">
      <c r="A1554">
        <v>1153</v>
      </c>
      <c r="B1554">
        <v>178</v>
      </c>
      <c r="C1554" t="s">
        <v>597</v>
      </c>
      <c r="D1554">
        <v>36683</v>
      </c>
      <c r="E1554" t="s">
        <v>1069</v>
      </c>
    </row>
    <row r="1555" spans="1:5" x14ac:dyDescent="0.2">
      <c r="A1555">
        <v>1555</v>
      </c>
      <c r="B1555">
        <v>102</v>
      </c>
      <c r="C1555" t="s">
        <v>2200</v>
      </c>
      <c r="D1555">
        <v>36290</v>
      </c>
      <c r="E1555" t="s">
        <v>1519</v>
      </c>
    </row>
    <row r="1556" spans="1:5" x14ac:dyDescent="0.2">
      <c r="A1556">
        <v>2207</v>
      </c>
      <c r="B1556">
        <v>40</v>
      </c>
      <c r="C1556" t="s">
        <v>2201</v>
      </c>
      <c r="D1556">
        <v>37109</v>
      </c>
      <c r="E1556" t="s">
        <v>137</v>
      </c>
    </row>
    <row r="1557" spans="1:5" x14ac:dyDescent="0.2">
      <c r="A1557">
        <v>2972</v>
      </c>
      <c r="B1557">
        <v>5</v>
      </c>
      <c r="C1557" t="s">
        <v>2202</v>
      </c>
      <c r="D1557">
        <v>37105</v>
      </c>
      <c r="E1557" t="s">
        <v>118</v>
      </c>
    </row>
    <row r="1558" spans="1:5" x14ac:dyDescent="0.2">
      <c r="A1558">
        <v>2912</v>
      </c>
      <c r="B1558">
        <v>7</v>
      </c>
      <c r="C1558" t="s">
        <v>2203</v>
      </c>
      <c r="D1558">
        <v>36686</v>
      </c>
      <c r="E1558" t="s">
        <v>105</v>
      </c>
    </row>
    <row r="1559" spans="1:5" x14ac:dyDescent="0.2">
      <c r="A1559">
        <v>3229</v>
      </c>
      <c r="B1559">
        <v>0</v>
      </c>
      <c r="C1559" t="s">
        <v>2204</v>
      </c>
      <c r="D1559">
        <v>36194</v>
      </c>
      <c r="E1559" t="s">
        <v>1603</v>
      </c>
    </row>
    <row r="1560" spans="1:5" x14ac:dyDescent="0.2">
      <c r="A1560">
        <v>2600</v>
      </c>
      <c r="B1560">
        <v>20</v>
      </c>
      <c r="C1560" t="s">
        <v>2205</v>
      </c>
      <c r="D1560">
        <v>36439</v>
      </c>
      <c r="E1560" t="s">
        <v>1286</v>
      </c>
    </row>
    <row r="1561" spans="1:5" x14ac:dyDescent="0.2">
      <c r="A1561">
        <v>2791</v>
      </c>
      <c r="B1561">
        <v>12</v>
      </c>
      <c r="C1561" t="s">
        <v>2206</v>
      </c>
      <c r="D1561">
        <v>37152</v>
      </c>
      <c r="E1561" t="s">
        <v>2018</v>
      </c>
    </row>
    <row r="1562" spans="1:5" x14ac:dyDescent="0.2">
      <c r="A1562">
        <v>1108</v>
      </c>
      <c r="B1562">
        <v>188</v>
      </c>
      <c r="C1562" t="s">
        <v>348</v>
      </c>
      <c r="D1562">
        <v>36190</v>
      </c>
      <c r="E1562" t="s">
        <v>1121</v>
      </c>
    </row>
    <row r="1563" spans="1:5" x14ac:dyDescent="0.2">
      <c r="A1563">
        <v>2079</v>
      </c>
      <c r="B1563">
        <v>47</v>
      </c>
      <c r="C1563" t="s">
        <v>840</v>
      </c>
      <c r="D1563">
        <v>37517</v>
      </c>
      <c r="E1563" t="s">
        <v>105</v>
      </c>
    </row>
    <row r="1564" spans="1:5" x14ac:dyDescent="0.2">
      <c r="A1564">
        <v>2659</v>
      </c>
      <c r="B1564">
        <v>17</v>
      </c>
      <c r="C1564" t="s">
        <v>2207</v>
      </c>
      <c r="D1564">
        <v>37390</v>
      </c>
      <c r="E1564" t="s">
        <v>99</v>
      </c>
    </row>
    <row r="1565" spans="1:5" x14ac:dyDescent="0.2">
      <c r="A1565">
        <v>2666</v>
      </c>
      <c r="B1565">
        <v>17</v>
      </c>
      <c r="C1565" t="s">
        <v>2208</v>
      </c>
      <c r="D1565">
        <v>37544</v>
      </c>
      <c r="E1565" t="s">
        <v>105</v>
      </c>
    </row>
    <row r="1566" spans="1:5" x14ac:dyDescent="0.2">
      <c r="A1566">
        <v>2276</v>
      </c>
      <c r="B1566">
        <v>37</v>
      </c>
      <c r="C1566" t="s">
        <v>2209</v>
      </c>
      <c r="D1566">
        <v>36170</v>
      </c>
      <c r="E1566" t="s">
        <v>1121</v>
      </c>
    </row>
    <row r="1567" spans="1:5" x14ac:dyDescent="0.2">
      <c r="A1567">
        <v>1716</v>
      </c>
      <c r="B1567">
        <v>82</v>
      </c>
      <c r="C1567" t="s">
        <v>2210</v>
      </c>
      <c r="D1567">
        <v>36585</v>
      </c>
      <c r="E1567" t="s">
        <v>1069</v>
      </c>
    </row>
    <row r="1568" spans="1:5" x14ac:dyDescent="0.2">
      <c r="A1568">
        <v>3193</v>
      </c>
      <c r="B1568">
        <v>0</v>
      </c>
      <c r="C1568" t="s">
        <v>349</v>
      </c>
      <c r="D1568">
        <v>36801</v>
      </c>
      <c r="E1568" t="s">
        <v>105</v>
      </c>
    </row>
    <row r="1569" spans="1:5" x14ac:dyDescent="0.2">
      <c r="A1569">
        <v>3184</v>
      </c>
      <c r="B1569">
        <v>1</v>
      </c>
      <c r="C1569" t="s">
        <v>2211</v>
      </c>
      <c r="D1569">
        <v>36874</v>
      </c>
      <c r="E1569" t="s">
        <v>154</v>
      </c>
    </row>
    <row r="1570" spans="1:5" x14ac:dyDescent="0.2">
      <c r="A1570">
        <v>3023</v>
      </c>
      <c r="B1570">
        <v>4</v>
      </c>
      <c r="C1570" t="s">
        <v>2212</v>
      </c>
      <c r="D1570">
        <v>37653</v>
      </c>
      <c r="E1570" t="s">
        <v>99</v>
      </c>
    </row>
    <row r="1571" spans="1:5" x14ac:dyDescent="0.2">
      <c r="A1571">
        <v>3183</v>
      </c>
      <c r="B1571">
        <v>1</v>
      </c>
      <c r="C1571" t="s">
        <v>2213</v>
      </c>
      <c r="D1571">
        <v>37585</v>
      </c>
      <c r="E1571" t="s">
        <v>113</v>
      </c>
    </row>
    <row r="1572" spans="1:5" x14ac:dyDescent="0.2">
      <c r="A1572">
        <v>2559</v>
      </c>
      <c r="B1572">
        <v>22</v>
      </c>
      <c r="C1572" t="s">
        <v>350</v>
      </c>
      <c r="D1572">
        <v>36634</v>
      </c>
      <c r="E1572" t="s">
        <v>105</v>
      </c>
    </row>
    <row r="1573" spans="1:5" x14ac:dyDescent="0.2">
      <c r="A1573">
        <v>3286</v>
      </c>
      <c r="B1573">
        <v>0</v>
      </c>
      <c r="C1573" t="s">
        <v>2214</v>
      </c>
      <c r="D1573">
        <v>36910</v>
      </c>
      <c r="E1573" t="s">
        <v>1214</v>
      </c>
    </row>
    <row r="1574" spans="1:5" x14ac:dyDescent="0.2">
      <c r="A1574">
        <v>2140</v>
      </c>
      <c r="B1574">
        <v>44</v>
      </c>
      <c r="C1574" t="s">
        <v>351</v>
      </c>
      <c r="D1574">
        <v>36557</v>
      </c>
      <c r="E1574" t="s">
        <v>165</v>
      </c>
    </row>
    <row r="1575" spans="1:5" x14ac:dyDescent="0.2">
      <c r="A1575">
        <v>3067</v>
      </c>
      <c r="B1575">
        <v>3</v>
      </c>
      <c r="C1575" t="s">
        <v>2215</v>
      </c>
      <c r="D1575">
        <v>37239</v>
      </c>
      <c r="E1575" t="s">
        <v>1192</v>
      </c>
    </row>
    <row r="1576" spans="1:5" x14ac:dyDescent="0.2">
      <c r="A1576">
        <v>1679</v>
      </c>
      <c r="B1576">
        <v>86</v>
      </c>
      <c r="C1576" t="s">
        <v>2216</v>
      </c>
      <c r="D1576">
        <v>37168</v>
      </c>
      <c r="E1576" t="s">
        <v>74</v>
      </c>
    </row>
    <row r="1577" spans="1:5" x14ac:dyDescent="0.2">
      <c r="A1577">
        <v>2621</v>
      </c>
      <c r="B1577">
        <v>19</v>
      </c>
      <c r="C1577" t="s">
        <v>2217</v>
      </c>
      <c r="D1577">
        <v>36947</v>
      </c>
      <c r="E1577" t="s">
        <v>120</v>
      </c>
    </row>
    <row r="1578" spans="1:5" x14ac:dyDescent="0.2">
      <c r="A1578">
        <v>2759</v>
      </c>
      <c r="B1578">
        <v>13</v>
      </c>
      <c r="C1578" t="s">
        <v>2218</v>
      </c>
      <c r="D1578">
        <v>37527</v>
      </c>
      <c r="E1578" t="s">
        <v>120</v>
      </c>
    </row>
    <row r="1579" spans="1:5" x14ac:dyDescent="0.2">
      <c r="A1579">
        <v>3533</v>
      </c>
      <c r="B1579">
        <v>0</v>
      </c>
      <c r="C1579" t="s">
        <v>2219</v>
      </c>
      <c r="D1579">
        <v>37236</v>
      </c>
      <c r="E1579" t="s">
        <v>105</v>
      </c>
    </row>
    <row r="1580" spans="1:5" x14ac:dyDescent="0.2">
      <c r="A1580">
        <v>3084</v>
      </c>
      <c r="B1580">
        <v>3</v>
      </c>
      <c r="C1580" t="s">
        <v>2220</v>
      </c>
      <c r="D1580">
        <v>36900</v>
      </c>
      <c r="E1580" t="s">
        <v>120</v>
      </c>
    </row>
    <row r="1581" spans="1:5" x14ac:dyDescent="0.2">
      <c r="A1581">
        <v>2364</v>
      </c>
      <c r="B1581">
        <v>32</v>
      </c>
      <c r="C1581" t="s">
        <v>2221</v>
      </c>
      <c r="D1581">
        <v>37274</v>
      </c>
      <c r="E1581" t="s">
        <v>1069</v>
      </c>
    </row>
    <row r="1582" spans="1:5" x14ac:dyDescent="0.2">
      <c r="A1582">
        <v>1136</v>
      </c>
      <c r="B1582">
        <v>182</v>
      </c>
      <c r="C1582" t="s">
        <v>414</v>
      </c>
      <c r="D1582">
        <v>36570</v>
      </c>
      <c r="E1582" t="s">
        <v>1186</v>
      </c>
    </row>
    <row r="1583" spans="1:5" x14ac:dyDescent="0.2">
      <c r="A1583">
        <v>3097</v>
      </c>
      <c r="B1583">
        <v>2</v>
      </c>
      <c r="C1583" t="s">
        <v>2222</v>
      </c>
      <c r="D1583">
        <v>37617</v>
      </c>
      <c r="E1583" t="s">
        <v>99</v>
      </c>
    </row>
    <row r="1584" spans="1:5" x14ac:dyDescent="0.2">
      <c r="A1584">
        <v>3456</v>
      </c>
      <c r="B1584">
        <v>0</v>
      </c>
      <c r="C1584" t="s">
        <v>2223</v>
      </c>
      <c r="D1584">
        <v>36820</v>
      </c>
      <c r="E1584" t="s">
        <v>290</v>
      </c>
    </row>
    <row r="1585" spans="1:5" x14ac:dyDescent="0.2">
      <c r="A1585">
        <v>3384</v>
      </c>
      <c r="B1585">
        <v>0</v>
      </c>
      <c r="C1585" t="s">
        <v>2224</v>
      </c>
      <c r="D1585">
        <v>36892</v>
      </c>
      <c r="E1585" t="s">
        <v>1485</v>
      </c>
    </row>
    <row r="1586" spans="1:5" x14ac:dyDescent="0.2">
      <c r="A1586">
        <v>1824</v>
      </c>
      <c r="B1586">
        <v>70</v>
      </c>
      <c r="C1586" t="s">
        <v>841</v>
      </c>
      <c r="D1586">
        <v>36215</v>
      </c>
      <c r="E1586" t="s">
        <v>109</v>
      </c>
    </row>
    <row r="1587" spans="1:5" x14ac:dyDescent="0.2">
      <c r="A1587">
        <v>3054</v>
      </c>
      <c r="B1587">
        <v>4</v>
      </c>
      <c r="C1587" t="s">
        <v>2225</v>
      </c>
      <c r="D1587">
        <v>37185</v>
      </c>
      <c r="E1587" t="s">
        <v>105</v>
      </c>
    </row>
    <row r="1588" spans="1:5" x14ac:dyDescent="0.2">
      <c r="A1588">
        <v>2186</v>
      </c>
      <c r="B1588">
        <v>42</v>
      </c>
      <c r="C1588" t="s">
        <v>598</v>
      </c>
      <c r="D1588">
        <v>36526</v>
      </c>
      <c r="E1588" t="s">
        <v>1099</v>
      </c>
    </row>
    <row r="1589" spans="1:5" x14ac:dyDescent="0.2">
      <c r="A1589">
        <v>3092</v>
      </c>
      <c r="B1589">
        <v>3</v>
      </c>
      <c r="C1589" t="s">
        <v>2226</v>
      </c>
      <c r="D1589">
        <v>36638</v>
      </c>
      <c r="E1589" t="s">
        <v>165</v>
      </c>
    </row>
    <row r="1590" spans="1:5" x14ac:dyDescent="0.2">
      <c r="A1590">
        <v>2883</v>
      </c>
      <c r="B1590">
        <v>8</v>
      </c>
      <c r="C1590" t="s">
        <v>2227</v>
      </c>
      <c r="D1590">
        <v>36225</v>
      </c>
      <c r="E1590" t="s">
        <v>127</v>
      </c>
    </row>
    <row r="1591" spans="1:5" x14ac:dyDescent="0.2">
      <c r="A1591">
        <v>2962</v>
      </c>
      <c r="B1591">
        <v>5</v>
      </c>
      <c r="C1591" t="s">
        <v>717</v>
      </c>
      <c r="D1591">
        <v>37019</v>
      </c>
      <c r="E1591" t="s">
        <v>99</v>
      </c>
    </row>
    <row r="1592" spans="1:5" x14ac:dyDescent="0.2">
      <c r="A1592">
        <v>1723</v>
      </c>
      <c r="B1592">
        <v>81</v>
      </c>
      <c r="C1592" t="s">
        <v>352</v>
      </c>
      <c r="D1592">
        <v>36516</v>
      </c>
      <c r="E1592" t="s">
        <v>165</v>
      </c>
    </row>
    <row r="1593" spans="1:5" x14ac:dyDescent="0.2">
      <c r="A1593">
        <v>2923</v>
      </c>
      <c r="B1593">
        <v>7</v>
      </c>
      <c r="C1593" t="s">
        <v>842</v>
      </c>
      <c r="D1593">
        <v>36612</v>
      </c>
      <c r="E1593" t="s">
        <v>163</v>
      </c>
    </row>
    <row r="1594" spans="1:5" x14ac:dyDescent="0.2">
      <c r="A1594">
        <v>3373</v>
      </c>
      <c r="B1594">
        <v>0</v>
      </c>
      <c r="C1594" t="s">
        <v>2228</v>
      </c>
      <c r="D1594">
        <v>36517</v>
      </c>
      <c r="E1594" t="s">
        <v>117</v>
      </c>
    </row>
    <row r="1595" spans="1:5" x14ac:dyDescent="0.2">
      <c r="A1595">
        <v>2735</v>
      </c>
      <c r="B1595">
        <v>13</v>
      </c>
      <c r="C1595" t="s">
        <v>353</v>
      </c>
      <c r="D1595">
        <v>36831</v>
      </c>
      <c r="E1595" t="s">
        <v>163</v>
      </c>
    </row>
    <row r="1596" spans="1:5" x14ac:dyDescent="0.2">
      <c r="A1596">
        <v>2505</v>
      </c>
      <c r="B1596">
        <v>25</v>
      </c>
      <c r="C1596" t="s">
        <v>2229</v>
      </c>
      <c r="D1596">
        <v>36977</v>
      </c>
      <c r="E1596" t="s">
        <v>122</v>
      </c>
    </row>
    <row r="1597" spans="1:5" x14ac:dyDescent="0.2">
      <c r="A1597">
        <v>2891</v>
      </c>
      <c r="B1597">
        <v>8</v>
      </c>
      <c r="C1597" t="s">
        <v>2230</v>
      </c>
      <c r="D1597">
        <v>36872</v>
      </c>
      <c r="E1597" t="s">
        <v>1846</v>
      </c>
    </row>
    <row r="1598" spans="1:5" x14ac:dyDescent="0.2">
      <c r="A1598">
        <v>1990</v>
      </c>
      <c r="B1598">
        <v>53</v>
      </c>
      <c r="C1598" t="s">
        <v>2231</v>
      </c>
      <c r="D1598">
        <v>36729</v>
      </c>
      <c r="E1598" t="s">
        <v>1121</v>
      </c>
    </row>
    <row r="1599" spans="1:5" x14ac:dyDescent="0.2">
      <c r="A1599">
        <v>2977</v>
      </c>
      <c r="B1599">
        <v>5</v>
      </c>
      <c r="C1599" t="s">
        <v>2232</v>
      </c>
      <c r="D1599">
        <v>36889</v>
      </c>
      <c r="E1599" t="s">
        <v>105</v>
      </c>
    </row>
    <row r="1600" spans="1:5" x14ac:dyDescent="0.2">
      <c r="A1600">
        <v>2944</v>
      </c>
      <c r="B1600">
        <v>6</v>
      </c>
      <c r="C1600" t="s">
        <v>2233</v>
      </c>
      <c r="D1600">
        <v>36928</v>
      </c>
      <c r="E1600" t="s">
        <v>208</v>
      </c>
    </row>
    <row r="1601" spans="1:5" x14ac:dyDescent="0.2">
      <c r="A1601">
        <v>1208</v>
      </c>
      <c r="B1601">
        <v>167</v>
      </c>
      <c r="C1601" t="s">
        <v>599</v>
      </c>
      <c r="D1601">
        <v>36721</v>
      </c>
      <c r="E1601" t="s">
        <v>1069</v>
      </c>
    </row>
    <row r="1602" spans="1:5" x14ac:dyDescent="0.2">
      <c r="A1602">
        <v>2587</v>
      </c>
      <c r="B1602">
        <v>20</v>
      </c>
      <c r="C1602" t="s">
        <v>600</v>
      </c>
      <c r="D1602">
        <v>36679</v>
      </c>
      <c r="E1602" t="s">
        <v>74</v>
      </c>
    </row>
    <row r="1603" spans="1:5" x14ac:dyDescent="0.2">
      <c r="A1603">
        <v>1482</v>
      </c>
      <c r="B1603">
        <v>115</v>
      </c>
      <c r="C1603" t="s">
        <v>354</v>
      </c>
      <c r="D1603">
        <v>36463</v>
      </c>
      <c r="E1603" t="s">
        <v>165</v>
      </c>
    </row>
    <row r="1604" spans="1:5" x14ac:dyDescent="0.2">
      <c r="A1604">
        <v>1265</v>
      </c>
      <c r="B1604">
        <v>154</v>
      </c>
      <c r="C1604" t="s">
        <v>355</v>
      </c>
      <c r="D1604">
        <v>36346</v>
      </c>
      <c r="E1604" t="s">
        <v>222</v>
      </c>
    </row>
    <row r="1605" spans="1:5" x14ac:dyDescent="0.2">
      <c r="A1605">
        <v>3572</v>
      </c>
      <c r="B1605">
        <v>0</v>
      </c>
      <c r="C1605" t="s">
        <v>2234</v>
      </c>
      <c r="D1605">
        <v>37281</v>
      </c>
      <c r="E1605" t="s">
        <v>105</v>
      </c>
    </row>
    <row r="1606" spans="1:5" x14ac:dyDescent="0.2">
      <c r="A1606">
        <v>2129</v>
      </c>
      <c r="B1606">
        <v>45</v>
      </c>
      <c r="C1606" t="s">
        <v>2235</v>
      </c>
      <c r="D1606">
        <v>36847</v>
      </c>
      <c r="E1606" t="s">
        <v>105</v>
      </c>
    </row>
    <row r="1607" spans="1:5" x14ac:dyDescent="0.2">
      <c r="A1607">
        <v>3469</v>
      </c>
      <c r="B1607">
        <v>0</v>
      </c>
      <c r="C1607" t="s">
        <v>2236</v>
      </c>
      <c r="D1607">
        <v>36944</v>
      </c>
      <c r="E1607" t="s">
        <v>227</v>
      </c>
    </row>
    <row r="1608" spans="1:5" x14ac:dyDescent="0.2">
      <c r="A1608">
        <v>2045</v>
      </c>
      <c r="B1608">
        <v>49</v>
      </c>
      <c r="C1608" t="s">
        <v>2237</v>
      </c>
      <c r="D1608">
        <v>37455</v>
      </c>
      <c r="E1608" t="s">
        <v>105</v>
      </c>
    </row>
    <row r="1609" spans="1:5" x14ac:dyDescent="0.2">
      <c r="A1609">
        <v>3639</v>
      </c>
      <c r="B1609">
        <v>0</v>
      </c>
      <c r="C1609" t="s">
        <v>2238</v>
      </c>
      <c r="D1609">
        <v>37307</v>
      </c>
      <c r="E1609" t="s">
        <v>120</v>
      </c>
    </row>
    <row r="1610" spans="1:5" x14ac:dyDescent="0.2">
      <c r="A1610">
        <v>2524</v>
      </c>
      <c r="B1610">
        <v>24</v>
      </c>
      <c r="C1610" t="s">
        <v>356</v>
      </c>
      <c r="D1610">
        <v>37351</v>
      </c>
      <c r="E1610" t="s">
        <v>99</v>
      </c>
    </row>
    <row r="1611" spans="1:5" x14ac:dyDescent="0.2">
      <c r="A1611">
        <v>3300</v>
      </c>
      <c r="B1611">
        <v>0</v>
      </c>
      <c r="C1611" t="s">
        <v>2239</v>
      </c>
      <c r="D1611">
        <v>37650</v>
      </c>
      <c r="E1611" t="s">
        <v>1107</v>
      </c>
    </row>
    <row r="1612" spans="1:5" x14ac:dyDescent="0.2">
      <c r="A1612">
        <v>906</v>
      </c>
      <c r="B1612">
        <v>251</v>
      </c>
      <c r="C1612" t="s">
        <v>357</v>
      </c>
      <c r="D1612">
        <v>36298</v>
      </c>
      <c r="E1612" t="s">
        <v>120</v>
      </c>
    </row>
    <row r="1613" spans="1:5" x14ac:dyDescent="0.2">
      <c r="A1613">
        <v>1777</v>
      </c>
      <c r="B1613">
        <v>74</v>
      </c>
      <c r="C1613" t="s">
        <v>2240</v>
      </c>
      <c r="D1613">
        <v>37616</v>
      </c>
      <c r="E1613" t="s">
        <v>120</v>
      </c>
    </row>
    <row r="1614" spans="1:5" x14ac:dyDescent="0.2">
      <c r="A1614">
        <v>1724</v>
      </c>
      <c r="B1614">
        <v>81</v>
      </c>
      <c r="C1614" t="s">
        <v>718</v>
      </c>
      <c r="D1614">
        <v>36235</v>
      </c>
      <c r="E1614" t="s">
        <v>120</v>
      </c>
    </row>
    <row r="1615" spans="1:5" x14ac:dyDescent="0.2">
      <c r="A1615">
        <v>3021</v>
      </c>
      <c r="B1615">
        <v>4</v>
      </c>
      <c r="C1615" t="s">
        <v>2241</v>
      </c>
      <c r="D1615">
        <v>36956</v>
      </c>
      <c r="E1615" t="s">
        <v>115</v>
      </c>
    </row>
    <row r="1616" spans="1:5" x14ac:dyDescent="0.2">
      <c r="A1616">
        <v>3426</v>
      </c>
      <c r="B1616">
        <v>0</v>
      </c>
      <c r="C1616" t="s">
        <v>2242</v>
      </c>
      <c r="D1616">
        <v>36929</v>
      </c>
      <c r="E1616" t="s">
        <v>99</v>
      </c>
    </row>
    <row r="1617" spans="1:5" x14ac:dyDescent="0.2">
      <c r="A1617">
        <v>3492</v>
      </c>
      <c r="B1617">
        <v>0</v>
      </c>
      <c r="C1617" t="s">
        <v>2243</v>
      </c>
      <c r="D1617">
        <v>36753</v>
      </c>
      <c r="E1617" t="s">
        <v>183</v>
      </c>
    </row>
    <row r="1618" spans="1:5" x14ac:dyDescent="0.2">
      <c r="A1618">
        <v>1386</v>
      </c>
      <c r="B1618">
        <v>134</v>
      </c>
      <c r="C1618" t="s">
        <v>2244</v>
      </c>
      <c r="D1618">
        <v>36421</v>
      </c>
      <c r="E1618" t="s">
        <v>1128</v>
      </c>
    </row>
    <row r="1619" spans="1:5" x14ac:dyDescent="0.2">
      <c r="A1619">
        <v>3595</v>
      </c>
      <c r="B1619">
        <v>0</v>
      </c>
      <c r="C1619" t="s">
        <v>2245</v>
      </c>
      <c r="D1619">
        <v>37371</v>
      </c>
      <c r="E1619" t="s">
        <v>1143</v>
      </c>
    </row>
    <row r="1620" spans="1:5" x14ac:dyDescent="0.2">
      <c r="A1620">
        <v>3057</v>
      </c>
      <c r="B1620">
        <v>4</v>
      </c>
      <c r="C1620" t="s">
        <v>2246</v>
      </c>
      <c r="D1620">
        <v>36334</v>
      </c>
      <c r="E1620" t="s">
        <v>1515</v>
      </c>
    </row>
    <row r="1621" spans="1:5" x14ac:dyDescent="0.2">
      <c r="A1621">
        <v>1454</v>
      </c>
      <c r="B1621">
        <v>120</v>
      </c>
      <c r="C1621" t="s">
        <v>601</v>
      </c>
      <c r="D1621">
        <v>36794</v>
      </c>
      <c r="E1621" t="s">
        <v>1099</v>
      </c>
    </row>
    <row r="1622" spans="1:5" x14ac:dyDescent="0.2">
      <c r="A1622">
        <v>3682</v>
      </c>
      <c r="B1622">
        <v>0</v>
      </c>
      <c r="C1622" t="s">
        <v>2247</v>
      </c>
      <c r="D1622">
        <v>36734</v>
      </c>
      <c r="E1622" t="s">
        <v>111</v>
      </c>
    </row>
    <row r="1623" spans="1:5" x14ac:dyDescent="0.2">
      <c r="A1623">
        <v>3366</v>
      </c>
      <c r="B1623">
        <v>0</v>
      </c>
      <c r="C1623" t="s">
        <v>2248</v>
      </c>
      <c r="D1623">
        <v>36162</v>
      </c>
      <c r="E1623" t="s">
        <v>107</v>
      </c>
    </row>
    <row r="1624" spans="1:5" x14ac:dyDescent="0.2">
      <c r="A1624">
        <v>1910</v>
      </c>
      <c r="B1624">
        <v>59</v>
      </c>
      <c r="C1624" t="s">
        <v>602</v>
      </c>
      <c r="D1624">
        <v>36219</v>
      </c>
      <c r="E1624" t="s">
        <v>379</v>
      </c>
    </row>
    <row r="1625" spans="1:5" x14ac:dyDescent="0.2">
      <c r="A1625">
        <v>2352</v>
      </c>
      <c r="B1625">
        <v>33</v>
      </c>
      <c r="C1625" t="s">
        <v>2249</v>
      </c>
      <c r="D1625">
        <v>37186</v>
      </c>
      <c r="E1625" t="s">
        <v>137</v>
      </c>
    </row>
    <row r="1626" spans="1:5" x14ac:dyDescent="0.2">
      <c r="A1626">
        <v>2653</v>
      </c>
      <c r="B1626">
        <v>18</v>
      </c>
      <c r="C1626" t="s">
        <v>2250</v>
      </c>
      <c r="D1626">
        <v>37353</v>
      </c>
      <c r="E1626" t="s">
        <v>1580</v>
      </c>
    </row>
    <row r="1627" spans="1:5" x14ac:dyDescent="0.2">
      <c r="A1627">
        <v>2926</v>
      </c>
      <c r="B1627">
        <v>7</v>
      </c>
      <c r="C1627" t="s">
        <v>2251</v>
      </c>
      <c r="D1627">
        <v>36866</v>
      </c>
      <c r="E1627" t="s">
        <v>128</v>
      </c>
    </row>
    <row r="1628" spans="1:5" x14ac:dyDescent="0.2">
      <c r="A1628">
        <v>2332</v>
      </c>
      <c r="B1628">
        <v>33</v>
      </c>
      <c r="C1628" t="s">
        <v>603</v>
      </c>
      <c r="D1628">
        <v>36500</v>
      </c>
      <c r="E1628" t="s">
        <v>2252</v>
      </c>
    </row>
    <row r="1629" spans="1:5" x14ac:dyDescent="0.2">
      <c r="A1629">
        <v>3115</v>
      </c>
      <c r="B1629">
        <v>2</v>
      </c>
      <c r="C1629" t="s">
        <v>2253</v>
      </c>
      <c r="D1629">
        <v>37210</v>
      </c>
      <c r="E1629" t="s">
        <v>165</v>
      </c>
    </row>
    <row r="1630" spans="1:5" x14ac:dyDescent="0.2">
      <c r="A1630">
        <v>2240</v>
      </c>
      <c r="B1630">
        <v>39</v>
      </c>
      <c r="C1630" t="s">
        <v>2254</v>
      </c>
      <c r="D1630">
        <v>36612</v>
      </c>
      <c r="E1630" t="s">
        <v>2170</v>
      </c>
    </row>
    <row r="1631" spans="1:5" x14ac:dyDescent="0.2">
      <c r="A1631">
        <v>2121</v>
      </c>
      <c r="B1631">
        <v>45</v>
      </c>
      <c r="C1631" t="s">
        <v>358</v>
      </c>
      <c r="D1631">
        <v>36267</v>
      </c>
      <c r="E1631" t="s">
        <v>74</v>
      </c>
    </row>
    <row r="1632" spans="1:5" x14ac:dyDescent="0.2">
      <c r="A1632">
        <v>3471</v>
      </c>
      <c r="B1632">
        <v>0</v>
      </c>
      <c r="C1632" t="s">
        <v>2255</v>
      </c>
      <c r="D1632">
        <v>36892</v>
      </c>
      <c r="E1632" t="s">
        <v>74</v>
      </c>
    </row>
    <row r="1633" spans="1:5" x14ac:dyDescent="0.2">
      <c r="A1633">
        <v>1481</v>
      </c>
      <c r="B1633">
        <v>115</v>
      </c>
      <c r="C1633" t="s">
        <v>719</v>
      </c>
      <c r="D1633">
        <v>36829</v>
      </c>
      <c r="E1633" t="s">
        <v>114</v>
      </c>
    </row>
    <row r="1634" spans="1:5" x14ac:dyDescent="0.2">
      <c r="A1634">
        <v>3247</v>
      </c>
      <c r="B1634">
        <v>0</v>
      </c>
      <c r="C1634" t="s">
        <v>2256</v>
      </c>
      <c r="D1634">
        <v>37091</v>
      </c>
      <c r="E1634" t="s">
        <v>1502</v>
      </c>
    </row>
    <row r="1635" spans="1:5" x14ac:dyDescent="0.2">
      <c r="A1635">
        <v>3655</v>
      </c>
      <c r="B1635">
        <v>0</v>
      </c>
      <c r="C1635" t="s">
        <v>2257</v>
      </c>
      <c r="D1635">
        <v>36783</v>
      </c>
      <c r="E1635" t="s">
        <v>1234</v>
      </c>
    </row>
    <row r="1636" spans="1:5" x14ac:dyDescent="0.2">
      <c r="A1636">
        <v>2478</v>
      </c>
      <c r="B1636">
        <v>26</v>
      </c>
      <c r="C1636" t="s">
        <v>2258</v>
      </c>
      <c r="D1636">
        <v>36187</v>
      </c>
      <c r="E1636" t="s">
        <v>113</v>
      </c>
    </row>
    <row r="1637" spans="1:5" x14ac:dyDescent="0.2">
      <c r="A1637">
        <v>3254</v>
      </c>
      <c r="B1637">
        <v>0</v>
      </c>
      <c r="C1637" t="s">
        <v>2259</v>
      </c>
      <c r="D1637">
        <v>36970</v>
      </c>
      <c r="E1637" t="s">
        <v>1199</v>
      </c>
    </row>
    <row r="1638" spans="1:5" x14ac:dyDescent="0.2">
      <c r="A1638">
        <v>2179</v>
      </c>
      <c r="B1638">
        <v>42</v>
      </c>
      <c r="C1638" t="s">
        <v>720</v>
      </c>
      <c r="D1638">
        <v>36689</v>
      </c>
      <c r="E1638" t="s">
        <v>74</v>
      </c>
    </row>
    <row r="1639" spans="1:5" x14ac:dyDescent="0.2">
      <c r="A1639">
        <v>2376</v>
      </c>
      <c r="B1639">
        <v>31</v>
      </c>
      <c r="C1639" t="s">
        <v>721</v>
      </c>
      <c r="D1639">
        <v>36596</v>
      </c>
      <c r="E1639" t="s">
        <v>1063</v>
      </c>
    </row>
    <row r="1640" spans="1:5" x14ac:dyDescent="0.2">
      <c r="A1640">
        <v>1726</v>
      </c>
      <c r="B1640">
        <v>81</v>
      </c>
      <c r="C1640" t="s">
        <v>843</v>
      </c>
      <c r="D1640">
        <v>36411</v>
      </c>
      <c r="E1640" t="s">
        <v>1751</v>
      </c>
    </row>
    <row r="1641" spans="1:5" x14ac:dyDescent="0.2">
      <c r="A1641">
        <v>2405</v>
      </c>
      <c r="B1641">
        <v>30</v>
      </c>
      <c r="C1641" t="s">
        <v>2260</v>
      </c>
      <c r="D1641">
        <v>36938</v>
      </c>
      <c r="E1641" t="s">
        <v>118</v>
      </c>
    </row>
    <row r="1642" spans="1:5" x14ac:dyDescent="0.2">
      <c r="A1642">
        <v>2026</v>
      </c>
      <c r="B1642">
        <v>50</v>
      </c>
      <c r="C1642" t="s">
        <v>604</v>
      </c>
      <c r="D1642">
        <v>36918</v>
      </c>
      <c r="E1642" t="s">
        <v>105</v>
      </c>
    </row>
    <row r="1643" spans="1:5" x14ac:dyDescent="0.2">
      <c r="A1643">
        <v>2184</v>
      </c>
      <c r="B1643">
        <v>42</v>
      </c>
      <c r="C1643" t="s">
        <v>605</v>
      </c>
      <c r="D1643">
        <v>37117</v>
      </c>
      <c r="E1643" t="s">
        <v>137</v>
      </c>
    </row>
    <row r="1644" spans="1:5" x14ac:dyDescent="0.2">
      <c r="A1644">
        <v>3478</v>
      </c>
      <c r="B1644">
        <v>0</v>
      </c>
      <c r="C1644" t="s">
        <v>2261</v>
      </c>
      <c r="D1644">
        <v>37339</v>
      </c>
      <c r="E1644" t="s">
        <v>1163</v>
      </c>
    </row>
    <row r="1645" spans="1:5" x14ac:dyDescent="0.2">
      <c r="A1645">
        <v>1346</v>
      </c>
      <c r="B1645">
        <v>141</v>
      </c>
      <c r="C1645" t="s">
        <v>2262</v>
      </c>
      <c r="D1645">
        <v>36194</v>
      </c>
      <c r="E1645" t="s">
        <v>2263</v>
      </c>
    </row>
    <row r="1646" spans="1:5" x14ac:dyDescent="0.2">
      <c r="A1646">
        <v>3196</v>
      </c>
      <c r="B1646">
        <v>0</v>
      </c>
      <c r="C1646" t="s">
        <v>415</v>
      </c>
      <c r="D1646">
        <v>37146</v>
      </c>
      <c r="E1646" t="s">
        <v>1143</v>
      </c>
    </row>
    <row r="1647" spans="1:5" x14ac:dyDescent="0.2">
      <c r="A1647">
        <v>2027</v>
      </c>
      <c r="B1647">
        <v>50</v>
      </c>
      <c r="C1647" t="s">
        <v>606</v>
      </c>
      <c r="D1647">
        <v>36622</v>
      </c>
      <c r="E1647" t="s">
        <v>105</v>
      </c>
    </row>
    <row r="1648" spans="1:5" x14ac:dyDescent="0.2">
      <c r="A1648">
        <v>1431</v>
      </c>
      <c r="B1648">
        <v>127</v>
      </c>
      <c r="C1648" t="s">
        <v>844</v>
      </c>
      <c r="D1648">
        <v>36579</v>
      </c>
      <c r="E1648" t="s">
        <v>105</v>
      </c>
    </row>
    <row r="1649" spans="1:5" x14ac:dyDescent="0.2">
      <c r="A1649">
        <v>3651</v>
      </c>
      <c r="B1649">
        <v>0</v>
      </c>
      <c r="C1649" t="s">
        <v>2264</v>
      </c>
      <c r="D1649">
        <v>37350</v>
      </c>
      <c r="E1649" t="s">
        <v>120</v>
      </c>
    </row>
    <row r="1650" spans="1:5" x14ac:dyDescent="0.2">
      <c r="A1650">
        <v>3243</v>
      </c>
      <c r="B1650">
        <v>0</v>
      </c>
      <c r="C1650" t="s">
        <v>2265</v>
      </c>
      <c r="D1650">
        <v>36621</v>
      </c>
      <c r="E1650" t="s">
        <v>122</v>
      </c>
    </row>
    <row r="1651" spans="1:5" x14ac:dyDescent="0.2">
      <c r="A1651">
        <v>3444</v>
      </c>
      <c r="B1651">
        <v>0</v>
      </c>
      <c r="C1651" t="s">
        <v>2266</v>
      </c>
      <c r="D1651">
        <v>37817</v>
      </c>
      <c r="E1651" t="s">
        <v>105</v>
      </c>
    </row>
    <row r="1652" spans="1:5" x14ac:dyDescent="0.2">
      <c r="A1652">
        <v>2753</v>
      </c>
      <c r="B1652">
        <v>13</v>
      </c>
      <c r="C1652" t="s">
        <v>2267</v>
      </c>
      <c r="D1652">
        <v>36595</v>
      </c>
      <c r="E1652" t="s">
        <v>120</v>
      </c>
    </row>
    <row r="1653" spans="1:5" x14ac:dyDescent="0.2">
      <c r="A1653">
        <v>3474</v>
      </c>
      <c r="B1653">
        <v>0</v>
      </c>
      <c r="C1653" t="s">
        <v>2268</v>
      </c>
      <c r="D1653">
        <v>36892</v>
      </c>
      <c r="E1653" t="s">
        <v>120</v>
      </c>
    </row>
    <row r="1654" spans="1:5" x14ac:dyDescent="0.2">
      <c r="A1654">
        <v>2165</v>
      </c>
      <c r="B1654">
        <v>43</v>
      </c>
      <c r="C1654" t="s">
        <v>607</v>
      </c>
      <c r="D1654">
        <v>36570</v>
      </c>
      <c r="E1654" t="s">
        <v>72</v>
      </c>
    </row>
    <row r="1655" spans="1:5" x14ac:dyDescent="0.2">
      <c r="A1655">
        <v>1925</v>
      </c>
      <c r="B1655">
        <v>58</v>
      </c>
      <c r="C1655" t="s">
        <v>416</v>
      </c>
      <c r="D1655">
        <v>36601</v>
      </c>
      <c r="E1655" t="s">
        <v>1089</v>
      </c>
    </row>
    <row r="1656" spans="1:5" x14ac:dyDescent="0.2">
      <c r="A1656">
        <v>1623</v>
      </c>
      <c r="B1656">
        <v>93</v>
      </c>
      <c r="C1656" t="s">
        <v>359</v>
      </c>
      <c r="D1656">
        <v>36491</v>
      </c>
      <c r="E1656" t="s">
        <v>170</v>
      </c>
    </row>
    <row r="1657" spans="1:5" x14ac:dyDescent="0.2">
      <c r="A1657">
        <v>1640</v>
      </c>
      <c r="B1657">
        <v>91</v>
      </c>
      <c r="C1657" t="s">
        <v>2269</v>
      </c>
      <c r="D1657">
        <v>36901</v>
      </c>
      <c r="E1657" t="s">
        <v>75</v>
      </c>
    </row>
    <row r="1658" spans="1:5" x14ac:dyDescent="0.2">
      <c r="A1658">
        <v>2105</v>
      </c>
      <c r="B1658">
        <v>46</v>
      </c>
      <c r="C1658" t="s">
        <v>2270</v>
      </c>
      <c r="D1658">
        <v>36823</v>
      </c>
      <c r="E1658" t="s">
        <v>111</v>
      </c>
    </row>
    <row r="1659" spans="1:5" x14ac:dyDescent="0.2">
      <c r="A1659">
        <v>2713</v>
      </c>
      <c r="B1659">
        <v>14</v>
      </c>
      <c r="C1659" t="s">
        <v>2271</v>
      </c>
      <c r="D1659">
        <v>37111</v>
      </c>
      <c r="E1659" t="s">
        <v>120</v>
      </c>
    </row>
    <row r="1660" spans="1:5" x14ac:dyDescent="0.2">
      <c r="A1660">
        <v>1532</v>
      </c>
      <c r="B1660">
        <v>105</v>
      </c>
      <c r="C1660" t="s">
        <v>608</v>
      </c>
      <c r="D1660">
        <v>36557</v>
      </c>
      <c r="E1660" t="s">
        <v>141</v>
      </c>
    </row>
    <row r="1661" spans="1:5" x14ac:dyDescent="0.2">
      <c r="A1661">
        <v>2997</v>
      </c>
      <c r="B1661">
        <v>5</v>
      </c>
      <c r="C1661" t="s">
        <v>2272</v>
      </c>
      <c r="D1661">
        <v>37183</v>
      </c>
      <c r="E1661" t="s">
        <v>120</v>
      </c>
    </row>
    <row r="1662" spans="1:5" x14ac:dyDescent="0.2">
      <c r="A1662">
        <v>2900</v>
      </c>
      <c r="B1662">
        <v>8</v>
      </c>
      <c r="C1662" t="s">
        <v>2273</v>
      </c>
      <c r="D1662">
        <v>37183</v>
      </c>
      <c r="E1662" t="s">
        <v>120</v>
      </c>
    </row>
    <row r="1663" spans="1:5" x14ac:dyDescent="0.2">
      <c r="A1663">
        <v>2877</v>
      </c>
      <c r="B1663">
        <v>8</v>
      </c>
      <c r="C1663" t="s">
        <v>2274</v>
      </c>
      <c r="D1663">
        <v>36993</v>
      </c>
      <c r="E1663" t="s">
        <v>99</v>
      </c>
    </row>
    <row r="1664" spans="1:5" x14ac:dyDescent="0.2">
      <c r="A1664">
        <v>1649</v>
      </c>
      <c r="B1664">
        <v>90</v>
      </c>
      <c r="C1664" t="s">
        <v>2275</v>
      </c>
      <c r="D1664">
        <v>36907</v>
      </c>
      <c r="E1664" t="s">
        <v>1121</v>
      </c>
    </row>
    <row r="1665" spans="1:5" x14ac:dyDescent="0.2">
      <c r="A1665">
        <v>2784</v>
      </c>
      <c r="B1665">
        <v>12</v>
      </c>
      <c r="C1665" t="s">
        <v>2276</v>
      </c>
      <c r="D1665">
        <v>36526</v>
      </c>
      <c r="E1665" t="s">
        <v>165</v>
      </c>
    </row>
    <row r="1666" spans="1:5" x14ac:dyDescent="0.2">
      <c r="A1666">
        <v>1844</v>
      </c>
      <c r="B1666">
        <v>66</v>
      </c>
      <c r="C1666" t="s">
        <v>609</v>
      </c>
      <c r="D1666">
        <v>37239</v>
      </c>
      <c r="E1666" t="s">
        <v>120</v>
      </c>
    </row>
    <row r="1667" spans="1:5" x14ac:dyDescent="0.2">
      <c r="A1667">
        <v>1009</v>
      </c>
      <c r="B1667">
        <v>218</v>
      </c>
      <c r="C1667" t="s">
        <v>610</v>
      </c>
      <c r="D1667">
        <v>36607</v>
      </c>
      <c r="E1667" t="s">
        <v>1069</v>
      </c>
    </row>
    <row r="1668" spans="1:5" x14ac:dyDescent="0.2">
      <c r="A1668">
        <v>2152</v>
      </c>
      <c r="B1668">
        <v>44</v>
      </c>
      <c r="C1668" t="s">
        <v>2277</v>
      </c>
      <c r="D1668">
        <v>36639</v>
      </c>
      <c r="E1668" t="s">
        <v>105</v>
      </c>
    </row>
    <row r="1669" spans="1:5" x14ac:dyDescent="0.2">
      <c r="A1669">
        <v>3519</v>
      </c>
      <c r="B1669">
        <v>0</v>
      </c>
      <c r="C1669" t="s">
        <v>2278</v>
      </c>
      <c r="D1669">
        <v>37451</v>
      </c>
      <c r="E1669" t="s">
        <v>113</v>
      </c>
    </row>
    <row r="1670" spans="1:5" x14ac:dyDescent="0.2">
      <c r="A1670">
        <v>3500</v>
      </c>
      <c r="B1670">
        <v>0</v>
      </c>
      <c r="C1670" t="s">
        <v>2279</v>
      </c>
      <c r="D1670">
        <v>36678</v>
      </c>
      <c r="E1670" t="s">
        <v>1191</v>
      </c>
    </row>
    <row r="1671" spans="1:5" x14ac:dyDescent="0.2">
      <c r="A1671">
        <v>1200</v>
      </c>
      <c r="B1671">
        <v>168</v>
      </c>
      <c r="C1671" t="s">
        <v>360</v>
      </c>
      <c r="D1671">
        <v>36258</v>
      </c>
      <c r="E1671" t="s">
        <v>163</v>
      </c>
    </row>
    <row r="1672" spans="1:5" x14ac:dyDescent="0.2">
      <c r="A1672">
        <v>3129</v>
      </c>
      <c r="B1672">
        <v>2</v>
      </c>
      <c r="C1672" t="s">
        <v>2280</v>
      </c>
      <c r="D1672">
        <v>37103</v>
      </c>
      <c r="E1672" t="s">
        <v>1143</v>
      </c>
    </row>
    <row r="1673" spans="1:5" x14ac:dyDescent="0.2">
      <c r="A1673">
        <v>3371</v>
      </c>
      <c r="B1673">
        <v>0</v>
      </c>
      <c r="C1673" t="s">
        <v>2281</v>
      </c>
      <c r="D1673">
        <v>36432</v>
      </c>
      <c r="E1673" t="s">
        <v>1394</v>
      </c>
    </row>
    <row r="1674" spans="1:5" x14ac:dyDescent="0.2">
      <c r="A1674">
        <v>2042</v>
      </c>
      <c r="B1674">
        <v>49</v>
      </c>
      <c r="C1674" t="s">
        <v>722</v>
      </c>
      <c r="D1674">
        <v>36971</v>
      </c>
      <c r="E1674" t="s">
        <v>180</v>
      </c>
    </row>
    <row r="1675" spans="1:5" x14ac:dyDescent="0.2">
      <c r="A1675">
        <v>1812</v>
      </c>
      <c r="B1675">
        <v>71</v>
      </c>
      <c r="C1675" t="s">
        <v>2282</v>
      </c>
      <c r="D1675">
        <v>36313</v>
      </c>
      <c r="E1675" t="s">
        <v>1132</v>
      </c>
    </row>
    <row r="1676" spans="1:5" x14ac:dyDescent="0.2">
      <c r="A1676">
        <v>1913</v>
      </c>
      <c r="B1676">
        <v>59</v>
      </c>
      <c r="C1676" t="s">
        <v>845</v>
      </c>
      <c r="D1676">
        <v>37048</v>
      </c>
      <c r="E1676" t="s">
        <v>120</v>
      </c>
    </row>
    <row r="1677" spans="1:5" x14ac:dyDescent="0.2">
      <c r="A1677">
        <v>2638</v>
      </c>
      <c r="B1677">
        <v>18</v>
      </c>
      <c r="C1677" t="s">
        <v>611</v>
      </c>
      <c r="D1677">
        <v>36805</v>
      </c>
      <c r="E1677" t="s">
        <v>200</v>
      </c>
    </row>
    <row r="1678" spans="1:5" x14ac:dyDescent="0.2">
      <c r="A1678">
        <v>2881</v>
      </c>
      <c r="B1678">
        <v>8</v>
      </c>
      <c r="C1678" t="s">
        <v>361</v>
      </c>
      <c r="D1678">
        <v>36236</v>
      </c>
      <c r="E1678" t="s">
        <v>117</v>
      </c>
    </row>
    <row r="1679" spans="1:5" x14ac:dyDescent="0.2">
      <c r="A1679">
        <v>3620</v>
      </c>
      <c r="B1679">
        <v>0</v>
      </c>
      <c r="C1679" t="s">
        <v>2283</v>
      </c>
      <c r="D1679">
        <v>36202</v>
      </c>
      <c r="E1679" t="s">
        <v>120</v>
      </c>
    </row>
    <row r="1680" spans="1:5" x14ac:dyDescent="0.2">
      <c r="A1680">
        <v>1604</v>
      </c>
      <c r="B1680">
        <v>95</v>
      </c>
      <c r="C1680" t="s">
        <v>362</v>
      </c>
      <c r="D1680">
        <v>36627</v>
      </c>
      <c r="E1680" t="s">
        <v>1143</v>
      </c>
    </row>
    <row r="1681" spans="1:5" x14ac:dyDescent="0.2">
      <c r="A1681">
        <v>1509</v>
      </c>
      <c r="B1681">
        <v>111</v>
      </c>
      <c r="C1681" t="s">
        <v>846</v>
      </c>
      <c r="D1681">
        <v>36193</v>
      </c>
      <c r="E1681" t="s">
        <v>1751</v>
      </c>
    </row>
    <row r="1682" spans="1:5" x14ac:dyDescent="0.2">
      <c r="A1682">
        <v>1706</v>
      </c>
      <c r="B1682">
        <v>83</v>
      </c>
      <c r="C1682" t="s">
        <v>2284</v>
      </c>
      <c r="D1682">
        <v>36751</v>
      </c>
      <c r="E1682" t="s">
        <v>148</v>
      </c>
    </row>
    <row r="1683" spans="1:5" x14ac:dyDescent="0.2">
      <c r="A1683">
        <v>2922</v>
      </c>
      <c r="B1683">
        <v>7</v>
      </c>
      <c r="C1683" t="s">
        <v>2285</v>
      </c>
      <c r="D1683">
        <v>36633</v>
      </c>
      <c r="E1683" t="s">
        <v>2286</v>
      </c>
    </row>
    <row r="1684" spans="1:5" x14ac:dyDescent="0.2">
      <c r="A1684">
        <v>2456</v>
      </c>
      <c r="B1684">
        <v>27</v>
      </c>
      <c r="C1684" t="s">
        <v>2287</v>
      </c>
      <c r="D1684">
        <v>36344</v>
      </c>
      <c r="E1684" t="s">
        <v>1354</v>
      </c>
    </row>
    <row r="1685" spans="1:5" x14ac:dyDescent="0.2">
      <c r="A1685">
        <v>1664</v>
      </c>
      <c r="B1685">
        <v>87</v>
      </c>
      <c r="C1685" t="s">
        <v>612</v>
      </c>
      <c r="D1685">
        <v>36712</v>
      </c>
      <c r="E1685" t="s">
        <v>119</v>
      </c>
    </row>
    <row r="1686" spans="1:5" x14ac:dyDescent="0.2">
      <c r="A1686">
        <v>2078</v>
      </c>
      <c r="B1686">
        <v>47</v>
      </c>
      <c r="C1686" t="s">
        <v>2288</v>
      </c>
      <c r="D1686">
        <v>37036</v>
      </c>
      <c r="E1686" t="s">
        <v>1089</v>
      </c>
    </row>
    <row r="1687" spans="1:5" x14ac:dyDescent="0.2">
      <c r="A1687">
        <v>2598</v>
      </c>
      <c r="B1687">
        <v>20</v>
      </c>
      <c r="C1687" t="s">
        <v>2289</v>
      </c>
      <c r="D1687">
        <v>36892</v>
      </c>
      <c r="E1687" t="s">
        <v>1089</v>
      </c>
    </row>
    <row r="1688" spans="1:5" x14ac:dyDescent="0.2">
      <c r="A1688">
        <v>2820</v>
      </c>
      <c r="B1688">
        <v>10</v>
      </c>
      <c r="C1688" t="s">
        <v>2290</v>
      </c>
      <c r="D1688">
        <v>36863</v>
      </c>
      <c r="E1688" t="s">
        <v>120</v>
      </c>
    </row>
    <row r="1689" spans="1:5" x14ac:dyDescent="0.2">
      <c r="A1689">
        <v>3354</v>
      </c>
      <c r="B1689">
        <v>0</v>
      </c>
      <c r="C1689" t="s">
        <v>2291</v>
      </c>
      <c r="D1689">
        <v>36198</v>
      </c>
      <c r="E1689" t="s">
        <v>1247</v>
      </c>
    </row>
    <row r="1690" spans="1:5" x14ac:dyDescent="0.2">
      <c r="A1690">
        <v>3224</v>
      </c>
      <c r="B1690">
        <v>0</v>
      </c>
      <c r="C1690" t="s">
        <v>2292</v>
      </c>
      <c r="D1690">
        <v>37299</v>
      </c>
      <c r="E1690" t="s">
        <v>118</v>
      </c>
    </row>
    <row r="1691" spans="1:5" x14ac:dyDescent="0.2">
      <c r="A1691">
        <v>2269</v>
      </c>
      <c r="B1691">
        <v>37</v>
      </c>
      <c r="C1691" t="s">
        <v>847</v>
      </c>
      <c r="D1691">
        <v>36978</v>
      </c>
      <c r="E1691" t="s">
        <v>1063</v>
      </c>
    </row>
    <row r="1692" spans="1:5" x14ac:dyDescent="0.2">
      <c r="A1692">
        <v>2610</v>
      </c>
      <c r="B1692">
        <v>19</v>
      </c>
      <c r="C1692" t="s">
        <v>613</v>
      </c>
      <c r="D1692">
        <v>36578</v>
      </c>
      <c r="E1692" t="s">
        <v>614</v>
      </c>
    </row>
    <row r="1693" spans="1:5" x14ac:dyDescent="0.2">
      <c r="A1693">
        <v>3098</v>
      </c>
      <c r="B1693">
        <v>2</v>
      </c>
      <c r="C1693" t="s">
        <v>2293</v>
      </c>
      <c r="D1693">
        <v>37257</v>
      </c>
      <c r="E1693" t="s">
        <v>165</v>
      </c>
    </row>
    <row r="1694" spans="1:5" x14ac:dyDescent="0.2">
      <c r="A1694">
        <v>3250</v>
      </c>
      <c r="B1694">
        <v>0</v>
      </c>
      <c r="C1694" t="s">
        <v>2294</v>
      </c>
      <c r="D1694">
        <v>37246</v>
      </c>
      <c r="E1694" t="s">
        <v>170</v>
      </c>
    </row>
    <row r="1695" spans="1:5" x14ac:dyDescent="0.2">
      <c r="A1695">
        <v>3634</v>
      </c>
      <c r="B1695">
        <v>0</v>
      </c>
      <c r="C1695" t="s">
        <v>2295</v>
      </c>
      <c r="D1695">
        <v>36908</v>
      </c>
      <c r="E1695" t="s">
        <v>1121</v>
      </c>
    </row>
    <row r="1696" spans="1:5" x14ac:dyDescent="0.2">
      <c r="A1696">
        <v>1184</v>
      </c>
      <c r="B1696">
        <v>170</v>
      </c>
      <c r="C1696" t="s">
        <v>363</v>
      </c>
      <c r="D1696">
        <v>36810</v>
      </c>
      <c r="E1696" t="s">
        <v>1078</v>
      </c>
    </row>
    <row r="1697" spans="1:5" x14ac:dyDescent="0.2">
      <c r="A1697">
        <v>2726</v>
      </c>
      <c r="B1697">
        <v>14</v>
      </c>
      <c r="C1697" t="s">
        <v>2296</v>
      </c>
      <c r="D1697">
        <v>36923</v>
      </c>
      <c r="E1697" t="s">
        <v>103</v>
      </c>
    </row>
    <row r="1698" spans="1:5" x14ac:dyDescent="0.2">
      <c r="A1698">
        <v>2678</v>
      </c>
      <c r="B1698">
        <v>16</v>
      </c>
      <c r="C1698" t="s">
        <v>2297</v>
      </c>
      <c r="D1698">
        <v>36956</v>
      </c>
      <c r="E1698" t="s">
        <v>120</v>
      </c>
    </row>
    <row r="1699" spans="1:5" x14ac:dyDescent="0.2">
      <c r="A1699">
        <v>1579</v>
      </c>
      <c r="B1699">
        <v>99</v>
      </c>
      <c r="C1699" t="s">
        <v>417</v>
      </c>
      <c r="D1699">
        <v>37064</v>
      </c>
      <c r="E1699" t="s">
        <v>133</v>
      </c>
    </row>
    <row r="1700" spans="1:5" x14ac:dyDescent="0.2">
      <c r="A1700">
        <v>2472</v>
      </c>
      <c r="B1700">
        <v>26</v>
      </c>
      <c r="C1700" t="s">
        <v>615</v>
      </c>
      <c r="D1700">
        <v>36634</v>
      </c>
      <c r="E1700" t="s">
        <v>1121</v>
      </c>
    </row>
    <row r="1701" spans="1:5" x14ac:dyDescent="0.2">
      <c r="A1701">
        <v>1878</v>
      </c>
      <c r="B1701">
        <v>62</v>
      </c>
      <c r="C1701" t="s">
        <v>616</v>
      </c>
      <c r="D1701">
        <v>36730</v>
      </c>
      <c r="E1701" t="s">
        <v>1431</v>
      </c>
    </row>
    <row r="1702" spans="1:5" x14ac:dyDescent="0.2">
      <c r="A1702">
        <v>2958</v>
      </c>
      <c r="B1702">
        <v>6</v>
      </c>
      <c r="C1702" t="s">
        <v>2298</v>
      </c>
      <c r="D1702">
        <v>37311</v>
      </c>
      <c r="E1702" t="s">
        <v>72</v>
      </c>
    </row>
    <row r="1703" spans="1:5" x14ac:dyDescent="0.2">
      <c r="A1703">
        <v>1753</v>
      </c>
      <c r="B1703">
        <v>76</v>
      </c>
      <c r="C1703" t="s">
        <v>2299</v>
      </c>
      <c r="D1703">
        <v>36919</v>
      </c>
      <c r="E1703" t="s">
        <v>1121</v>
      </c>
    </row>
    <row r="1704" spans="1:5" x14ac:dyDescent="0.2">
      <c r="A1704">
        <v>1588</v>
      </c>
      <c r="B1704">
        <v>98</v>
      </c>
      <c r="C1704" t="s">
        <v>2300</v>
      </c>
      <c r="D1704">
        <v>36941</v>
      </c>
      <c r="E1704" t="s">
        <v>75</v>
      </c>
    </row>
    <row r="1705" spans="1:5" x14ac:dyDescent="0.2">
      <c r="A1705">
        <v>1547</v>
      </c>
      <c r="B1705">
        <v>103</v>
      </c>
      <c r="C1705" t="s">
        <v>2301</v>
      </c>
      <c r="D1705">
        <v>37012</v>
      </c>
      <c r="E1705" t="s">
        <v>186</v>
      </c>
    </row>
    <row r="1706" spans="1:5" x14ac:dyDescent="0.2">
      <c r="A1706">
        <v>3555</v>
      </c>
      <c r="B1706">
        <v>0</v>
      </c>
      <c r="C1706" t="s">
        <v>2302</v>
      </c>
      <c r="D1706">
        <v>36218</v>
      </c>
      <c r="E1706" t="s">
        <v>1291</v>
      </c>
    </row>
    <row r="1707" spans="1:5" x14ac:dyDescent="0.2">
      <c r="A1707">
        <v>1619</v>
      </c>
      <c r="B1707">
        <v>93</v>
      </c>
      <c r="C1707" t="s">
        <v>364</v>
      </c>
      <c r="D1707">
        <v>36364</v>
      </c>
      <c r="E1707" t="s">
        <v>1222</v>
      </c>
    </row>
    <row r="1708" spans="1:5" x14ac:dyDescent="0.2">
      <c r="A1708">
        <v>2302</v>
      </c>
      <c r="B1708">
        <v>35</v>
      </c>
      <c r="C1708" t="s">
        <v>2303</v>
      </c>
      <c r="D1708">
        <v>36313</v>
      </c>
      <c r="E1708" t="s">
        <v>75</v>
      </c>
    </row>
    <row r="1709" spans="1:5" x14ac:dyDescent="0.2">
      <c r="A1709">
        <v>3285</v>
      </c>
      <c r="B1709">
        <v>0</v>
      </c>
      <c r="C1709" t="s">
        <v>2304</v>
      </c>
      <c r="D1709">
        <v>37715</v>
      </c>
      <c r="E1709" t="s">
        <v>99</v>
      </c>
    </row>
    <row r="1710" spans="1:5" x14ac:dyDescent="0.2">
      <c r="A1710">
        <v>2282</v>
      </c>
      <c r="B1710">
        <v>36</v>
      </c>
      <c r="C1710" t="s">
        <v>617</v>
      </c>
      <c r="D1710">
        <v>37284</v>
      </c>
      <c r="E1710" t="s">
        <v>1143</v>
      </c>
    </row>
    <row r="1711" spans="1:5" x14ac:dyDescent="0.2">
      <c r="A1711">
        <v>3567</v>
      </c>
      <c r="B1711">
        <v>0</v>
      </c>
      <c r="C1711" t="s">
        <v>2305</v>
      </c>
      <c r="D1711">
        <v>37282</v>
      </c>
      <c r="E1711" t="s">
        <v>1763</v>
      </c>
    </row>
    <row r="1712" spans="1:5" x14ac:dyDescent="0.2">
      <c r="A1712">
        <v>1522</v>
      </c>
      <c r="B1712">
        <v>107</v>
      </c>
      <c r="C1712" t="s">
        <v>366</v>
      </c>
      <c r="D1712">
        <v>36318</v>
      </c>
      <c r="E1712" t="s">
        <v>202</v>
      </c>
    </row>
    <row r="1713" spans="1:5" x14ac:dyDescent="0.2">
      <c r="A1713">
        <v>2318</v>
      </c>
      <c r="B1713">
        <v>34</v>
      </c>
      <c r="C1713" t="s">
        <v>618</v>
      </c>
      <c r="D1713">
        <v>36763</v>
      </c>
      <c r="E1713" t="s">
        <v>105</v>
      </c>
    </row>
    <row r="1714" spans="1:5" x14ac:dyDescent="0.2">
      <c r="A1714">
        <v>2964</v>
      </c>
      <c r="B1714">
        <v>5</v>
      </c>
      <c r="C1714" t="s">
        <v>2306</v>
      </c>
      <c r="D1714">
        <v>36997</v>
      </c>
      <c r="E1714" t="s">
        <v>163</v>
      </c>
    </row>
    <row r="1715" spans="1:5" x14ac:dyDescent="0.2">
      <c r="A1715">
        <v>2941</v>
      </c>
      <c r="B1715">
        <v>6</v>
      </c>
      <c r="C1715" t="s">
        <v>2307</v>
      </c>
      <c r="D1715">
        <v>37383</v>
      </c>
      <c r="E1715" t="s">
        <v>120</v>
      </c>
    </row>
    <row r="1716" spans="1:5" x14ac:dyDescent="0.2">
      <c r="A1716">
        <v>1653</v>
      </c>
      <c r="B1716">
        <v>89</v>
      </c>
      <c r="C1716" t="s">
        <v>619</v>
      </c>
      <c r="D1716">
        <v>36316</v>
      </c>
      <c r="E1716" t="s">
        <v>1063</v>
      </c>
    </row>
    <row r="1717" spans="1:5" x14ac:dyDescent="0.2">
      <c r="A1717">
        <v>3276</v>
      </c>
      <c r="B1717">
        <v>0</v>
      </c>
      <c r="C1717" t="s">
        <v>2308</v>
      </c>
      <c r="D1717">
        <v>37816</v>
      </c>
      <c r="E1717" t="s">
        <v>117</v>
      </c>
    </row>
    <row r="1718" spans="1:5" x14ac:dyDescent="0.2">
      <c r="A1718">
        <v>2382</v>
      </c>
      <c r="B1718">
        <v>31</v>
      </c>
      <c r="C1718" t="s">
        <v>2309</v>
      </c>
      <c r="D1718">
        <v>36601</v>
      </c>
      <c r="E1718" t="s">
        <v>1069</v>
      </c>
    </row>
    <row r="1719" spans="1:5" x14ac:dyDescent="0.2">
      <c r="A1719">
        <v>3277</v>
      </c>
      <c r="B1719">
        <v>0</v>
      </c>
      <c r="C1719" t="s">
        <v>2310</v>
      </c>
      <c r="D1719">
        <v>37874</v>
      </c>
      <c r="E1719" t="s">
        <v>117</v>
      </c>
    </row>
    <row r="1720" spans="1:5" x14ac:dyDescent="0.2">
      <c r="A1720">
        <v>2982</v>
      </c>
      <c r="B1720">
        <v>5</v>
      </c>
      <c r="C1720" t="s">
        <v>2311</v>
      </c>
      <c r="D1720">
        <v>37047</v>
      </c>
      <c r="E1720" t="s">
        <v>120</v>
      </c>
    </row>
    <row r="1721" spans="1:5" x14ac:dyDescent="0.2">
      <c r="A1721">
        <v>2549</v>
      </c>
      <c r="B1721">
        <v>23</v>
      </c>
      <c r="C1721" t="s">
        <v>723</v>
      </c>
      <c r="D1721">
        <v>36329</v>
      </c>
      <c r="E1721" t="s">
        <v>74</v>
      </c>
    </row>
    <row r="1722" spans="1:5" x14ac:dyDescent="0.2">
      <c r="A1722">
        <v>3111</v>
      </c>
      <c r="B1722">
        <v>2</v>
      </c>
      <c r="C1722" t="s">
        <v>2312</v>
      </c>
      <c r="D1722">
        <v>36696</v>
      </c>
      <c r="E1722" t="s">
        <v>154</v>
      </c>
    </row>
    <row r="1723" spans="1:5" x14ac:dyDescent="0.2">
      <c r="A1723">
        <v>1285</v>
      </c>
      <c r="B1723">
        <v>150</v>
      </c>
      <c r="C1723" t="s">
        <v>620</v>
      </c>
      <c r="D1723">
        <v>37393</v>
      </c>
      <c r="E1723" t="s">
        <v>99</v>
      </c>
    </row>
    <row r="1724" spans="1:5" x14ac:dyDescent="0.2">
      <c r="A1724">
        <v>1955</v>
      </c>
      <c r="B1724">
        <v>55</v>
      </c>
      <c r="C1724" t="s">
        <v>621</v>
      </c>
      <c r="D1724">
        <v>36876</v>
      </c>
      <c r="E1724" t="s">
        <v>180</v>
      </c>
    </row>
    <row r="1725" spans="1:5" x14ac:dyDescent="0.2">
      <c r="A1725">
        <v>3497</v>
      </c>
      <c r="B1725">
        <v>0</v>
      </c>
      <c r="C1725" t="s">
        <v>2313</v>
      </c>
      <c r="D1725">
        <v>36343</v>
      </c>
      <c r="E1725" t="s">
        <v>213</v>
      </c>
    </row>
    <row r="1726" spans="1:5" x14ac:dyDescent="0.2">
      <c r="A1726">
        <v>2732</v>
      </c>
      <c r="B1726">
        <v>13</v>
      </c>
      <c r="C1726" t="s">
        <v>367</v>
      </c>
      <c r="D1726">
        <v>36892</v>
      </c>
      <c r="E1726" t="s">
        <v>105</v>
      </c>
    </row>
    <row r="1727" spans="1:5" x14ac:dyDescent="0.2">
      <c r="A1727">
        <v>3417</v>
      </c>
      <c r="B1727">
        <v>0</v>
      </c>
      <c r="C1727" t="s">
        <v>2314</v>
      </c>
      <c r="D1727">
        <v>36829</v>
      </c>
      <c r="E1727" t="s">
        <v>147</v>
      </c>
    </row>
    <row r="1728" spans="1:5" x14ac:dyDescent="0.2">
      <c r="A1728">
        <v>3348</v>
      </c>
      <c r="B1728">
        <v>0</v>
      </c>
      <c r="C1728" t="s">
        <v>2315</v>
      </c>
      <c r="D1728">
        <v>36814</v>
      </c>
      <c r="E1728" t="s">
        <v>1609</v>
      </c>
    </row>
    <row r="1729" spans="1:5" x14ac:dyDescent="0.2">
      <c r="A1729">
        <v>2514</v>
      </c>
      <c r="B1729">
        <v>24</v>
      </c>
      <c r="C1729" t="s">
        <v>622</v>
      </c>
      <c r="D1729">
        <v>36765</v>
      </c>
      <c r="E1729" t="s">
        <v>105</v>
      </c>
    </row>
    <row r="1730" spans="1:5" x14ac:dyDescent="0.2">
      <c r="A1730">
        <v>2698</v>
      </c>
      <c r="B1730">
        <v>16</v>
      </c>
      <c r="C1730" t="s">
        <v>848</v>
      </c>
      <c r="D1730">
        <v>37501</v>
      </c>
      <c r="E1730" t="s">
        <v>163</v>
      </c>
    </row>
    <row r="1731" spans="1:5" x14ac:dyDescent="0.2">
      <c r="A1731">
        <v>1075</v>
      </c>
      <c r="B1731">
        <v>199</v>
      </c>
      <c r="C1731" t="s">
        <v>368</v>
      </c>
      <c r="D1731">
        <v>36357</v>
      </c>
      <c r="E1731" t="s">
        <v>105</v>
      </c>
    </row>
    <row r="1732" spans="1:5" x14ac:dyDescent="0.2">
      <c r="A1732">
        <v>3375</v>
      </c>
      <c r="B1732">
        <v>0</v>
      </c>
      <c r="C1732" t="s">
        <v>2316</v>
      </c>
      <c r="D1732">
        <v>36788</v>
      </c>
      <c r="E1732" t="s">
        <v>120</v>
      </c>
    </row>
    <row r="1733" spans="1:5" x14ac:dyDescent="0.2">
      <c r="A1733">
        <v>2428</v>
      </c>
      <c r="B1733">
        <v>29</v>
      </c>
      <c r="C1733" t="s">
        <v>2317</v>
      </c>
      <c r="D1733">
        <v>36863</v>
      </c>
      <c r="E1733" t="s">
        <v>113</v>
      </c>
    </row>
    <row r="1734" spans="1:5" x14ac:dyDescent="0.2">
      <c r="A1734">
        <v>733</v>
      </c>
      <c r="B1734">
        <v>324</v>
      </c>
      <c r="C1734" t="s">
        <v>2318</v>
      </c>
      <c r="D1734">
        <v>36183</v>
      </c>
      <c r="E1734" t="s">
        <v>76</v>
      </c>
    </row>
    <row r="1735" spans="1:5" x14ac:dyDescent="0.2">
      <c r="A1735">
        <v>2547</v>
      </c>
      <c r="B1735">
        <v>23</v>
      </c>
      <c r="C1735" t="s">
        <v>2319</v>
      </c>
      <c r="D1735">
        <v>37197</v>
      </c>
      <c r="E1735" t="s">
        <v>121</v>
      </c>
    </row>
    <row r="1736" spans="1:5" x14ac:dyDescent="0.2">
      <c r="A1736">
        <v>3240</v>
      </c>
      <c r="B1736">
        <v>0</v>
      </c>
      <c r="C1736" t="s">
        <v>2320</v>
      </c>
      <c r="D1736">
        <v>36565</v>
      </c>
      <c r="E1736" t="s">
        <v>122</v>
      </c>
    </row>
    <row r="1737" spans="1:5" x14ac:dyDescent="0.2">
      <c r="A1737">
        <v>2927</v>
      </c>
      <c r="B1737">
        <v>7</v>
      </c>
      <c r="C1737" t="s">
        <v>2321</v>
      </c>
      <c r="D1737">
        <v>37183</v>
      </c>
      <c r="E1737" t="s">
        <v>105</v>
      </c>
    </row>
    <row r="1738" spans="1:5" x14ac:dyDescent="0.2">
      <c r="A1738">
        <v>1127</v>
      </c>
      <c r="B1738">
        <v>185</v>
      </c>
      <c r="C1738" t="s">
        <v>2322</v>
      </c>
      <c r="D1738">
        <v>36205</v>
      </c>
      <c r="E1738" t="s">
        <v>120</v>
      </c>
    </row>
    <row r="1739" spans="1:5" x14ac:dyDescent="0.2">
      <c r="A1739">
        <v>2983</v>
      </c>
      <c r="B1739">
        <v>5</v>
      </c>
      <c r="C1739" t="s">
        <v>2323</v>
      </c>
      <c r="D1739">
        <v>37223</v>
      </c>
      <c r="E1739" t="s">
        <v>1121</v>
      </c>
    </row>
    <row r="1740" spans="1:5" x14ac:dyDescent="0.2">
      <c r="A1740">
        <v>1808</v>
      </c>
      <c r="B1740">
        <v>71</v>
      </c>
      <c r="C1740" t="s">
        <v>418</v>
      </c>
      <c r="D1740">
        <v>36595</v>
      </c>
      <c r="E1740" t="s">
        <v>1143</v>
      </c>
    </row>
    <row r="1741" spans="1:5" x14ac:dyDescent="0.2">
      <c r="A1741">
        <v>2623</v>
      </c>
      <c r="B1741">
        <v>19</v>
      </c>
      <c r="C1741" t="s">
        <v>2324</v>
      </c>
      <c r="D1741">
        <v>36225</v>
      </c>
      <c r="E1741" t="s">
        <v>365</v>
      </c>
    </row>
    <row r="1742" spans="1:5" x14ac:dyDescent="0.2">
      <c r="A1742">
        <v>2806</v>
      </c>
      <c r="B1742">
        <v>11</v>
      </c>
      <c r="C1742" t="s">
        <v>2325</v>
      </c>
      <c r="D1742">
        <v>36892</v>
      </c>
      <c r="E1742" t="s">
        <v>1174</v>
      </c>
    </row>
    <row r="1743" spans="1:5" x14ac:dyDescent="0.2">
      <c r="A1743">
        <v>3498</v>
      </c>
      <c r="B1743">
        <v>0</v>
      </c>
      <c r="C1743" t="s">
        <v>2326</v>
      </c>
      <c r="D1743">
        <v>36588</v>
      </c>
      <c r="E1743" t="s">
        <v>1566</v>
      </c>
    </row>
    <row r="1744" spans="1:5" x14ac:dyDescent="0.2">
      <c r="A1744">
        <v>928</v>
      </c>
      <c r="B1744">
        <v>242</v>
      </c>
      <c r="C1744" t="s">
        <v>369</v>
      </c>
      <c r="D1744">
        <v>36695</v>
      </c>
      <c r="E1744" t="s">
        <v>99</v>
      </c>
    </row>
    <row r="1745" spans="1:5" x14ac:dyDescent="0.2">
      <c r="A1745">
        <v>1879</v>
      </c>
      <c r="B1745">
        <v>62</v>
      </c>
      <c r="C1745" t="s">
        <v>623</v>
      </c>
      <c r="D1745">
        <v>36614</v>
      </c>
      <c r="E1745" t="s">
        <v>200</v>
      </c>
    </row>
    <row r="1746" spans="1:5" x14ac:dyDescent="0.2">
      <c r="A1746">
        <v>2672</v>
      </c>
      <c r="B1746">
        <v>16</v>
      </c>
      <c r="C1746" t="s">
        <v>419</v>
      </c>
      <c r="D1746">
        <v>36817</v>
      </c>
      <c r="E1746" t="s">
        <v>1143</v>
      </c>
    </row>
    <row r="1747" spans="1:5" x14ac:dyDescent="0.2">
      <c r="A1747">
        <v>2684</v>
      </c>
      <c r="B1747">
        <v>16</v>
      </c>
      <c r="C1747" t="s">
        <v>2327</v>
      </c>
      <c r="D1747">
        <v>36763</v>
      </c>
      <c r="E1747" t="s">
        <v>111</v>
      </c>
    </row>
    <row r="1748" spans="1:5" x14ac:dyDescent="0.2">
      <c r="A1748">
        <v>1197</v>
      </c>
      <c r="B1748">
        <v>168</v>
      </c>
      <c r="C1748" t="s">
        <v>370</v>
      </c>
      <c r="D1748">
        <v>36511</v>
      </c>
      <c r="E1748" t="s">
        <v>148</v>
      </c>
    </row>
    <row r="1749" spans="1:5" x14ac:dyDescent="0.2">
      <c r="A1749">
        <v>1872</v>
      </c>
      <c r="B1749">
        <v>63</v>
      </c>
      <c r="C1749" t="s">
        <v>2328</v>
      </c>
      <c r="D1749">
        <v>36617</v>
      </c>
      <c r="E1749" t="s">
        <v>257</v>
      </c>
    </row>
    <row r="1750" spans="1:5" x14ac:dyDescent="0.2">
      <c r="A1750">
        <v>3461</v>
      </c>
      <c r="B1750">
        <v>0</v>
      </c>
      <c r="C1750" t="s">
        <v>2329</v>
      </c>
      <c r="D1750">
        <v>37051</v>
      </c>
      <c r="E1750" t="s">
        <v>120</v>
      </c>
    </row>
    <row r="1751" spans="1:5" x14ac:dyDescent="0.2">
      <c r="A1751">
        <v>2815</v>
      </c>
      <c r="B1751">
        <v>10</v>
      </c>
      <c r="C1751" t="s">
        <v>2330</v>
      </c>
      <c r="D1751">
        <v>37454</v>
      </c>
      <c r="E1751" t="s">
        <v>105</v>
      </c>
    </row>
    <row r="1752" spans="1:5" x14ac:dyDescent="0.2">
      <c r="A1752">
        <v>3091</v>
      </c>
      <c r="B1752">
        <v>3</v>
      </c>
      <c r="C1752" t="s">
        <v>2331</v>
      </c>
      <c r="D1752">
        <v>36279</v>
      </c>
      <c r="E1752" t="s">
        <v>1398</v>
      </c>
    </row>
    <row r="1753" spans="1:5" x14ac:dyDescent="0.2">
      <c r="A1753">
        <v>2695</v>
      </c>
      <c r="B1753">
        <v>16</v>
      </c>
      <c r="C1753" t="s">
        <v>2332</v>
      </c>
      <c r="D1753">
        <v>36276</v>
      </c>
      <c r="E1753" t="s">
        <v>110</v>
      </c>
    </row>
    <row r="1754" spans="1:5" x14ac:dyDescent="0.2">
      <c r="A1754">
        <v>1408</v>
      </c>
      <c r="B1754">
        <v>131</v>
      </c>
      <c r="C1754" t="s">
        <v>724</v>
      </c>
      <c r="D1754">
        <v>36212</v>
      </c>
      <c r="E1754" t="s">
        <v>227</v>
      </c>
    </row>
    <row r="1755" spans="1:5" x14ac:dyDescent="0.2">
      <c r="A1755">
        <v>2680</v>
      </c>
      <c r="B1755">
        <v>16</v>
      </c>
      <c r="C1755" t="s">
        <v>2333</v>
      </c>
      <c r="D1755">
        <v>36892</v>
      </c>
      <c r="E1755" t="s">
        <v>117</v>
      </c>
    </row>
    <row r="1756" spans="1:5" x14ac:dyDescent="0.2">
      <c r="A1756">
        <v>2344</v>
      </c>
      <c r="B1756">
        <v>33</v>
      </c>
      <c r="C1756" t="s">
        <v>725</v>
      </c>
      <c r="D1756">
        <v>36572</v>
      </c>
      <c r="E1756" t="s">
        <v>1234</v>
      </c>
    </row>
    <row r="1757" spans="1:5" x14ac:dyDescent="0.2">
      <c r="A1757">
        <v>2627</v>
      </c>
      <c r="B1757">
        <v>19</v>
      </c>
      <c r="C1757" t="s">
        <v>725</v>
      </c>
      <c r="D1757">
        <v>36572</v>
      </c>
      <c r="E1757" t="s">
        <v>74</v>
      </c>
    </row>
    <row r="1758" spans="1:5" x14ac:dyDescent="0.2">
      <c r="A1758">
        <v>2936</v>
      </c>
      <c r="B1758">
        <v>6</v>
      </c>
      <c r="C1758" t="s">
        <v>2334</v>
      </c>
      <c r="D1758">
        <v>37652</v>
      </c>
      <c r="E1758" t="s">
        <v>1069</v>
      </c>
    </row>
    <row r="1759" spans="1:5" x14ac:dyDescent="0.2">
      <c r="A1759">
        <v>3512</v>
      </c>
      <c r="B1759">
        <v>0</v>
      </c>
      <c r="C1759" t="s">
        <v>2335</v>
      </c>
      <c r="D1759">
        <v>36892</v>
      </c>
      <c r="E1759" t="s">
        <v>1400</v>
      </c>
    </row>
    <row r="1760" spans="1:5" x14ac:dyDescent="0.2">
      <c r="A1760">
        <v>1358</v>
      </c>
      <c r="B1760">
        <v>139</v>
      </c>
      <c r="C1760" t="s">
        <v>2336</v>
      </c>
      <c r="D1760">
        <v>36796</v>
      </c>
      <c r="E1760" t="s">
        <v>1562</v>
      </c>
    </row>
    <row r="1761" spans="1:5" x14ac:dyDescent="0.2">
      <c r="A1761">
        <v>2230</v>
      </c>
      <c r="B1761">
        <v>39</v>
      </c>
      <c r="C1761" t="s">
        <v>2337</v>
      </c>
      <c r="D1761">
        <v>36190</v>
      </c>
      <c r="E1761" t="s">
        <v>114</v>
      </c>
    </row>
    <row r="1762" spans="1:5" x14ac:dyDescent="0.2">
      <c r="A1762">
        <v>3154</v>
      </c>
      <c r="B1762">
        <v>1</v>
      </c>
      <c r="C1762" t="s">
        <v>2338</v>
      </c>
      <c r="D1762">
        <v>36892</v>
      </c>
      <c r="E1762" t="s">
        <v>1197</v>
      </c>
    </row>
    <row r="1763" spans="1:5" x14ac:dyDescent="0.2">
      <c r="A1763">
        <v>1983</v>
      </c>
      <c r="B1763">
        <v>54</v>
      </c>
      <c r="C1763" t="s">
        <v>849</v>
      </c>
      <c r="D1763">
        <v>36813</v>
      </c>
      <c r="E1763" t="s">
        <v>1107</v>
      </c>
    </row>
    <row r="1764" spans="1:5" x14ac:dyDescent="0.2">
      <c r="A1764">
        <v>2990</v>
      </c>
      <c r="B1764">
        <v>5</v>
      </c>
      <c r="C1764" t="s">
        <v>2339</v>
      </c>
      <c r="D1764">
        <v>36941</v>
      </c>
      <c r="E1764" t="s">
        <v>165</v>
      </c>
    </row>
    <row r="1765" spans="1:5" x14ac:dyDescent="0.2">
      <c r="A1765">
        <v>1311</v>
      </c>
      <c r="B1765">
        <v>145</v>
      </c>
      <c r="C1765" t="s">
        <v>726</v>
      </c>
      <c r="D1765">
        <v>36825</v>
      </c>
      <c r="E1765" t="s">
        <v>105</v>
      </c>
    </row>
    <row r="1766" spans="1:5" x14ac:dyDescent="0.2">
      <c r="A1766">
        <v>3047</v>
      </c>
      <c r="B1766">
        <v>4</v>
      </c>
      <c r="C1766" t="s">
        <v>2340</v>
      </c>
      <c r="D1766">
        <v>37090</v>
      </c>
      <c r="E1766" t="s">
        <v>120</v>
      </c>
    </row>
    <row r="1767" spans="1:5" x14ac:dyDescent="0.2">
      <c r="A1767">
        <v>2359</v>
      </c>
      <c r="B1767">
        <v>32</v>
      </c>
      <c r="C1767" t="s">
        <v>420</v>
      </c>
      <c r="D1767">
        <v>36759</v>
      </c>
      <c r="E1767" t="s">
        <v>186</v>
      </c>
    </row>
    <row r="1768" spans="1:5" x14ac:dyDescent="0.2">
      <c r="A1768">
        <v>3563</v>
      </c>
      <c r="B1768">
        <v>0</v>
      </c>
      <c r="C1768" t="s">
        <v>2341</v>
      </c>
      <c r="D1768">
        <v>37944</v>
      </c>
      <c r="E1768" t="s">
        <v>105</v>
      </c>
    </row>
    <row r="1769" spans="1:5" x14ac:dyDescent="0.2">
      <c r="A1769">
        <v>3489</v>
      </c>
      <c r="B1769">
        <v>0</v>
      </c>
      <c r="C1769" t="s">
        <v>2342</v>
      </c>
      <c r="D1769">
        <v>37269</v>
      </c>
      <c r="E1769" t="s">
        <v>105</v>
      </c>
    </row>
    <row r="1770" spans="1:5" x14ac:dyDescent="0.2">
      <c r="A1770">
        <v>2321</v>
      </c>
      <c r="B1770">
        <v>34</v>
      </c>
      <c r="C1770" t="s">
        <v>2343</v>
      </c>
      <c r="D1770">
        <v>36194</v>
      </c>
      <c r="E1770" t="s">
        <v>132</v>
      </c>
    </row>
    <row r="1771" spans="1:5" x14ac:dyDescent="0.2">
      <c r="A1771">
        <v>747</v>
      </c>
      <c r="B1771">
        <v>317</v>
      </c>
      <c r="C1771" t="s">
        <v>371</v>
      </c>
      <c r="D1771">
        <v>36238</v>
      </c>
      <c r="E1771" t="s">
        <v>105</v>
      </c>
    </row>
    <row r="1772" spans="1:5" x14ac:dyDescent="0.2">
      <c r="A1772">
        <v>3472</v>
      </c>
      <c r="B1772">
        <v>0</v>
      </c>
      <c r="C1772" t="s">
        <v>2344</v>
      </c>
      <c r="D1772">
        <v>36952</v>
      </c>
      <c r="E1772" t="s">
        <v>164</v>
      </c>
    </row>
    <row r="1773" spans="1:5" x14ac:dyDescent="0.2">
      <c r="A1773">
        <v>2349</v>
      </c>
      <c r="B1773">
        <v>33</v>
      </c>
      <c r="C1773" t="s">
        <v>2345</v>
      </c>
      <c r="D1773">
        <v>37230</v>
      </c>
      <c r="E1773" t="s">
        <v>1334</v>
      </c>
    </row>
    <row r="1774" spans="1:5" x14ac:dyDescent="0.2">
      <c r="A1774">
        <v>1630</v>
      </c>
      <c r="B1774">
        <v>92</v>
      </c>
      <c r="C1774" t="s">
        <v>372</v>
      </c>
      <c r="D1774">
        <v>36813</v>
      </c>
      <c r="E1774" t="s">
        <v>120</v>
      </c>
    </row>
    <row r="1775" spans="1:5" x14ac:dyDescent="0.2">
      <c r="A1775">
        <v>2279</v>
      </c>
      <c r="B1775">
        <v>36</v>
      </c>
      <c r="C1775" t="s">
        <v>373</v>
      </c>
      <c r="D1775">
        <v>36715</v>
      </c>
      <c r="E1775" t="s">
        <v>105</v>
      </c>
    </row>
    <row r="1776" spans="1:5" x14ac:dyDescent="0.2">
      <c r="A1776">
        <v>1887</v>
      </c>
      <c r="B1776">
        <v>61</v>
      </c>
      <c r="C1776" t="s">
        <v>374</v>
      </c>
      <c r="D1776">
        <v>36359</v>
      </c>
      <c r="E1776" t="s">
        <v>110</v>
      </c>
    </row>
    <row r="1777" spans="1:5" x14ac:dyDescent="0.2">
      <c r="A1777">
        <v>2409</v>
      </c>
      <c r="B1777">
        <v>30</v>
      </c>
      <c r="C1777" t="s">
        <v>2346</v>
      </c>
      <c r="D1777">
        <v>37021</v>
      </c>
      <c r="E1777" t="s">
        <v>1121</v>
      </c>
    </row>
    <row r="1778" spans="1:5" x14ac:dyDescent="0.2">
      <c r="A1778">
        <v>3331</v>
      </c>
      <c r="B1778">
        <v>0</v>
      </c>
      <c r="C1778" t="s">
        <v>2347</v>
      </c>
      <c r="D1778">
        <v>37302</v>
      </c>
      <c r="E1778" t="s">
        <v>133</v>
      </c>
    </row>
    <row r="1779" spans="1:5" x14ac:dyDescent="0.2">
      <c r="A1779">
        <v>2293</v>
      </c>
      <c r="B1779">
        <v>36</v>
      </c>
      <c r="C1779" t="s">
        <v>2348</v>
      </c>
      <c r="D1779">
        <v>36955</v>
      </c>
      <c r="E1779" t="s">
        <v>141</v>
      </c>
    </row>
    <row r="1780" spans="1:5" x14ac:dyDescent="0.2">
      <c r="A1780">
        <v>3670</v>
      </c>
      <c r="B1780">
        <v>0</v>
      </c>
      <c r="C1780" t="s">
        <v>2349</v>
      </c>
      <c r="D1780">
        <v>37330</v>
      </c>
      <c r="E1780" t="s">
        <v>105</v>
      </c>
    </row>
    <row r="1781" spans="1:5" x14ac:dyDescent="0.2">
      <c r="A1781">
        <v>3606</v>
      </c>
      <c r="B1781">
        <v>0</v>
      </c>
      <c r="C1781" t="s">
        <v>2350</v>
      </c>
      <c r="D1781">
        <v>37621</v>
      </c>
      <c r="E1781" t="s">
        <v>105</v>
      </c>
    </row>
    <row r="1782" spans="1:5" x14ac:dyDescent="0.2">
      <c r="A1782">
        <v>1771</v>
      </c>
      <c r="B1782">
        <v>74</v>
      </c>
      <c r="C1782" t="s">
        <v>624</v>
      </c>
      <c r="D1782">
        <v>36784</v>
      </c>
      <c r="E1782" t="s">
        <v>105</v>
      </c>
    </row>
    <row r="1783" spans="1:5" x14ac:dyDescent="0.2">
      <c r="A1783">
        <v>3267</v>
      </c>
      <c r="B1783">
        <v>0</v>
      </c>
      <c r="C1783" t="s">
        <v>2351</v>
      </c>
      <c r="D1783">
        <v>37005</v>
      </c>
      <c r="E1783" t="s">
        <v>163</v>
      </c>
    </row>
    <row r="1784" spans="1:5" x14ac:dyDescent="0.2">
      <c r="A1784">
        <v>3168</v>
      </c>
      <c r="B1784">
        <v>1</v>
      </c>
      <c r="C1784" t="s">
        <v>2352</v>
      </c>
      <c r="D1784">
        <v>37416</v>
      </c>
      <c r="E1784" t="s">
        <v>115</v>
      </c>
    </row>
    <row r="1785" spans="1:5" x14ac:dyDescent="0.2">
      <c r="A1785">
        <v>2449</v>
      </c>
      <c r="B1785">
        <v>28</v>
      </c>
      <c r="C1785" t="s">
        <v>2353</v>
      </c>
      <c r="D1785">
        <v>36703</v>
      </c>
      <c r="E1785" t="s">
        <v>118</v>
      </c>
    </row>
    <row r="1786" spans="1:5" x14ac:dyDescent="0.2">
      <c r="A1786">
        <v>2885</v>
      </c>
      <c r="B1786">
        <v>8</v>
      </c>
      <c r="C1786" t="s">
        <v>2354</v>
      </c>
      <c r="D1786">
        <v>37213</v>
      </c>
      <c r="E1786" t="s">
        <v>1182</v>
      </c>
    </row>
    <row r="1787" spans="1:5" x14ac:dyDescent="0.2">
      <c r="A1787">
        <v>1072</v>
      </c>
      <c r="B1787">
        <v>200</v>
      </c>
      <c r="C1787" t="s">
        <v>625</v>
      </c>
      <c r="D1787">
        <v>36583</v>
      </c>
      <c r="E1787" t="s">
        <v>74</v>
      </c>
    </row>
    <row r="1788" spans="1:5" x14ac:dyDescent="0.2">
      <c r="A1788">
        <v>2886</v>
      </c>
      <c r="B1788">
        <v>8</v>
      </c>
      <c r="C1788" t="s">
        <v>2355</v>
      </c>
      <c r="D1788">
        <v>37170</v>
      </c>
      <c r="E1788" t="s">
        <v>1191</v>
      </c>
    </row>
    <row r="1789" spans="1:5" x14ac:dyDescent="0.2">
      <c r="A1789">
        <v>2191</v>
      </c>
      <c r="B1789">
        <v>42</v>
      </c>
      <c r="C1789" t="s">
        <v>2356</v>
      </c>
      <c r="D1789">
        <v>37444</v>
      </c>
      <c r="E1789" t="s">
        <v>99</v>
      </c>
    </row>
    <row r="1790" spans="1:5" x14ac:dyDescent="0.2">
      <c r="A1790">
        <v>2104</v>
      </c>
      <c r="B1790">
        <v>46</v>
      </c>
      <c r="C1790" t="s">
        <v>2357</v>
      </c>
      <c r="D1790">
        <v>36787</v>
      </c>
      <c r="E1790" t="s">
        <v>99</v>
      </c>
    </row>
    <row r="1791" spans="1:5" x14ac:dyDescent="0.2">
      <c r="A1791">
        <v>2218</v>
      </c>
      <c r="B1791">
        <v>40</v>
      </c>
      <c r="C1791" t="s">
        <v>2358</v>
      </c>
      <c r="D1791">
        <v>36762</v>
      </c>
      <c r="E1791" t="s">
        <v>136</v>
      </c>
    </row>
    <row r="1792" spans="1:5" x14ac:dyDescent="0.2">
      <c r="A1792">
        <v>2330</v>
      </c>
      <c r="B1792">
        <v>33</v>
      </c>
      <c r="C1792" t="s">
        <v>626</v>
      </c>
      <c r="D1792">
        <v>36567</v>
      </c>
      <c r="E1792" t="s">
        <v>120</v>
      </c>
    </row>
    <row r="1793" spans="1:5" x14ac:dyDescent="0.2">
      <c r="A1793">
        <v>1211</v>
      </c>
      <c r="B1793">
        <v>166</v>
      </c>
      <c r="C1793" t="s">
        <v>2359</v>
      </c>
      <c r="D1793">
        <v>36671</v>
      </c>
      <c r="E1793" t="s">
        <v>1150</v>
      </c>
    </row>
    <row r="1794" spans="1:5" x14ac:dyDescent="0.2">
      <c r="A1794">
        <v>2502</v>
      </c>
      <c r="B1794">
        <v>25</v>
      </c>
      <c r="C1794" t="s">
        <v>2360</v>
      </c>
      <c r="D1794">
        <v>36741</v>
      </c>
      <c r="E1794" t="s">
        <v>2361</v>
      </c>
    </row>
    <row r="1795" spans="1:5" x14ac:dyDescent="0.2">
      <c r="A1795">
        <v>2498</v>
      </c>
      <c r="B1795">
        <v>25</v>
      </c>
      <c r="C1795" t="s">
        <v>2362</v>
      </c>
      <c r="D1795">
        <v>36212</v>
      </c>
      <c r="E1795" t="s">
        <v>1250</v>
      </c>
    </row>
    <row r="1796" spans="1:5" x14ac:dyDescent="0.2">
      <c r="A1796">
        <v>3073</v>
      </c>
      <c r="B1796">
        <v>3</v>
      </c>
      <c r="C1796" t="s">
        <v>2363</v>
      </c>
      <c r="D1796">
        <v>37257</v>
      </c>
      <c r="E1796" t="s">
        <v>105</v>
      </c>
    </row>
    <row r="1797" spans="1:5" x14ac:dyDescent="0.2">
      <c r="A1797">
        <v>2636</v>
      </c>
      <c r="B1797">
        <v>19</v>
      </c>
      <c r="C1797" t="s">
        <v>2364</v>
      </c>
      <c r="D1797">
        <v>36598</v>
      </c>
      <c r="E1797" t="s">
        <v>147</v>
      </c>
    </row>
    <row r="1798" spans="1:5" x14ac:dyDescent="0.2">
      <c r="A1798">
        <v>1885</v>
      </c>
      <c r="B1798">
        <v>61</v>
      </c>
      <c r="C1798" t="s">
        <v>375</v>
      </c>
      <c r="D1798">
        <v>36499</v>
      </c>
      <c r="E1798" t="s">
        <v>127</v>
      </c>
    </row>
    <row r="1799" spans="1:5" x14ac:dyDescent="0.2">
      <c r="A1799">
        <v>2046</v>
      </c>
      <c r="B1799">
        <v>49</v>
      </c>
      <c r="C1799" t="s">
        <v>850</v>
      </c>
      <c r="D1799">
        <v>36634</v>
      </c>
      <c r="E1799" t="s">
        <v>163</v>
      </c>
    </row>
    <row r="1800" spans="1:5" x14ac:dyDescent="0.2">
      <c r="A1800">
        <v>2632</v>
      </c>
      <c r="B1800">
        <v>19</v>
      </c>
      <c r="C1800" t="s">
        <v>627</v>
      </c>
      <c r="D1800">
        <v>36892</v>
      </c>
      <c r="E1800" t="s">
        <v>104</v>
      </c>
    </row>
    <row r="1801" spans="1:5" x14ac:dyDescent="0.2">
      <c r="A1801">
        <v>1638</v>
      </c>
      <c r="B1801">
        <v>91</v>
      </c>
      <c r="C1801" t="s">
        <v>2365</v>
      </c>
      <c r="D1801">
        <v>36450</v>
      </c>
      <c r="E1801" t="s">
        <v>103</v>
      </c>
    </row>
    <row r="1802" spans="1:5" x14ac:dyDescent="0.2">
      <c r="A1802">
        <v>3511</v>
      </c>
      <c r="B1802">
        <v>0</v>
      </c>
      <c r="C1802" t="s">
        <v>2366</v>
      </c>
      <c r="D1802">
        <v>36680</v>
      </c>
      <c r="E1802" t="s">
        <v>105</v>
      </c>
    </row>
    <row r="1803" spans="1:5" x14ac:dyDescent="0.2">
      <c r="A1803">
        <v>3316</v>
      </c>
      <c r="B1803">
        <v>0</v>
      </c>
      <c r="C1803" t="s">
        <v>2367</v>
      </c>
      <c r="D1803">
        <v>37754</v>
      </c>
      <c r="E1803" t="s">
        <v>120</v>
      </c>
    </row>
    <row r="1804" spans="1:5" x14ac:dyDescent="0.2">
      <c r="A1804">
        <v>3509</v>
      </c>
      <c r="B1804">
        <v>0</v>
      </c>
      <c r="C1804" t="s">
        <v>2368</v>
      </c>
      <c r="D1804">
        <v>36526</v>
      </c>
      <c r="E1804" t="s">
        <v>1566</v>
      </c>
    </row>
    <row r="1805" spans="1:5" x14ac:dyDescent="0.2">
      <c r="A1805">
        <v>3372</v>
      </c>
      <c r="B1805">
        <v>0</v>
      </c>
      <c r="C1805" t="s">
        <v>2369</v>
      </c>
      <c r="D1805">
        <v>37532</v>
      </c>
      <c r="E1805" t="s">
        <v>120</v>
      </c>
    </row>
    <row r="1806" spans="1:5" x14ac:dyDescent="0.2">
      <c r="A1806">
        <v>3083</v>
      </c>
      <c r="B1806">
        <v>3</v>
      </c>
      <c r="C1806" t="s">
        <v>2370</v>
      </c>
      <c r="D1806">
        <v>36339</v>
      </c>
      <c r="E1806" t="s">
        <v>2371</v>
      </c>
    </row>
    <row r="1807" spans="1:5" x14ac:dyDescent="0.2">
      <c r="A1807">
        <v>2969</v>
      </c>
      <c r="B1807">
        <v>5</v>
      </c>
      <c r="C1807" t="s">
        <v>2372</v>
      </c>
      <c r="D1807">
        <v>36858</v>
      </c>
      <c r="E1807" t="s">
        <v>120</v>
      </c>
    </row>
    <row r="1808" spans="1:5" x14ac:dyDescent="0.2">
      <c r="A1808">
        <v>1687</v>
      </c>
      <c r="B1808">
        <v>85</v>
      </c>
      <c r="C1808" t="s">
        <v>2373</v>
      </c>
      <c r="D1808">
        <v>37171</v>
      </c>
      <c r="E1808" t="s">
        <v>105</v>
      </c>
    </row>
    <row r="1809" spans="1:5" x14ac:dyDescent="0.2">
      <c r="A1809">
        <v>2164</v>
      </c>
      <c r="B1809">
        <v>43</v>
      </c>
      <c r="C1809" t="s">
        <v>628</v>
      </c>
      <c r="D1809">
        <v>36668</v>
      </c>
      <c r="E1809" t="s">
        <v>120</v>
      </c>
    </row>
    <row r="1810" spans="1:5" x14ac:dyDescent="0.2">
      <c r="A1810">
        <v>2608</v>
      </c>
      <c r="B1810">
        <v>20</v>
      </c>
      <c r="C1810" t="s">
        <v>851</v>
      </c>
      <c r="D1810">
        <v>36637</v>
      </c>
      <c r="E1810" t="s">
        <v>120</v>
      </c>
    </row>
    <row r="1811" spans="1:5" x14ac:dyDescent="0.2">
      <c r="A1811">
        <v>2577</v>
      </c>
      <c r="B1811">
        <v>21</v>
      </c>
      <c r="C1811" t="s">
        <v>2374</v>
      </c>
      <c r="D1811">
        <v>37488</v>
      </c>
      <c r="E1811" t="s">
        <v>1078</v>
      </c>
    </row>
    <row r="1812" spans="1:5" x14ac:dyDescent="0.2">
      <c r="A1812">
        <v>3307</v>
      </c>
      <c r="B1812">
        <v>0</v>
      </c>
      <c r="C1812" t="s">
        <v>2375</v>
      </c>
      <c r="D1812">
        <v>37658</v>
      </c>
      <c r="E1812" t="s">
        <v>120</v>
      </c>
    </row>
    <row r="1813" spans="1:5" x14ac:dyDescent="0.2">
      <c r="A1813">
        <v>1937</v>
      </c>
      <c r="B1813">
        <v>57</v>
      </c>
      <c r="C1813" t="s">
        <v>2376</v>
      </c>
      <c r="D1813">
        <v>36425</v>
      </c>
      <c r="E1813" t="s">
        <v>133</v>
      </c>
    </row>
    <row r="1814" spans="1:5" x14ac:dyDescent="0.2">
      <c r="A1814">
        <v>2303</v>
      </c>
      <c r="B1814">
        <v>35</v>
      </c>
      <c r="C1814" t="s">
        <v>2377</v>
      </c>
      <c r="D1814">
        <v>37312</v>
      </c>
      <c r="E1814" t="s">
        <v>113</v>
      </c>
    </row>
    <row r="1815" spans="1:5" x14ac:dyDescent="0.2">
      <c r="A1815">
        <v>3425</v>
      </c>
      <c r="B1815">
        <v>0</v>
      </c>
      <c r="C1815" t="s">
        <v>2378</v>
      </c>
      <c r="D1815">
        <v>37126</v>
      </c>
      <c r="E1815" t="s">
        <v>165</v>
      </c>
    </row>
    <row r="1816" spans="1:5" x14ac:dyDescent="0.2">
      <c r="A1816">
        <v>3050</v>
      </c>
      <c r="B1816">
        <v>4</v>
      </c>
      <c r="C1816" t="s">
        <v>2379</v>
      </c>
      <c r="D1816">
        <v>36801</v>
      </c>
      <c r="E1816" t="s">
        <v>105</v>
      </c>
    </row>
    <row r="1817" spans="1:5" x14ac:dyDescent="0.2">
      <c r="A1817">
        <v>1734</v>
      </c>
      <c r="B1817">
        <v>79</v>
      </c>
      <c r="C1817" t="s">
        <v>2380</v>
      </c>
      <c r="D1817">
        <v>36356</v>
      </c>
      <c r="E1817" t="s">
        <v>1566</v>
      </c>
    </row>
    <row r="1818" spans="1:5" x14ac:dyDescent="0.2">
      <c r="A1818">
        <v>1029</v>
      </c>
      <c r="B1818">
        <v>210</v>
      </c>
      <c r="C1818" t="s">
        <v>629</v>
      </c>
      <c r="D1818">
        <v>36232</v>
      </c>
      <c r="E1818" t="s">
        <v>83</v>
      </c>
    </row>
    <row r="1819" spans="1:5" x14ac:dyDescent="0.2">
      <c r="A1819">
        <v>3424</v>
      </c>
      <c r="B1819">
        <v>0</v>
      </c>
      <c r="C1819" t="s">
        <v>2381</v>
      </c>
      <c r="D1819">
        <v>36632</v>
      </c>
      <c r="E1819" t="s">
        <v>630</v>
      </c>
    </row>
    <row r="1820" spans="1:5" x14ac:dyDescent="0.2">
      <c r="A1820">
        <v>3235</v>
      </c>
      <c r="B1820">
        <v>0</v>
      </c>
      <c r="C1820" t="s">
        <v>2382</v>
      </c>
      <c r="D1820">
        <v>36974</v>
      </c>
      <c r="E1820" t="s">
        <v>1128</v>
      </c>
    </row>
    <row r="1821" spans="1:5" x14ac:dyDescent="0.2">
      <c r="A1821">
        <v>1859</v>
      </c>
      <c r="B1821">
        <v>65</v>
      </c>
      <c r="C1821" t="s">
        <v>852</v>
      </c>
      <c r="D1821">
        <v>36167</v>
      </c>
      <c r="E1821" t="s">
        <v>365</v>
      </c>
    </row>
    <row r="1822" spans="1:5" x14ac:dyDescent="0.2">
      <c r="A1822">
        <v>3448</v>
      </c>
      <c r="B1822">
        <v>0</v>
      </c>
      <c r="C1822" t="s">
        <v>2383</v>
      </c>
      <c r="D1822">
        <v>36550</v>
      </c>
      <c r="E1822" t="s">
        <v>227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E34"/>
  <sheetViews>
    <sheetView view="pageBreakPreview" topLeftCell="B1" zoomScale="80" zoomScaleNormal="100" zoomScaleSheetLayoutView="80" workbookViewId="0">
      <selection activeCell="Z13" sqref="Z13:AB13"/>
    </sheetView>
  </sheetViews>
  <sheetFormatPr defaultRowHeight="15" outlineLevelCol="1" x14ac:dyDescent="0.25"/>
  <cols>
    <col min="1" max="1" width="7.6640625" style="128" hidden="1" customWidth="1" outlineLevel="1"/>
    <col min="2" max="2" width="47.33203125" style="128" customWidth="1" collapsed="1"/>
    <col min="3" max="3" width="20.83203125" style="128" customWidth="1"/>
    <col min="4" max="8" width="10.83203125" style="128" customWidth="1"/>
    <col min="9" max="10" width="0" style="128" hidden="1" customWidth="1"/>
    <col min="11" max="11" width="6.6640625" style="128" customWidth="1"/>
    <col min="12" max="12" width="0.6640625" style="128" hidden="1" customWidth="1"/>
    <col min="13" max="13" width="6.6640625" style="128" customWidth="1"/>
    <col min="14" max="15" width="3.1640625" style="128" customWidth="1"/>
    <col min="16" max="16" width="8.33203125" style="128" hidden="1" customWidth="1" outlineLevel="1"/>
    <col min="17" max="17" width="45.33203125" style="128" customWidth="1" collapsed="1"/>
    <col min="18" max="18" width="19.1640625" style="128" customWidth="1"/>
    <col min="19" max="23" width="10.83203125" style="128" customWidth="1"/>
    <col min="24" max="25" width="0" style="128" hidden="1" customWidth="1"/>
    <col min="26" max="26" width="10.83203125" style="128" customWidth="1"/>
    <col min="27" max="27" width="10.6640625" style="128" hidden="1" customWidth="1"/>
    <col min="28" max="28" width="2" style="128" customWidth="1"/>
    <col min="29" max="16384" width="9.33203125" style="128"/>
  </cols>
  <sheetData>
    <row r="1" spans="1:31" s="502" customFormat="1" ht="20.100000000000001" customHeight="1" thickTop="1" thickBot="1" x14ac:dyDescent="0.35">
      <c r="B1" s="748" t="str">
        <f>'Порядок встреч 2Ф'!H2</f>
        <v>2 ФИНАЛ</v>
      </c>
      <c r="C1" s="503" t="s">
        <v>1030</v>
      </c>
      <c r="D1" s="504" t="s">
        <v>762</v>
      </c>
      <c r="E1" s="505"/>
      <c r="F1" s="747">
        <f>LOOKUP(H1,'Порядок встреч 2Ф'!Q5:Q19,'Порядок встреч 2Ф'!R5:R19)</f>
        <v>113</v>
      </c>
      <c r="G1" s="506" t="s">
        <v>1031</v>
      </c>
      <c r="H1" s="781">
        <v>15</v>
      </c>
      <c r="I1" s="507">
        <v>1</v>
      </c>
      <c r="J1" s="508"/>
      <c r="K1" s="1355" t="str">
        <f>IF(H1&lt;=8,CONCATENATE(LOOKUP(F1,'Порядок встреч 2Ф'!A5:A68,'Порядок встреч 2Ф'!C5:C68),"-",LOOKUP(F1,'Порядок встреч 2Ф'!A5:A68,'Порядок встреч 2Ф'!D5:D68)),CONCATENATE(LOOKUP(F1,'Порядок встреч 2Ф'!I5:I60,'Порядок встреч 2Ф'!K5:K60),"-",LOOKUP(F1,'Порядок встреч 2Ф'!I5:I60,'Порядок встреч 2Ф'!L5:L60)))</f>
        <v>1-2</v>
      </c>
      <c r="L1" s="1356"/>
      <c r="M1" s="1357"/>
      <c r="P1" s="765"/>
      <c r="Q1" s="753" t="str">
        <f>B1</f>
        <v>2 ФИНАЛ</v>
      </c>
      <c r="R1" s="754" t="s">
        <v>1030</v>
      </c>
      <c r="S1" s="504" t="s">
        <v>762</v>
      </c>
      <c r="T1" s="505"/>
      <c r="U1" s="755">
        <f>F1+4</f>
        <v>117</v>
      </c>
      <c r="V1" s="756" t="s">
        <v>1031</v>
      </c>
      <c r="W1" s="757">
        <f>H1</f>
        <v>15</v>
      </c>
      <c r="X1" s="758">
        <v>1</v>
      </c>
      <c r="Y1" s="765"/>
      <c r="Z1" s="1355" t="str">
        <f>IF(W1&lt;=8,CONCATENATE(LOOKUP(U1,'Порядок встреч 2Ф'!A5:A68,'Порядок встреч 2Ф'!C5:C68),"-",LOOKUP(U1,'Порядок встреч 2Ф'!A5:A68,'Порядок встреч 2Ф'!D5:D68)),CONCATENATE(LOOKUP(U1,'Порядок встреч 2Ф'!I5:I60,'Порядок встреч 2Ф'!K5:K60),"-",LOOKUP(U1,'Порядок встреч 2Ф'!I5:I60,'Порядок встреч 2Ф'!L5:L60)))</f>
        <v>6-13</v>
      </c>
      <c r="AA1" s="1356"/>
      <c r="AB1" s="1356"/>
    </row>
    <row r="2" spans="1:31" ht="16.5" customHeight="1" thickTop="1" x14ac:dyDescent="0.25">
      <c r="A2" s="1358"/>
      <c r="B2" s="1360" t="s">
        <v>1032</v>
      </c>
      <c r="C2" s="1360" t="s">
        <v>44</v>
      </c>
      <c r="D2" s="1337" t="s">
        <v>965</v>
      </c>
      <c r="E2" s="1337"/>
      <c r="F2" s="1337"/>
      <c r="G2" s="1337"/>
      <c r="H2" s="1338"/>
      <c r="I2" s="1338"/>
      <c r="J2" s="1338"/>
      <c r="K2" s="1339" t="s">
        <v>1042</v>
      </c>
      <c r="L2" s="1340"/>
      <c r="M2" s="1362"/>
      <c r="N2" s="510"/>
      <c r="O2" s="511"/>
      <c r="P2" s="1358"/>
      <c r="Q2" s="1360" t="s">
        <v>1032</v>
      </c>
      <c r="R2" s="1360" t="s">
        <v>44</v>
      </c>
      <c r="S2" s="1337" t="s">
        <v>965</v>
      </c>
      <c r="T2" s="1337"/>
      <c r="U2" s="1337"/>
      <c r="V2" s="1337"/>
      <c r="W2" s="1338"/>
      <c r="X2" s="1338"/>
      <c r="Y2" s="1338"/>
      <c r="Z2" s="1339" t="s">
        <v>1033</v>
      </c>
      <c r="AA2" s="1340"/>
      <c r="AB2" s="1341"/>
    </row>
    <row r="3" spans="1:31" ht="15.75" x14ac:dyDescent="0.25">
      <c r="A3" s="1359"/>
      <c r="B3" s="1361"/>
      <c r="C3" s="1361"/>
      <c r="D3" s="512">
        <v>1</v>
      </c>
      <c r="E3" s="512">
        <v>2</v>
      </c>
      <c r="F3" s="512">
        <v>3</v>
      </c>
      <c r="G3" s="512">
        <v>4</v>
      </c>
      <c r="H3" s="512">
        <v>5</v>
      </c>
      <c r="I3" s="513"/>
      <c r="J3" s="513"/>
      <c r="K3" s="1342"/>
      <c r="L3" s="1343"/>
      <c r="M3" s="1363"/>
      <c r="N3" s="510"/>
      <c r="O3" s="511"/>
      <c r="P3" s="1359"/>
      <c r="Q3" s="1361"/>
      <c r="R3" s="1361"/>
      <c r="S3" s="512">
        <v>1</v>
      </c>
      <c r="T3" s="512">
        <v>2</v>
      </c>
      <c r="U3" s="512">
        <v>3</v>
      </c>
      <c r="V3" s="512">
        <v>4</v>
      </c>
      <c r="W3" s="512">
        <v>5</v>
      </c>
      <c r="X3" s="513"/>
      <c r="Y3" s="513"/>
      <c r="Z3" s="1342"/>
      <c r="AA3" s="1343"/>
      <c r="AB3" s="1344"/>
    </row>
    <row r="4" spans="1:31" ht="54.95" customHeight="1" x14ac:dyDescent="0.25">
      <c r="A4" s="514">
        <f>IF(H1&lt;=8,VLOOKUP(F1,'Порядок встреч 2Ф'!A:G,5,FALSE),VLOOKUP(F1,'Порядок встреч 2Ф'!I:O,5,FALSE))</f>
        <v>0</v>
      </c>
      <c r="B4" s="515" t="e">
        <f>IF(A4="","",VLOOKUP(A4,'Списки участников'!A:H,3,FALSE))</f>
        <v>#N/A</v>
      </c>
      <c r="C4" s="516" t="e">
        <f>IF(A4="","",VLOOKUP(A4,'Списки участников'!A:H,6,FALSE))</f>
        <v>#N/A</v>
      </c>
      <c r="D4" s="517"/>
      <c r="E4" s="518"/>
      <c r="F4" s="519"/>
      <c r="G4" s="519"/>
      <c r="H4" s="519"/>
      <c r="I4" s="520"/>
      <c r="J4" s="520"/>
      <c r="K4" s="1345"/>
      <c r="L4" s="1346"/>
      <c r="M4" s="1347"/>
      <c r="N4" s="510"/>
      <c r="O4" s="511"/>
      <c r="P4" s="514">
        <f>IF(W1&lt;=8,VLOOKUP(U1,'Порядок встреч 2Ф'!A:G,5,FALSE),VLOOKUP(U1,'Порядок встреч 2Ф'!I:O,5,FALSE))</f>
        <v>0</v>
      </c>
      <c r="Q4" s="515" t="e">
        <f>IF(P4="","",VLOOKUP(P4,'Списки участников'!A:H,3,FALSE))</f>
        <v>#N/A</v>
      </c>
      <c r="R4" s="516" t="e">
        <f>IF(P4="","",VLOOKUP(P4,'Списки участников'!A:H,6,FALSE))</f>
        <v>#N/A</v>
      </c>
      <c r="S4" s="517"/>
      <c r="T4" s="518"/>
      <c r="U4" s="519"/>
      <c r="V4" s="519"/>
      <c r="W4" s="519"/>
      <c r="X4" s="520"/>
      <c r="Y4" s="520"/>
      <c r="Z4" s="1348"/>
      <c r="AA4" s="1349"/>
      <c r="AB4" s="1350"/>
    </row>
    <row r="5" spans="1:31" ht="54.95" customHeight="1" thickBot="1" x14ac:dyDescent="0.3">
      <c r="A5" s="514">
        <f>IF(H1&lt;=8,VLOOKUP(F1,'Порядок встреч 2Ф'!A:G,7,FALSE),VLOOKUP(F1,'Порядок встреч 2Ф'!I:O,7,FALSE))</f>
        <v>0</v>
      </c>
      <c r="B5" s="515" t="e">
        <f>IF(A5="","",VLOOKUP(A5,'Списки участников'!A:H,3,FALSE))</f>
        <v>#N/A</v>
      </c>
      <c r="C5" s="516" t="e">
        <f>IF(A5="","",VLOOKUP(A5,'Списки участников'!A:H,6,FALSE))</f>
        <v>#N/A</v>
      </c>
      <c r="D5" s="521"/>
      <c r="E5" s="522"/>
      <c r="F5" s="523"/>
      <c r="G5" s="523"/>
      <c r="H5" s="523"/>
      <c r="I5" s="524"/>
      <c r="J5" s="525"/>
      <c r="K5" s="1351"/>
      <c r="L5" s="1352"/>
      <c r="M5" s="1353"/>
      <c r="N5" s="510"/>
      <c r="O5" s="511"/>
      <c r="P5" s="514">
        <f>IF(W1&lt;=8,VLOOKUP(U1,'Порядок встреч 2Ф'!A:G,7,FALSE),VLOOKUP(U1,'Порядок встреч 2Ф'!I:O,7,FALSE))</f>
        <v>0</v>
      </c>
      <c r="Q5" s="515" t="e">
        <f>IF(P5="","",VLOOKUP(P5,'Списки участников'!A:H,3,FALSE))</f>
        <v>#N/A</v>
      </c>
      <c r="R5" s="516" t="e">
        <f>IF(P5="","",VLOOKUP(P5,'Списки участников'!A:H,6,FALSE))</f>
        <v>#N/A</v>
      </c>
      <c r="S5" s="521"/>
      <c r="T5" s="522"/>
      <c r="U5" s="523"/>
      <c r="V5" s="523"/>
      <c r="W5" s="523"/>
      <c r="X5" s="524"/>
      <c r="Y5" s="525"/>
      <c r="Z5" s="1351"/>
      <c r="AA5" s="1352"/>
      <c r="AB5" s="1354"/>
    </row>
    <row r="6" spans="1:31" ht="20.100000000000001" customHeight="1" thickTop="1" thickBot="1" x14ac:dyDescent="0.35">
      <c r="A6" s="1371" t="s">
        <v>1034</v>
      </c>
      <c r="B6" s="1372"/>
      <c r="C6" s="1372"/>
      <c r="D6" s="1373" t="s">
        <v>1035</v>
      </c>
      <c r="E6" s="1374"/>
      <c r="F6" s="1375" t="s">
        <v>1036</v>
      </c>
      <c r="G6" s="1375"/>
      <c r="H6" s="1375"/>
      <c r="I6" s="1375"/>
      <c r="J6" s="1375"/>
      <c r="K6" s="1375"/>
      <c r="L6" s="1375"/>
      <c r="M6" s="1375"/>
      <c r="N6" s="526"/>
      <c r="P6" s="1371" t="s">
        <v>1034</v>
      </c>
      <c r="Q6" s="1372"/>
      <c r="R6" s="1372"/>
      <c r="S6" s="1373" t="s">
        <v>1035</v>
      </c>
      <c r="T6" s="1374"/>
      <c r="U6" s="1376" t="s">
        <v>1036</v>
      </c>
      <c r="V6" s="1377"/>
      <c r="W6" s="1377"/>
      <c r="X6" s="1377"/>
      <c r="Y6" s="1377"/>
      <c r="Z6" s="1377"/>
      <c r="AA6" s="1377"/>
      <c r="AB6" s="1378"/>
    </row>
    <row r="7" spans="1:31" ht="30" customHeight="1" thickTop="1" thickBot="1" x14ac:dyDescent="0.3">
      <c r="A7" s="1364"/>
      <c r="B7" s="1365"/>
      <c r="C7" s="1365"/>
      <c r="D7" s="1365"/>
      <c r="E7" s="1366"/>
      <c r="F7" s="1367"/>
      <c r="G7" s="1368"/>
      <c r="H7" s="1368"/>
      <c r="I7" s="1368"/>
      <c r="J7" s="1368"/>
      <c r="K7" s="1368"/>
      <c r="L7" s="1368"/>
      <c r="M7" s="1369"/>
      <c r="N7" s="526"/>
      <c r="P7" s="1364"/>
      <c r="Q7" s="1365"/>
      <c r="R7" s="1365"/>
      <c r="S7" s="1365"/>
      <c r="T7" s="1366"/>
      <c r="U7" s="1367"/>
      <c r="V7" s="1368"/>
      <c r="W7" s="1368"/>
      <c r="X7" s="1368"/>
      <c r="Y7" s="1368"/>
      <c r="Z7" s="1368"/>
      <c r="AA7" s="1368"/>
      <c r="AB7" s="1370"/>
      <c r="AD7" s="511"/>
      <c r="AE7" s="511"/>
    </row>
    <row r="8" spans="1:31" ht="20.100000000000001" customHeight="1" thickTop="1" thickBot="1" x14ac:dyDescent="0.3">
      <c r="A8" s="511"/>
      <c r="B8" s="511"/>
      <c r="C8" s="511"/>
      <c r="D8" s="511"/>
      <c r="E8" s="511"/>
      <c r="F8" s="511"/>
      <c r="G8" s="511"/>
      <c r="H8" s="511"/>
      <c r="I8" s="511"/>
      <c r="J8" s="511"/>
      <c r="K8" s="511"/>
      <c r="L8" s="511"/>
      <c r="M8" s="511"/>
      <c r="N8" s="528"/>
      <c r="O8" s="527"/>
      <c r="P8" s="511"/>
      <c r="Q8" s="511"/>
      <c r="R8" s="511"/>
      <c r="S8" s="511"/>
      <c r="T8" s="511"/>
      <c r="U8" s="511"/>
      <c r="V8" s="511"/>
      <c r="W8" s="511"/>
      <c r="X8" s="511"/>
      <c r="Y8" s="511"/>
      <c r="Z8" s="511"/>
      <c r="AA8" s="511"/>
      <c r="AB8" s="526"/>
      <c r="AD8" s="511"/>
      <c r="AE8" s="511"/>
    </row>
    <row r="9" spans="1:31" ht="20.100000000000001" customHeight="1" thickTop="1" thickBot="1" x14ac:dyDescent="0.35">
      <c r="A9" s="504"/>
      <c r="B9" s="753" t="str">
        <f>B1</f>
        <v>2 ФИНАЛ</v>
      </c>
      <c r="C9" s="754" t="s">
        <v>1030</v>
      </c>
      <c r="D9" s="504" t="s">
        <v>762</v>
      </c>
      <c r="E9" s="505"/>
      <c r="F9" s="755">
        <f>F1+1</f>
        <v>114</v>
      </c>
      <c r="G9" s="756" t="s">
        <v>1031</v>
      </c>
      <c r="H9" s="757">
        <f>H1</f>
        <v>15</v>
      </c>
      <c r="I9" s="758">
        <v>1</v>
      </c>
      <c r="J9" s="759"/>
      <c r="K9" s="1388" t="str">
        <f>IF(H9&lt;=8,CONCATENATE(LOOKUP(F9,'Порядок встреч 2Ф'!A5:A68,'Порядок встреч 2Ф'!C5:C68),"-",LOOKUP(F9,'Порядок встреч 2Ф'!A5:A68,'Порядок встреч 2Ф'!D5:D68)),CONCATENATE(LOOKUP(F9,'Порядок встреч 2Ф'!I5:I60,'Порядок встреч 2Ф'!K5:K60),"-",LOOKUP(F9,'Порядок встреч 2Ф'!I5:I60,'Порядок встреч 2Ф'!L5:L60)))</f>
        <v>3-16</v>
      </c>
      <c r="L9" s="1389"/>
      <c r="M9" s="1390"/>
      <c r="N9" s="502"/>
      <c r="O9" s="502"/>
      <c r="P9" s="504"/>
      <c r="Q9" s="776" t="str">
        <f>B1</f>
        <v>2 ФИНАЛ</v>
      </c>
      <c r="R9" s="777" t="s">
        <v>1030</v>
      </c>
      <c r="S9" s="504" t="s">
        <v>762</v>
      </c>
      <c r="T9" s="505"/>
      <c r="U9" s="755">
        <f>F1+5</f>
        <v>118</v>
      </c>
      <c r="V9" s="756" t="s">
        <v>1031</v>
      </c>
      <c r="W9" s="757">
        <f>H1</f>
        <v>15</v>
      </c>
      <c r="X9" s="758">
        <v>1</v>
      </c>
      <c r="Y9" s="759"/>
      <c r="Z9" s="1388" t="str">
        <f>IF(W9&lt;=8,CONCATENATE(LOOKUP(U9,'Порядок встреч 2Ф'!A5:A68,'Порядок встреч 2Ф'!C5:C68),"-",LOOKUP(U9,'Порядок встреч 2Ф'!A5:A68,'Порядок встреч 2Ф'!D5:D68)),CONCATENATE(LOOKUP(U9,'Порядок встреч 2Ф'!I5:I60,'Порядок встреч 2Ф'!K5:K60),"-",LOOKUP(U9,'Порядок встреч 2Ф'!I5:I60,'Порядок встреч 2Ф'!L5:L60)))</f>
        <v>7-12</v>
      </c>
      <c r="AA9" s="1389"/>
      <c r="AB9" s="1390"/>
      <c r="AC9" s="511"/>
      <c r="AD9" s="511"/>
      <c r="AE9" s="511"/>
    </row>
    <row r="10" spans="1:31" ht="20.100000000000001" customHeight="1" thickTop="1" x14ac:dyDescent="0.25">
      <c r="A10" s="1358"/>
      <c r="B10" s="1360" t="s">
        <v>1032</v>
      </c>
      <c r="C10" s="1360" t="s">
        <v>44</v>
      </c>
      <c r="D10" s="1337" t="s">
        <v>965</v>
      </c>
      <c r="E10" s="1337"/>
      <c r="F10" s="1337"/>
      <c r="G10" s="1337"/>
      <c r="H10" s="1338"/>
      <c r="I10" s="1338"/>
      <c r="J10" s="1338"/>
      <c r="K10" s="1339" t="s">
        <v>1042</v>
      </c>
      <c r="L10" s="1340"/>
      <c r="M10" s="1362"/>
      <c r="N10" s="510"/>
      <c r="O10" s="511"/>
      <c r="P10" s="1391"/>
      <c r="Q10" s="1392" t="s">
        <v>1032</v>
      </c>
      <c r="R10" s="1392" t="s">
        <v>44</v>
      </c>
      <c r="S10" s="1338" t="s">
        <v>965</v>
      </c>
      <c r="T10" s="1338"/>
      <c r="U10" s="1338"/>
      <c r="V10" s="1338"/>
      <c r="W10" s="1338"/>
      <c r="X10" s="1338"/>
      <c r="Y10" s="1338"/>
      <c r="Z10" s="1379" t="s">
        <v>1042</v>
      </c>
      <c r="AA10" s="1380"/>
      <c r="AB10" s="1381"/>
    </row>
    <row r="11" spans="1:31" ht="20.100000000000001" customHeight="1" x14ac:dyDescent="0.25">
      <c r="A11" s="1359"/>
      <c r="B11" s="1361"/>
      <c r="C11" s="1361"/>
      <c r="D11" s="512">
        <v>1</v>
      </c>
      <c r="E11" s="512">
        <v>2</v>
      </c>
      <c r="F11" s="512">
        <v>3</v>
      </c>
      <c r="G11" s="512">
        <v>4</v>
      </c>
      <c r="H11" s="512">
        <v>5</v>
      </c>
      <c r="I11" s="513"/>
      <c r="J11" s="513"/>
      <c r="K11" s="1342"/>
      <c r="L11" s="1343"/>
      <c r="M11" s="1363"/>
      <c r="N11" s="510"/>
      <c r="O11" s="511"/>
      <c r="P11" s="1359"/>
      <c r="Q11" s="1361"/>
      <c r="R11" s="1361"/>
      <c r="S11" s="512">
        <v>1</v>
      </c>
      <c r="T11" s="512">
        <v>2</v>
      </c>
      <c r="U11" s="512">
        <v>3</v>
      </c>
      <c r="V11" s="512">
        <v>4</v>
      </c>
      <c r="W11" s="512">
        <v>5</v>
      </c>
      <c r="X11" s="513"/>
      <c r="Y11" s="513"/>
      <c r="Z11" s="1342"/>
      <c r="AA11" s="1343"/>
      <c r="AB11" s="1363"/>
    </row>
    <row r="12" spans="1:31" ht="54.95" customHeight="1" x14ac:dyDescent="0.25">
      <c r="A12" s="514">
        <f>IF(H9&lt;=8,VLOOKUP(F9,'Порядок встреч 2Ф'!A:G,5,FALSE),VLOOKUP(F9,'Порядок встреч 2Ф'!I:O,5,FALSE))</f>
        <v>0</v>
      </c>
      <c r="B12" s="515" t="e">
        <f>IF(A12="","",VLOOKUP(A12,'Списки участников'!A:H,3,FALSE))</f>
        <v>#N/A</v>
      </c>
      <c r="C12" s="516" t="e">
        <f>IF(A12="","",VLOOKUP(A12,'Списки участников'!A:H,6,FALSE))</f>
        <v>#N/A</v>
      </c>
      <c r="D12" s="517"/>
      <c r="E12" s="518"/>
      <c r="F12" s="519"/>
      <c r="G12" s="519"/>
      <c r="H12" s="519"/>
      <c r="I12" s="520"/>
      <c r="J12" s="520"/>
      <c r="K12" s="1345"/>
      <c r="L12" s="1346"/>
      <c r="M12" s="1347"/>
      <c r="N12" s="510"/>
      <c r="O12" s="511"/>
      <c r="P12" s="514">
        <f>IF(W9&lt;=8,VLOOKUP(U9,'Порядок встреч 2Ф'!A:G,5,FALSE),VLOOKUP(U9,'Порядок встреч 2Ф'!I:O,5,FALSE))</f>
        <v>0</v>
      </c>
      <c r="Q12" s="515" t="e">
        <f>IF(P12="","",VLOOKUP(P12,'Списки участников'!A:H,3,FALSE))</f>
        <v>#N/A</v>
      </c>
      <c r="R12" s="516" t="e">
        <f>IF(P12="","",VLOOKUP(P12,'Списки участников'!A:H,6,FALSE))</f>
        <v>#N/A</v>
      </c>
      <c r="S12" s="517"/>
      <c r="T12" s="518"/>
      <c r="U12" s="519"/>
      <c r="V12" s="519"/>
      <c r="W12" s="519"/>
      <c r="X12" s="520"/>
      <c r="Y12" s="520"/>
      <c r="Z12" s="1345"/>
      <c r="AA12" s="1346"/>
      <c r="AB12" s="1382"/>
    </row>
    <row r="13" spans="1:31" ht="54.95" customHeight="1" thickBot="1" x14ac:dyDescent="0.3">
      <c r="A13" s="514">
        <f>IF(H9&lt;=8,VLOOKUP(F9,'Порядок встреч 2Ф'!A:G,7,FALSE),VLOOKUP(F9,'Порядок встреч 2Ф'!I:O,7,FALSE))</f>
        <v>0</v>
      </c>
      <c r="B13" s="515" t="e">
        <f>IF(A13="","",VLOOKUP(A13,'Списки участников'!A:H,3,FALSE))</f>
        <v>#N/A</v>
      </c>
      <c r="C13" s="516" t="e">
        <f>IF(A13="","",VLOOKUP(A13,'Списки участников'!A:H,6,FALSE))</f>
        <v>#N/A</v>
      </c>
      <c r="D13" s="521"/>
      <c r="E13" s="522"/>
      <c r="F13" s="762"/>
      <c r="G13" s="762"/>
      <c r="H13" s="762"/>
      <c r="I13" s="763"/>
      <c r="J13" s="764"/>
      <c r="K13" s="1383"/>
      <c r="L13" s="1384"/>
      <c r="M13" s="921"/>
      <c r="N13" s="510"/>
      <c r="O13" s="511"/>
      <c r="P13" s="514">
        <f>IF(W9&lt;=8,VLOOKUP(U9,'Порядок встреч 2Ф'!A:G,7,FALSE),VLOOKUP(U9,'Порядок встреч 2Ф'!I:O,7,FALSE))</f>
        <v>0</v>
      </c>
      <c r="Q13" s="515" t="e">
        <f>IF(P13="","",VLOOKUP(P13,'Списки участников'!A:H,3,FALSE))</f>
        <v>#N/A</v>
      </c>
      <c r="R13" s="516" t="e">
        <f>IF(P13="","",VLOOKUP(P13,'Списки участников'!A:H,6,FALSE))</f>
        <v>#N/A</v>
      </c>
      <c r="S13" s="521"/>
      <c r="T13" s="522"/>
      <c r="U13" s="523"/>
      <c r="V13" s="523"/>
      <c r="W13" s="523"/>
      <c r="X13" s="524"/>
      <c r="Y13" s="525"/>
      <c r="Z13" s="1385"/>
      <c r="AA13" s="1386"/>
      <c r="AB13" s="1387"/>
    </row>
    <row r="14" spans="1:31" ht="20.100000000000001" customHeight="1" thickTop="1" thickBot="1" x14ac:dyDescent="0.35">
      <c r="A14" s="1371" t="s">
        <v>1034</v>
      </c>
      <c r="B14" s="1372"/>
      <c r="C14" s="1372"/>
      <c r="D14" s="1373" t="s">
        <v>1035</v>
      </c>
      <c r="E14" s="1395"/>
      <c r="F14" s="1376" t="s">
        <v>1036</v>
      </c>
      <c r="G14" s="1377"/>
      <c r="H14" s="1377"/>
      <c r="I14" s="1377"/>
      <c r="J14" s="1377"/>
      <c r="K14" s="1377"/>
      <c r="L14" s="1377"/>
      <c r="M14" s="1396"/>
      <c r="N14" s="526"/>
      <c r="P14" s="1371" t="s">
        <v>1034</v>
      </c>
      <c r="Q14" s="1372"/>
      <c r="R14" s="1372"/>
      <c r="S14" s="1373" t="s">
        <v>1035</v>
      </c>
      <c r="T14" s="1374"/>
      <c r="U14" s="1397" t="s">
        <v>1036</v>
      </c>
      <c r="V14" s="1398"/>
      <c r="W14" s="1398"/>
      <c r="X14" s="1398"/>
      <c r="Y14" s="1398"/>
      <c r="Z14" s="1398"/>
      <c r="AA14" s="1398"/>
      <c r="AB14" s="1399"/>
    </row>
    <row r="15" spans="1:31" ht="30" customHeight="1" thickTop="1" thickBot="1" x14ac:dyDescent="0.3">
      <c r="A15" s="1364"/>
      <c r="B15" s="1365"/>
      <c r="C15" s="1365"/>
      <c r="D15" s="1365"/>
      <c r="E15" s="1366"/>
      <c r="F15" s="1393"/>
      <c r="G15" s="1393"/>
      <c r="H15" s="1393"/>
      <c r="I15" s="1393"/>
      <c r="J15" s="1393"/>
      <c r="K15" s="1393"/>
      <c r="L15" s="1393"/>
      <c r="M15" s="1394"/>
      <c r="N15" s="526"/>
      <c r="P15" s="1364"/>
      <c r="Q15" s="1365"/>
      <c r="R15" s="1365"/>
      <c r="S15" s="1365"/>
      <c r="T15" s="1366"/>
      <c r="U15" s="1367"/>
      <c r="V15" s="1368"/>
      <c r="W15" s="1368"/>
      <c r="X15" s="1368"/>
      <c r="Y15" s="1368"/>
      <c r="Z15" s="1368"/>
      <c r="AA15" s="1368"/>
      <c r="AB15" s="1370"/>
    </row>
    <row r="16" spans="1:31" ht="16.5" customHeight="1" thickTop="1" thickBot="1" x14ac:dyDescent="0.3">
      <c r="A16" s="511"/>
      <c r="B16" s="511"/>
      <c r="C16" s="511"/>
      <c r="D16" s="511"/>
      <c r="E16" s="511"/>
      <c r="F16" s="511"/>
      <c r="G16" s="511"/>
      <c r="H16" s="511"/>
      <c r="I16" s="511"/>
      <c r="J16" s="511"/>
      <c r="K16" s="511"/>
      <c r="L16" s="511"/>
      <c r="M16" s="511"/>
      <c r="N16" s="528"/>
      <c r="O16" s="527"/>
      <c r="P16" s="511"/>
      <c r="Q16" s="511"/>
      <c r="R16" s="511"/>
      <c r="S16" s="511"/>
      <c r="T16" s="511"/>
      <c r="U16" s="511"/>
      <c r="V16" s="511"/>
      <c r="W16" s="511"/>
      <c r="X16" s="511"/>
      <c r="Y16" s="511"/>
      <c r="Z16" s="511"/>
      <c r="AA16" s="511"/>
      <c r="AB16" s="526"/>
    </row>
    <row r="17" spans="1:28" ht="20.25" thickTop="1" thickBot="1" x14ac:dyDescent="0.35">
      <c r="A17" s="504"/>
      <c r="B17" s="753" t="str">
        <f>B9</f>
        <v>2 ФИНАЛ</v>
      </c>
      <c r="C17" s="754" t="s">
        <v>1030</v>
      </c>
      <c r="D17" s="504" t="s">
        <v>762</v>
      </c>
      <c r="E17" s="505"/>
      <c r="F17" s="755">
        <f>F1+2</f>
        <v>115</v>
      </c>
      <c r="G17" s="756" t="s">
        <v>1031</v>
      </c>
      <c r="H17" s="757">
        <f>H1</f>
        <v>15</v>
      </c>
      <c r="I17" s="758">
        <v>1</v>
      </c>
      <c r="J17" s="765"/>
      <c r="K17" s="1401" t="str">
        <f>IF(H17&lt;=8,CONCATENATE(LOOKUP(F17,'Порядок встреч 2Ф'!A5:A68,'Порядок встреч 2Ф'!C5:C68),"-",LOOKUP(F17,'Порядок встреч 2Ф'!A5:A68,'Порядок встреч 2Ф'!D5:D68)),CONCATENATE(LOOKUP(F17,'Порядок встреч 2Ф'!I5:I60,'Порядок встреч 2Ф'!K5:K60),"-",LOOKUP(F17,'Порядок встреч 2Ф'!I5:I60,'Порядок встреч 2Ф'!L5:L60)))</f>
        <v>4-15</v>
      </c>
      <c r="L17" s="1389"/>
      <c r="M17" s="1390"/>
      <c r="N17" s="502"/>
      <c r="O17" s="502"/>
      <c r="P17" s="504"/>
      <c r="Q17" s="776" t="str">
        <f>B1</f>
        <v>2 ФИНАЛ</v>
      </c>
      <c r="R17" s="754" t="s">
        <v>1030</v>
      </c>
      <c r="S17" s="504" t="s">
        <v>762</v>
      </c>
      <c r="T17" s="505"/>
      <c r="U17" s="755">
        <f>F1+6</f>
        <v>119</v>
      </c>
      <c r="V17" s="756" t="s">
        <v>1031</v>
      </c>
      <c r="W17" s="757">
        <f>H1</f>
        <v>15</v>
      </c>
      <c r="X17" s="758">
        <v>1</v>
      </c>
      <c r="Y17" s="759"/>
      <c r="Z17" s="1388" t="str">
        <f>IF(W17&lt;=8,CONCATENATE(LOOKUP(U17,'Порядок встреч 2Ф'!A5:A68,'Порядок встреч 2Ф'!C5:C68),"-",LOOKUP(U17,'Порядок встреч 2Ф'!A5:A68,'Порядок встреч 2Ф'!D5:D68)),CONCATENATE(LOOKUP(U17,'Порядок встреч 2Ф'!I5:I60,'Порядок встреч 2Ф'!K5:K60),"-",LOOKUP(U17,'Порядок встреч 2Ф'!I5:I60,'Порядок встреч 2Ф'!L5:L60)))</f>
        <v>8-11</v>
      </c>
      <c r="AA17" s="1389"/>
      <c r="AB17" s="1390"/>
    </row>
    <row r="18" spans="1:28" ht="20.100000000000001" customHeight="1" thickTop="1" x14ac:dyDescent="0.25">
      <c r="A18" s="1391"/>
      <c r="B18" s="1392" t="s">
        <v>1032</v>
      </c>
      <c r="C18" s="1392" t="s">
        <v>44</v>
      </c>
      <c r="D18" s="1338" t="s">
        <v>965</v>
      </c>
      <c r="E18" s="1338"/>
      <c r="F18" s="1338"/>
      <c r="G18" s="1338"/>
      <c r="H18" s="1338"/>
      <c r="I18" s="1338"/>
      <c r="J18" s="1338"/>
      <c r="K18" s="1339" t="s">
        <v>1042</v>
      </c>
      <c r="L18" s="1340"/>
      <c r="M18" s="1362"/>
      <c r="N18" s="510"/>
      <c r="O18" s="511"/>
      <c r="P18" s="1391"/>
      <c r="Q18" s="1392" t="s">
        <v>1032</v>
      </c>
      <c r="R18" s="1392" t="s">
        <v>44</v>
      </c>
      <c r="S18" s="1338" t="s">
        <v>965</v>
      </c>
      <c r="T18" s="1338"/>
      <c r="U18" s="1338"/>
      <c r="V18" s="1338"/>
      <c r="W18" s="1338"/>
      <c r="X18" s="1338"/>
      <c r="Y18" s="1338"/>
      <c r="Z18" s="1339" t="s">
        <v>1042</v>
      </c>
      <c r="AA18" s="1340"/>
      <c r="AB18" s="1341"/>
    </row>
    <row r="19" spans="1:28" ht="20.100000000000001" customHeight="1" x14ac:dyDescent="0.25">
      <c r="A19" s="1359"/>
      <c r="B19" s="1361"/>
      <c r="C19" s="1361"/>
      <c r="D19" s="512">
        <v>1</v>
      </c>
      <c r="E19" s="512">
        <v>2</v>
      </c>
      <c r="F19" s="512">
        <v>3</v>
      </c>
      <c r="G19" s="512">
        <v>4</v>
      </c>
      <c r="H19" s="512">
        <v>5</v>
      </c>
      <c r="I19" s="513"/>
      <c r="J19" s="513"/>
      <c r="K19" s="1342"/>
      <c r="L19" s="1343"/>
      <c r="M19" s="1363"/>
      <c r="N19" s="510"/>
      <c r="O19" s="511"/>
      <c r="P19" s="1359"/>
      <c r="Q19" s="1361"/>
      <c r="R19" s="1361"/>
      <c r="S19" s="512">
        <v>1</v>
      </c>
      <c r="T19" s="512">
        <v>2</v>
      </c>
      <c r="U19" s="512">
        <v>3</v>
      </c>
      <c r="V19" s="512">
        <v>4</v>
      </c>
      <c r="W19" s="512">
        <v>5</v>
      </c>
      <c r="X19" s="513"/>
      <c r="Y19" s="513"/>
      <c r="Z19" s="1342"/>
      <c r="AA19" s="1343"/>
      <c r="AB19" s="1344"/>
    </row>
    <row r="20" spans="1:28" ht="54.95" customHeight="1" x14ac:dyDescent="0.25">
      <c r="A20" s="514">
        <f>IF(H17&lt;=8,VLOOKUP(F17,'Порядок встреч 2Ф'!A:G,5,FALSE),VLOOKUP(F17,'Порядок встреч 2Ф'!I:O,5,FALSE))</f>
        <v>0</v>
      </c>
      <c r="B20" s="515" t="e">
        <f>IF(A20="","",VLOOKUP(A20,'Списки участников'!A:H,3,FALSE))</f>
        <v>#N/A</v>
      </c>
      <c r="C20" s="516" t="e">
        <f>IF(A20="","",VLOOKUP(A20,'Списки участников'!A:H,6,FALSE))</f>
        <v>#N/A</v>
      </c>
      <c r="D20" s="517"/>
      <c r="E20" s="518"/>
      <c r="F20" s="519"/>
      <c r="G20" s="519"/>
      <c r="H20" s="519"/>
      <c r="I20" s="520"/>
      <c r="J20" s="520"/>
      <c r="K20" s="1348"/>
      <c r="L20" s="1349"/>
      <c r="M20" s="1400"/>
      <c r="N20" s="510"/>
      <c r="O20" s="511"/>
      <c r="P20" s="514">
        <f>IF(W17&lt;=8,VLOOKUP(U17,'Порядок встреч 2Ф'!A:G,5,FALSE),VLOOKUP(U17,'Порядок встреч 2Ф'!I:O,5,FALSE))</f>
        <v>0</v>
      </c>
      <c r="Q20" s="515" t="e">
        <f>IF(P20="","",VLOOKUP(P20,'Списки участников'!A:H,3,FALSE))</f>
        <v>#N/A</v>
      </c>
      <c r="R20" s="516" t="e">
        <f>IF(P20="","",VLOOKUP(P20,'Списки участников'!A:H,6,FALSE))</f>
        <v>#N/A</v>
      </c>
      <c r="S20" s="517"/>
      <c r="T20" s="518"/>
      <c r="U20" s="519"/>
      <c r="V20" s="519"/>
      <c r="W20" s="519"/>
      <c r="X20" s="520"/>
      <c r="Y20" s="520"/>
      <c r="Z20" s="1348"/>
      <c r="AA20" s="1349"/>
      <c r="AB20" s="1350"/>
    </row>
    <row r="21" spans="1:28" ht="54.95" customHeight="1" thickBot="1" x14ac:dyDescent="0.3">
      <c r="A21" s="514">
        <f>IF(H17&lt;=8,VLOOKUP(F17,'Порядок встреч 2Ф'!A:G,7,FALSE),VLOOKUP(F17,'Порядок встреч 2Ф'!I:O,7,FALSE))</f>
        <v>0</v>
      </c>
      <c r="B21" s="515" t="e">
        <f>IF(A21="","",VLOOKUP(A21,'Списки участников'!A:H,3,FALSE))</f>
        <v>#N/A</v>
      </c>
      <c r="C21" s="516" t="e">
        <f>IF(A21="","",VLOOKUP(A21,'Списки участников'!A:H,6,FALSE))</f>
        <v>#N/A</v>
      </c>
      <c r="D21" s="521"/>
      <c r="E21" s="522"/>
      <c r="F21" s="523"/>
      <c r="G21" s="523"/>
      <c r="H21" s="523"/>
      <c r="I21" s="760"/>
      <c r="J21" s="761"/>
      <c r="K21" s="1351"/>
      <c r="L21" s="1352"/>
      <c r="M21" s="1353"/>
      <c r="N21" s="510"/>
      <c r="O21" s="511"/>
      <c r="P21" s="775">
        <f>IF(W17&lt;=8,VLOOKUP(U17,'Порядок встреч 2Ф'!A:G,7,FALSE),VLOOKUP(U17,'Порядок встреч 2Ф'!I:O,7,FALSE))</f>
        <v>0</v>
      </c>
      <c r="Q21" s="778" t="e">
        <f>IF(P21="","",VLOOKUP(P21,'Списки участников'!A:H,3,FALSE))</f>
        <v>#N/A</v>
      </c>
      <c r="R21" s="779" t="e">
        <f>IF(P21="","",VLOOKUP(P21,'Списки участников'!A:H,6,FALSE))</f>
        <v>#N/A</v>
      </c>
      <c r="S21" s="521"/>
      <c r="T21" s="522"/>
      <c r="U21" s="523"/>
      <c r="V21" s="523"/>
      <c r="W21" s="523"/>
      <c r="X21" s="760"/>
      <c r="Y21" s="761"/>
      <c r="Z21" s="1351"/>
      <c r="AA21" s="1352"/>
      <c r="AB21" s="1354"/>
    </row>
    <row r="22" spans="1:28" ht="20.100000000000001" customHeight="1" thickTop="1" thickBot="1" x14ac:dyDescent="0.35">
      <c r="A22" s="1371" t="s">
        <v>1034</v>
      </c>
      <c r="B22" s="1372"/>
      <c r="C22" s="1372"/>
      <c r="D22" s="1373" t="s">
        <v>1035</v>
      </c>
      <c r="E22" s="1374"/>
      <c r="F22" s="1376" t="s">
        <v>1036</v>
      </c>
      <c r="G22" s="1377"/>
      <c r="H22" s="1377"/>
      <c r="I22" s="1377"/>
      <c r="J22" s="1377"/>
      <c r="K22" s="1377"/>
      <c r="L22" s="1377"/>
      <c r="M22" s="1396"/>
      <c r="N22" s="526"/>
      <c r="P22" s="1404" t="s">
        <v>1034</v>
      </c>
      <c r="Q22" s="1405"/>
      <c r="R22" s="1405"/>
      <c r="S22" s="1373" t="s">
        <v>1035</v>
      </c>
      <c r="T22" s="1374"/>
      <c r="U22" s="1397" t="s">
        <v>1036</v>
      </c>
      <c r="V22" s="1398"/>
      <c r="W22" s="1398"/>
      <c r="X22" s="1398"/>
      <c r="Y22" s="1398"/>
      <c r="Z22" s="1398"/>
      <c r="AA22" s="1398"/>
      <c r="AB22" s="1399"/>
    </row>
    <row r="23" spans="1:28" ht="30" customHeight="1" thickTop="1" thickBot="1" x14ac:dyDescent="0.3">
      <c r="A23" s="1364"/>
      <c r="B23" s="1365"/>
      <c r="C23" s="1365"/>
      <c r="D23" s="1365"/>
      <c r="E23" s="1366"/>
      <c r="F23" s="1367"/>
      <c r="G23" s="1368"/>
      <c r="H23" s="1368"/>
      <c r="I23" s="1368"/>
      <c r="J23" s="1368"/>
      <c r="K23" s="1368"/>
      <c r="L23" s="1368"/>
      <c r="M23" s="1369"/>
      <c r="N23" s="526"/>
      <c r="P23" s="1402"/>
      <c r="Q23" s="1403"/>
      <c r="R23" s="1403"/>
      <c r="S23" s="1365"/>
      <c r="T23" s="1366"/>
      <c r="U23" s="1367"/>
      <c r="V23" s="1368"/>
      <c r="W23" s="1368"/>
      <c r="X23" s="1368"/>
      <c r="Y23" s="1368"/>
      <c r="Z23" s="1368"/>
      <c r="AA23" s="1368"/>
      <c r="AB23" s="1370"/>
    </row>
    <row r="24" spans="1:28" ht="16.5" thickTop="1" thickBot="1" x14ac:dyDescent="0.3">
      <c r="A24" s="771"/>
      <c r="B24" s="771"/>
      <c r="C24" s="771"/>
      <c r="D24" s="771"/>
      <c r="E24" s="771"/>
      <c r="F24" s="771"/>
      <c r="G24" s="771"/>
      <c r="H24" s="771"/>
      <c r="I24" s="771"/>
      <c r="J24" s="771"/>
      <c r="K24" s="771"/>
      <c r="L24" s="771"/>
      <c r="M24" s="771"/>
      <c r="N24" s="528"/>
      <c r="O24" s="527"/>
      <c r="P24" s="511"/>
      <c r="Q24" s="771"/>
      <c r="R24" s="771"/>
      <c r="S24" s="511"/>
      <c r="T24" s="511"/>
      <c r="U24" s="511"/>
      <c r="V24" s="511"/>
      <c r="W24" s="511"/>
      <c r="X24" s="511"/>
      <c r="Y24" s="511"/>
      <c r="Z24" s="511"/>
      <c r="AA24" s="511"/>
      <c r="AB24" s="526"/>
    </row>
    <row r="25" spans="1:28" ht="20.25" thickTop="1" thickBot="1" x14ac:dyDescent="0.35">
      <c r="A25" s="502"/>
      <c r="B25" s="748" t="str">
        <f>B17</f>
        <v>2 ФИНАЛ</v>
      </c>
      <c r="C25" s="767" t="s">
        <v>1030</v>
      </c>
      <c r="D25" s="768" t="s">
        <v>762</v>
      </c>
      <c r="E25" s="769"/>
      <c r="F25" s="509">
        <f>F1+3</f>
        <v>116</v>
      </c>
      <c r="G25" s="506" t="s">
        <v>1031</v>
      </c>
      <c r="H25" s="770">
        <f>H1</f>
        <v>15</v>
      </c>
      <c r="I25" s="758">
        <v>1</v>
      </c>
      <c r="J25" s="765"/>
      <c r="K25" s="1401" t="str">
        <f>IF(H25&lt;=8,CONCATENATE(LOOKUP(F25,'Порядок встреч 2Ф'!A5:A68,'Порядок встреч 2Ф'!C5:C68),"-",LOOKUP(F25,'Порядок встреч 2Ф'!A5:A68,'Порядок встреч 2Ф'!D5:D68)),CONCATENATE(LOOKUP(F25,'Порядок встреч 2Ф'!I5:I60,'Порядок встреч 2Ф'!K5:K60),"-",LOOKUP(F25,'Порядок встреч 2Ф'!I5:I60,'Порядок встреч 2Ф'!L5:L60)))</f>
        <v>5-14</v>
      </c>
      <c r="L25" s="1389"/>
      <c r="M25" s="1390"/>
      <c r="N25" s="502"/>
      <c r="O25" s="502"/>
      <c r="P25" s="504"/>
      <c r="Q25" s="776" t="str">
        <f>B1</f>
        <v>2 ФИНАЛ</v>
      </c>
      <c r="R25" s="754" t="s">
        <v>1030</v>
      </c>
      <c r="S25" s="504" t="s">
        <v>762</v>
      </c>
      <c r="T25" s="505"/>
      <c r="U25" s="755">
        <f>F1+7</f>
        <v>120</v>
      </c>
      <c r="V25" s="756" t="s">
        <v>1031</v>
      </c>
      <c r="W25" s="757">
        <f>H1</f>
        <v>15</v>
      </c>
      <c r="X25" s="758">
        <v>1</v>
      </c>
      <c r="Y25" s="759"/>
      <c r="Z25" s="1388" t="str">
        <f>IF(W25&lt;=8,CONCATENATE(LOOKUP(U25,'Порядок встреч 2Ф'!A5:A68,'Порядок встреч 2Ф'!C5:C68),"-",LOOKUP(U25,'Порядок встреч 2Ф'!A5:A68,'Порядок встреч 2Ф'!D5:D68)),CONCATENATE(LOOKUP(U25,'Порядок встреч 2Ф'!I5:I60,'Порядок встреч 2Ф'!K5:K60),"-",LOOKUP(U25,'Порядок встреч 2Ф'!I5:I60,'Порядок встреч 2Ф'!L5:L60)))</f>
        <v>9-10</v>
      </c>
      <c r="AA25" s="1389"/>
      <c r="AB25" s="1390"/>
    </row>
    <row r="26" spans="1:28" ht="20.100000000000001" customHeight="1" thickTop="1" x14ac:dyDescent="0.25">
      <c r="A26" s="1358"/>
      <c r="B26" s="1360" t="s">
        <v>1032</v>
      </c>
      <c r="C26" s="1360" t="s">
        <v>44</v>
      </c>
      <c r="D26" s="1337" t="s">
        <v>965</v>
      </c>
      <c r="E26" s="1337"/>
      <c r="F26" s="1337"/>
      <c r="G26" s="1337"/>
      <c r="H26" s="1338"/>
      <c r="I26" s="1338"/>
      <c r="J26" s="1338"/>
      <c r="K26" s="1339" t="s">
        <v>1042</v>
      </c>
      <c r="L26" s="1340"/>
      <c r="M26" s="1362"/>
      <c r="N26" s="510"/>
      <c r="O26" s="511"/>
      <c r="P26" s="1391"/>
      <c r="Q26" s="1392" t="s">
        <v>1032</v>
      </c>
      <c r="R26" s="1392" t="s">
        <v>44</v>
      </c>
      <c r="S26" s="1338" t="s">
        <v>965</v>
      </c>
      <c r="T26" s="1338"/>
      <c r="U26" s="1338"/>
      <c r="V26" s="1338"/>
      <c r="W26" s="1338"/>
      <c r="X26" s="1338"/>
      <c r="Y26" s="1338"/>
      <c r="Z26" s="1339" t="s">
        <v>1042</v>
      </c>
      <c r="AA26" s="1340"/>
      <c r="AB26" s="1341"/>
    </row>
    <row r="27" spans="1:28" ht="20.100000000000001" customHeight="1" x14ac:dyDescent="0.25">
      <c r="A27" s="1359"/>
      <c r="B27" s="1361"/>
      <c r="C27" s="1361"/>
      <c r="D27" s="512">
        <v>1</v>
      </c>
      <c r="E27" s="512">
        <v>2</v>
      </c>
      <c r="F27" s="512">
        <v>3</v>
      </c>
      <c r="G27" s="512">
        <v>4</v>
      </c>
      <c r="H27" s="512">
        <v>5</v>
      </c>
      <c r="I27" s="513"/>
      <c r="J27" s="513"/>
      <c r="K27" s="1342"/>
      <c r="L27" s="1343"/>
      <c r="M27" s="1363"/>
      <c r="N27" s="510"/>
      <c r="O27" s="511"/>
      <c r="P27" s="1359"/>
      <c r="Q27" s="1361"/>
      <c r="R27" s="1361"/>
      <c r="S27" s="512">
        <v>1</v>
      </c>
      <c r="T27" s="512">
        <v>2</v>
      </c>
      <c r="U27" s="512">
        <v>3</v>
      </c>
      <c r="V27" s="512">
        <v>4</v>
      </c>
      <c r="W27" s="512">
        <v>5</v>
      </c>
      <c r="X27" s="513"/>
      <c r="Y27" s="513"/>
      <c r="Z27" s="1342"/>
      <c r="AA27" s="1343"/>
      <c r="AB27" s="1344"/>
    </row>
    <row r="28" spans="1:28" ht="54.95" customHeight="1" x14ac:dyDescent="0.25">
      <c r="A28" s="514">
        <f>IF(H25&lt;=8,VLOOKUP(F25,'Порядок встреч 2Ф'!A:G,5,FALSE),VLOOKUP(F25,'Порядок встреч 2Ф'!I:O,5,FALSE))</f>
        <v>0</v>
      </c>
      <c r="B28" s="515" t="e">
        <f>IF(A28="","",VLOOKUP(A28,'Списки участников'!A:H,3,FALSE))</f>
        <v>#N/A</v>
      </c>
      <c r="C28" s="516" t="e">
        <f>IF(A28="","",VLOOKUP(A28,'Списки участников'!A:H,6,FALSE))</f>
        <v>#N/A</v>
      </c>
      <c r="D28" s="517"/>
      <c r="E28" s="518"/>
      <c r="F28" s="519"/>
      <c r="G28" s="519"/>
      <c r="H28" s="519"/>
      <c r="I28" s="520"/>
      <c r="J28" s="520"/>
      <c r="K28" s="1348"/>
      <c r="L28" s="1349"/>
      <c r="M28" s="1400"/>
      <c r="N28" s="510"/>
      <c r="O28" s="511"/>
      <c r="P28" s="514">
        <f>IF(W25&lt;=8,VLOOKUP(U25,'Порядок встреч 2Ф'!A:G,5,FALSE),VLOOKUP(U25,'Порядок встреч 2Ф'!I:O,5,FALSE))</f>
        <v>0</v>
      </c>
      <c r="Q28" s="515" t="e">
        <f>IF(P28="","",VLOOKUP(P28,'Списки участников'!A:H,3,FALSE))</f>
        <v>#N/A</v>
      </c>
      <c r="R28" s="516" t="e">
        <f>IF(P28="","",VLOOKUP(P28,'Списки участников'!A:H,6,FALSE))</f>
        <v>#N/A</v>
      </c>
      <c r="S28" s="517"/>
      <c r="T28" s="518"/>
      <c r="U28" s="519"/>
      <c r="V28" s="519"/>
      <c r="W28" s="519"/>
      <c r="X28" s="520"/>
      <c r="Y28" s="520"/>
      <c r="Z28" s="1348"/>
      <c r="AA28" s="1349"/>
      <c r="AB28" s="1350"/>
    </row>
    <row r="29" spans="1:28" ht="54.95" customHeight="1" thickBot="1" x14ac:dyDescent="0.3">
      <c r="A29" s="514">
        <f>IF(H25&lt;=8,VLOOKUP(F25,'Порядок встреч 2Ф'!A:G,7,FALSE),VLOOKUP(F25,'Порядок встреч 2Ф'!I:O,7,FALSE))</f>
        <v>0</v>
      </c>
      <c r="B29" s="515" t="e">
        <f>IF(A29="","",VLOOKUP(A29,'Списки участников'!A:H,3,FALSE))</f>
        <v>#N/A</v>
      </c>
      <c r="C29" s="516" t="e">
        <f>IF(A29="","",VLOOKUP(A29,'Списки участников'!A:H,6,FALSE))</f>
        <v>#N/A</v>
      </c>
      <c r="D29" s="521"/>
      <c r="E29" s="522"/>
      <c r="F29" s="772"/>
      <c r="G29" s="772"/>
      <c r="H29" s="772"/>
      <c r="I29" s="773"/>
      <c r="J29" s="774"/>
      <c r="K29" s="1384"/>
      <c r="L29" s="1406"/>
      <c r="M29" s="1407"/>
      <c r="N29" s="510"/>
      <c r="O29" s="511"/>
      <c r="P29" s="775">
        <f>IF(W25&lt;=8,VLOOKUP(U25,'Порядок встреч 2Ф'!A:G,7,FALSE),VLOOKUP(U25,'Порядок встреч 2Ф'!I:O,7,FALSE))</f>
        <v>0</v>
      </c>
      <c r="Q29" s="778" t="e">
        <f>IF(P29="","",VLOOKUP(P29,'Списки участников'!A:H,3,FALSE))</f>
        <v>#N/A</v>
      </c>
      <c r="R29" s="779" t="e">
        <f>IF(P29="","",VLOOKUP(P29,'Списки участников'!A:H,6,FALSE))</f>
        <v>#N/A</v>
      </c>
      <c r="S29" s="521"/>
      <c r="T29" s="522"/>
      <c r="U29" s="523"/>
      <c r="V29" s="523"/>
      <c r="W29" s="523"/>
      <c r="X29" s="524"/>
      <c r="Y29" s="525"/>
      <c r="Z29" s="1351"/>
      <c r="AA29" s="1352"/>
      <c r="AB29" s="1354"/>
    </row>
    <row r="30" spans="1:28" ht="20.100000000000001" customHeight="1" thickTop="1" thickBot="1" x14ac:dyDescent="0.35">
      <c r="A30" s="1371" t="s">
        <v>1034</v>
      </c>
      <c r="B30" s="1372"/>
      <c r="C30" s="1372"/>
      <c r="D30" s="1373" t="s">
        <v>1035</v>
      </c>
      <c r="E30" s="1374"/>
      <c r="F30" s="1408" t="s">
        <v>1036</v>
      </c>
      <c r="G30" s="1409"/>
      <c r="H30" s="1409"/>
      <c r="I30" s="1409"/>
      <c r="J30" s="1409"/>
      <c r="K30" s="1409"/>
      <c r="L30" s="1409"/>
      <c r="M30" s="1410"/>
      <c r="N30" s="526"/>
      <c r="P30" s="1404" t="s">
        <v>1034</v>
      </c>
      <c r="Q30" s="1405"/>
      <c r="R30" s="1405"/>
      <c r="S30" s="1373" t="s">
        <v>1035</v>
      </c>
      <c r="T30" s="1374"/>
      <c r="U30" s="1411" t="s">
        <v>1036</v>
      </c>
      <c r="V30" s="1412"/>
      <c r="W30" s="1412"/>
      <c r="X30" s="1412"/>
      <c r="Y30" s="1412"/>
      <c r="Z30" s="1412"/>
      <c r="AA30" s="1412"/>
      <c r="AB30" s="1413"/>
    </row>
    <row r="31" spans="1:28" ht="30" customHeight="1" thickTop="1" thickBot="1" x14ac:dyDescent="0.3">
      <c r="A31" s="1364"/>
      <c r="B31" s="1365"/>
      <c r="C31" s="1365"/>
      <c r="D31" s="1365"/>
      <c r="E31" s="1366"/>
      <c r="F31" s="1367"/>
      <c r="G31" s="1368"/>
      <c r="H31" s="1368"/>
      <c r="I31" s="1368"/>
      <c r="J31" s="1368"/>
      <c r="K31" s="1368"/>
      <c r="L31" s="1368"/>
      <c r="M31" s="1369"/>
      <c r="N31" s="526"/>
      <c r="P31" s="1402"/>
      <c r="Q31" s="1403"/>
      <c r="R31" s="1403"/>
      <c r="S31" s="1403"/>
      <c r="T31" s="1366"/>
      <c r="U31" s="751"/>
      <c r="V31" s="752"/>
      <c r="W31" s="752"/>
      <c r="X31" s="752"/>
      <c r="Y31" s="752"/>
      <c r="Z31" s="1368"/>
      <c r="AA31" s="1368"/>
      <c r="AB31" s="1370"/>
    </row>
    <row r="32" spans="1:28" ht="15.75" thickTop="1" x14ac:dyDescent="0.25">
      <c r="A32" s="527"/>
      <c r="B32" s="527"/>
      <c r="C32" s="527"/>
      <c r="D32" s="527"/>
      <c r="E32" s="527"/>
      <c r="F32" s="527"/>
      <c r="G32" s="511"/>
      <c r="H32" s="511"/>
      <c r="I32" s="527"/>
      <c r="J32" s="527"/>
      <c r="K32" s="527"/>
      <c r="L32" s="527"/>
      <c r="M32" s="527"/>
      <c r="N32" s="528"/>
      <c r="O32" s="527"/>
      <c r="P32" s="527"/>
      <c r="Q32" s="780"/>
      <c r="R32" s="780"/>
      <c r="S32" s="780"/>
      <c r="T32" s="527"/>
      <c r="U32" s="527"/>
      <c r="V32" s="511"/>
      <c r="W32" s="511"/>
      <c r="X32" s="527"/>
      <c r="Y32" s="527"/>
      <c r="Z32" s="527"/>
      <c r="AA32" s="527"/>
      <c r="AB32" s="528"/>
    </row>
    <row r="34" spans="3:3" x14ac:dyDescent="0.25">
      <c r="C34" s="766"/>
    </row>
  </sheetData>
  <mergeCells count="112">
    <mergeCell ref="A31:C31"/>
    <mergeCell ref="D31:E31"/>
    <mergeCell ref="F31:M31"/>
    <mergeCell ref="P31:R31"/>
    <mergeCell ref="S31:T31"/>
    <mergeCell ref="Z31:AB31"/>
    <mergeCell ref="A30:C30"/>
    <mergeCell ref="D30:E30"/>
    <mergeCell ref="F30:M30"/>
    <mergeCell ref="P30:R30"/>
    <mergeCell ref="S30:T30"/>
    <mergeCell ref="U30:AB30"/>
    <mergeCell ref="S26:Y26"/>
    <mergeCell ref="Z26:AB27"/>
    <mergeCell ref="K28:M28"/>
    <mergeCell ref="Z28:AB28"/>
    <mergeCell ref="K29:M29"/>
    <mergeCell ref="Z29:AB29"/>
    <mergeCell ref="K25:M25"/>
    <mergeCell ref="Z25:AB25"/>
    <mergeCell ref="A26:A27"/>
    <mergeCell ref="B26:B27"/>
    <mergeCell ref="C26:C27"/>
    <mergeCell ref="D26:J26"/>
    <mergeCell ref="K26:M27"/>
    <mergeCell ref="P26:P27"/>
    <mergeCell ref="Q26:Q27"/>
    <mergeCell ref="R26:R27"/>
    <mergeCell ref="A23:C23"/>
    <mergeCell ref="D23:E23"/>
    <mergeCell ref="F23:M23"/>
    <mergeCell ref="P23:R23"/>
    <mergeCell ref="S23:T23"/>
    <mergeCell ref="U23:AB23"/>
    <mergeCell ref="A22:C22"/>
    <mergeCell ref="D22:E22"/>
    <mergeCell ref="F22:M22"/>
    <mergeCell ref="P22:R22"/>
    <mergeCell ref="S22:T22"/>
    <mergeCell ref="U22:AB22"/>
    <mergeCell ref="S18:Y18"/>
    <mergeCell ref="Z18:AB19"/>
    <mergeCell ref="K20:M20"/>
    <mergeCell ref="Z20:AB20"/>
    <mergeCell ref="K21:M21"/>
    <mergeCell ref="Z21:AB21"/>
    <mergeCell ref="K17:M17"/>
    <mergeCell ref="Z17:AB17"/>
    <mergeCell ref="A18:A19"/>
    <mergeCell ref="B18:B19"/>
    <mergeCell ref="C18:C19"/>
    <mergeCell ref="D18:J18"/>
    <mergeCell ref="K18:M19"/>
    <mergeCell ref="P18:P19"/>
    <mergeCell ref="Q18:Q19"/>
    <mergeCell ref="R18:R19"/>
    <mergeCell ref="A15:C15"/>
    <mergeCell ref="D15:E15"/>
    <mergeCell ref="F15:M15"/>
    <mergeCell ref="P15:R15"/>
    <mergeCell ref="S15:T15"/>
    <mergeCell ref="U15:AB15"/>
    <mergeCell ref="A14:C14"/>
    <mergeCell ref="D14:E14"/>
    <mergeCell ref="F14:M14"/>
    <mergeCell ref="P14:R14"/>
    <mergeCell ref="S14:T14"/>
    <mergeCell ref="U14:AB14"/>
    <mergeCell ref="S10:Y10"/>
    <mergeCell ref="Z10:AB11"/>
    <mergeCell ref="K12:M12"/>
    <mergeCell ref="Z12:AB12"/>
    <mergeCell ref="K13:L13"/>
    <mergeCell ref="Z13:AB13"/>
    <mergeCell ref="K9:M9"/>
    <mergeCell ref="Z9:AB9"/>
    <mergeCell ref="A10:A11"/>
    <mergeCell ref="B10:B11"/>
    <mergeCell ref="C10:C11"/>
    <mergeCell ref="D10:J10"/>
    <mergeCell ref="K10:M11"/>
    <mergeCell ref="P10:P11"/>
    <mergeCell ref="Q10:Q11"/>
    <mergeCell ref="R10:R11"/>
    <mergeCell ref="A7:C7"/>
    <mergeCell ref="D7:E7"/>
    <mergeCell ref="F7:M7"/>
    <mergeCell ref="P7:R7"/>
    <mergeCell ref="S7:T7"/>
    <mergeCell ref="U7:AB7"/>
    <mergeCell ref="A6:C6"/>
    <mergeCell ref="D6:E6"/>
    <mergeCell ref="F6:M6"/>
    <mergeCell ref="P6:R6"/>
    <mergeCell ref="S6:T6"/>
    <mergeCell ref="U6:AB6"/>
    <mergeCell ref="S2:Y2"/>
    <mergeCell ref="Z2:AB3"/>
    <mergeCell ref="K4:M4"/>
    <mergeCell ref="Z4:AB4"/>
    <mergeCell ref="K5:M5"/>
    <mergeCell ref="Z5:AB5"/>
    <mergeCell ref="K1:M1"/>
    <mergeCell ref="Z1:AB1"/>
    <mergeCell ref="A2:A3"/>
    <mergeCell ref="B2:B3"/>
    <mergeCell ref="C2:C3"/>
    <mergeCell ref="D2:J2"/>
    <mergeCell ref="K2:M3"/>
    <mergeCell ref="P2:P3"/>
    <mergeCell ref="Q2:Q3"/>
    <mergeCell ref="R2:R3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58" orientation="landscape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E34"/>
  <sheetViews>
    <sheetView view="pageBreakPreview" topLeftCell="B1" zoomScale="80" zoomScaleNormal="100" zoomScaleSheetLayoutView="80" workbookViewId="0">
      <selection activeCell="F1" sqref="F1"/>
    </sheetView>
  </sheetViews>
  <sheetFormatPr defaultRowHeight="15" outlineLevelCol="1" x14ac:dyDescent="0.25"/>
  <cols>
    <col min="1" max="1" width="7.6640625" style="128" hidden="1" customWidth="1" outlineLevel="1"/>
    <col min="2" max="2" width="47.33203125" style="128" customWidth="1" collapsed="1"/>
    <col min="3" max="3" width="20.83203125" style="128" customWidth="1"/>
    <col min="4" max="8" width="10.83203125" style="128" customWidth="1"/>
    <col min="9" max="10" width="0" style="128" hidden="1" customWidth="1"/>
    <col min="11" max="11" width="6.6640625" style="128" customWidth="1"/>
    <col min="12" max="12" width="0.6640625" style="128" hidden="1" customWidth="1"/>
    <col min="13" max="13" width="6.6640625" style="128" customWidth="1"/>
    <col min="14" max="15" width="3.1640625" style="128" customWidth="1"/>
    <col min="16" max="16" width="8.33203125" style="128" hidden="1" customWidth="1" outlineLevel="1"/>
    <col min="17" max="17" width="45.33203125" style="128" customWidth="1" collapsed="1"/>
    <col min="18" max="18" width="19.1640625" style="128" customWidth="1"/>
    <col min="19" max="23" width="10.83203125" style="128" customWidth="1"/>
    <col min="24" max="25" width="0" style="128" hidden="1" customWidth="1"/>
    <col min="26" max="26" width="10.83203125" style="128" customWidth="1"/>
    <col min="27" max="27" width="10.6640625" style="128" hidden="1" customWidth="1"/>
    <col min="28" max="28" width="2" style="128" customWidth="1"/>
    <col min="29" max="16384" width="9.33203125" style="128"/>
  </cols>
  <sheetData>
    <row r="1" spans="1:31" s="502" customFormat="1" ht="20.100000000000001" customHeight="1" thickTop="1" thickBot="1" x14ac:dyDescent="0.35">
      <c r="B1" s="748" t="str">
        <f>'Порядок встреч 3Ф'!H2</f>
        <v>3 ФИНАЛ</v>
      </c>
      <c r="C1" s="503" t="s">
        <v>1030</v>
      </c>
      <c r="D1" s="504" t="s">
        <v>762</v>
      </c>
      <c r="E1" s="505"/>
      <c r="F1" s="747">
        <f>LOOKUP(H1,'Порядок встреч 3Ф'!Q5:Q19,'Порядок встреч 3Ф'!R5:R19)</f>
        <v>113</v>
      </c>
      <c r="G1" s="506" t="s">
        <v>1031</v>
      </c>
      <c r="H1" s="781">
        <v>15</v>
      </c>
      <c r="I1" s="507">
        <v>1</v>
      </c>
      <c r="J1" s="508"/>
      <c r="K1" s="1355" t="str">
        <f>IF(H1&lt;=8,CONCATENATE(LOOKUP(F1,'Порядок встреч 2Ф'!A5:A68,'Порядок встреч 2Ф'!C5:C68),"-",LOOKUP(F1,'Порядок встреч 2Ф'!A5:A68,'Порядок встреч 2Ф'!D5:D68)),CONCATENATE(LOOKUP(F1,'Порядок встреч 2Ф'!I5:I60,'Порядок встреч 2Ф'!K5:K60),"-",LOOKUP(F1,'Порядок встреч 2Ф'!I5:I60,'Порядок встреч 2Ф'!L5:L60)))</f>
        <v>1-2</v>
      </c>
      <c r="L1" s="1356"/>
      <c r="M1" s="1357"/>
      <c r="P1" s="765"/>
      <c r="Q1" s="753" t="str">
        <f>B1</f>
        <v>3 ФИНАЛ</v>
      </c>
      <c r="R1" s="754" t="s">
        <v>1030</v>
      </c>
      <c r="S1" s="504" t="s">
        <v>762</v>
      </c>
      <c r="T1" s="505"/>
      <c r="U1" s="755">
        <f>F1+4</f>
        <v>117</v>
      </c>
      <c r="V1" s="756" t="s">
        <v>1031</v>
      </c>
      <c r="W1" s="757">
        <f>H1</f>
        <v>15</v>
      </c>
      <c r="X1" s="758">
        <v>1</v>
      </c>
      <c r="Y1" s="765"/>
      <c r="Z1" s="1355" t="str">
        <f>IF(W1&lt;=8,CONCATENATE(LOOKUP(U1,'Порядок встреч 2Ф'!A5:A68,'Порядок встреч 2Ф'!C5:C68),"-",LOOKUP(U1,'Порядок встреч 2Ф'!A5:A68,'Порядок встреч 2Ф'!D5:D68)),CONCATENATE(LOOKUP(U1,'Порядок встреч 2Ф'!I5:I60,'Порядок встреч 2Ф'!K5:K60),"-",LOOKUP(U1,'Порядок встреч 2Ф'!I5:I60,'Порядок встреч 2Ф'!L5:L60)))</f>
        <v>6-13</v>
      </c>
      <c r="AA1" s="1356"/>
      <c r="AB1" s="1356"/>
    </row>
    <row r="2" spans="1:31" ht="16.5" customHeight="1" thickTop="1" x14ac:dyDescent="0.25">
      <c r="A2" s="1358"/>
      <c r="B2" s="1360" t="s">
        <v>1032</v>
      </c>
      <c r="C2" s="1360" t="s">
        <v>44</v>
      </c>
      <c r="D2" s="1337" t="s">
        <v>965</v>
      </c>
      <c r="E2" s="1337"/>
      <c r="F2" s="1337"/>
      <c r="G2" s="1337"/>
      <c r="H2" s="1338"/>
      <c r="I2" s="1338"/>
      <c r="J2" s="1338"/>
      <c r="K2" s="1339" t="s">
        <v>1042</v>
      </c>
      <c r="L2" s="1340"/>
      <c r="M2" s="1362"/>
      <c r="N2" s="510"/>
      <c r="O2" s="511"/>
      <c r="P2" s="1358"/>
      <c r="Q2" s="1360" t="s">
        <v>1032</v>
      </c>
      <c r="R2" s="1360" t="s">
        <v>44</v>
      </c>
      <c r="S2" s="1337" t="s">
        <v>965</v>
      </c>
      <c r="T2" s="1337"/>
      <c r="U2" s="1337"/>
      <c r="V2" s="1337"/>
      <c r="W2" s="1338"/>
      <c r="X2" s="1338"/>
      <c r="Y2" s="1338"/>
      <c r="Z2" s="1339" t="s">
        <v>1033</v>
      </c>
      <c r="AA2" s="1340"/>
      <c r="AB2" s="1341"/>
    </row>
    <row r="3" spans="1:31" ht="15.75" x14ac:dyDescent="0.25">
      <c r="A3" s="1359"/>
      <c r="B3" s="1361"/>
      <c r="C3" s="1361"/>
      <c r="D3" s="512">
        <v>1</v>
      </c>
      <c r="E3" s="512">
        <v>2</v>
      </c>
      <c r="F3" s="512">
        <v>3</v>
      </c>
      <c r="G3" s="512">
        <v>4</v>
      </c>
      <c r="H3" s="512">
        <v>5</v>
      </c>
      <c r="I3" s="513"/>
      <c r="J3" s="513"/>
      <c r="K3" s="1342"/>
      <c r="L3" s="1343"/>
      <c r="M3" s="1363"/>
      <c r="N3" s="510"/>
      <c r="O3" s="511"/>
      <c r="P3" s="1359"/>
      <c r="Q3" s="1361"/>
      <c r="R3" s="1361"/>
      <c r="S3" s="512">
        <v>1</v>
      </c>
      <c r="T3" s="512">
        <v>2</v>
      </c>
      <c r="U3" s="512">
        <v>3</v>
      </c>
      <c r="V3" s="512">
        <v>4</v>
      </c>
      <c r="W3" s="512">
        <v>5</v>
      </c>
      <c r="X3" s="513"/>
      <c r="Y3" s="513"/>
      <c r="Z3" s="1342"/>
      <c r="AA3" s="1343"/>
      <c r="AB3" s="1344"/>
    </row>
    <row r="4" spans="1:31" ht="54.95" customHeight="1" x14ac:dyDescent="0.25">
      <c r="A4" s="514">
        <f>IF(H1&lt;=8,VLOOKUP(F1,'Порядок встреч 3Ф'!A:G,5,FALSE),VLOOKUP(F1,'Порядок встреч 3Ф'!I:O,5,FALSE))</f>
        <v>0</v>
      </c>
      <c r="B4" s="515" t="e">
        <f>IF(A4="","",VLOOKUP(A4,'Списки участников'!A:H,3,FALSE))</f>
        <v>#N/A</v>
      </c>
      <c r="C4" s="516" t="e">
        <f>IF(A4="","",VLOOKUP(A4,'Списки участников'!A:H,6,FALSE))</f>
        <v>#N/A</v>
      </c>
      <c r="D4" s="517"/>
      <c r="E4" s="518"/>
      <c r="F4" s="519"/>
      <c r="G4" s="519"/>
      <c r="H4" s="519"/>
      <c r="I4" s="520"/>
      <c r="J4" s="520"/>
      <c r="K4" s="1345"/>
      <c r="L4" s="1346"/>
      <c r="M4" s="1347"/>
      <c r="N4" s="510"/>
      <c r="O4" s="511"/>
      <c r="P4" s="514">
        <f>IF(W1&lt;=8,VLOOKUP(U1,'Порядок встреч 3Ф'!A:G,5,FALSE),VLOOKUP(U1,'Порядок встреч 3Ф'!I:O,5,FALSE))</f>
        <v>0</v>
      </c>
      <c r="Q4" s="515" t="e">
        <f>IF(P4="","",VLOOKUP(P4,'Списки участников'!A:H,3,FALSE))</f>
        <v>#N/A</v>
      </c>
      <c r="R4" s="516" t="e">
        <f>IF(P4="","",VLOOKUP(P4,'Списки участников'!A:H,6,FALSE))</f>
        <v>#N/A</v>
      </c>
      <c r="S4" s="517"/>
      <c r="T4" s="518"/>
      <c r="U4" s="519"/>
      <c r="V4" s="519"/>
      <c r="W4" s="519"/>
      <c r="X4" s="520"/>
      <c r="Y4" s="520"/>
      <c r="Z4" s="1348"/>
      <c r="AA4" s="1349"/>
      <c r="AB4" s="1350"/>
    </row>
    <row r="5" spans="1:31" ht="54.95" customHeight="1" thickBot="1" x14ac:dyDescent="0.3">
      <c r="A5" s="514">
        <f>IF(H1&lt;=8,VLOOKUP(F1,'Порядок встреч 3Ф'!A:G,7,FALSE),VLOOKUP(F1,'Порядок встреч 3Ф'!I:O,7,FALSE))</f>
        <v>0</v>
      </c>
      <c r="B5" s="515" t="e">
        <f>IF(A5="","",VLOOKUP(A5,'Списки участников'!A:H,3,FALSE))</f>
        <v>#N/A</v>
      </c>
      <c r="C5" s="516" t="e">
        <f>IF(A5="","",VLOOKUP(A5,'Списки участников'!A:H,6,FALSE))</f>
        <v>#N/A</v>
      </c>
      <c r="D5" s="521"/>
      <c r="E5" s="522"/>
      <c r="F5" s="523"/>
      <c r="G5" s="523"/>
      <c r="H5" s="523"/>
      <c r="I5" s="524"/>
      <c r="J5" s="525"/>
      <c r="K5" s="1351"/>
      <c r="L5" s="1352"/>
      <c r="M5" s="1353"/>
      <c r="N5" s="510"/>
      <c r="O5" s="511"/>
      <c r="P5" s="514">
        <f>IF(W1&lt;=8,VLOOKUP(U1,'Порядок встреч 3Ф'!A:G,7,FALSE),VLOOKUP(U1,'Порядок встреч 3Ф'!I:O,7,FALSE))</f>
        <v>0</v>
      </c>
      <c r="Q5" s="515" t="e">
        <f>IF(P5="","",VLOOKUP(P5,'Списки участников'!A:H,3,FALSE))</f>
        <v>#N/A</v>
      </c>
      <c r="R5" s="516" t="e">
        <f>IF(P5="","",VLOOKUP(P5,'Списки участников'!A:H,6,FALSE))</f>
        <v>#N/A</v>
      </c>
      <c r="S5" s="521"/>
      <c r="T5" s="522"/>
      <c r="U5" s="523"/>
      <c r="V5" s="523"/>
      <c r="W5" s="523"/>
      <c r="X5" s="524"/>
      <c r="Y5" s="525"/>
      <c r="Z5" s="1351"/>
      <c r="AA5" s="1352"/>
      <c r="AB5" s="1354"/>
    </row>
    <row r="6" spans="1:31" ht="20.100000000000001" customHeight="1" thickTop="1" thickBot="1" x14ac:dyDescent="0.35">
      <c r="A6" s="1371" t="s">
        <v>1034</v>
      </c>
      <c r="B6" s="1372"/>
      <c r="C6" s="1372"/>
      <c r="D6" s="1373" t="s">
        <v>1035</v>
      </c>
      <c r="E6" s="1374"/>
      <c r="F6" s="1375" t="s">
        <v>1036</v>
      </c>
      <c r="G6" s="1375"/>
      <c r="H6" s="1375"/>
      <c r="I6" s="1375"/>
      <c r="J6" s="1375"/>
      <c r="K6" s="1375"/>
      <c r="L6" s="1375"/>
      <c r="M6" s="1375"/>
      <c r="N6" s="526"/>
      <c r="P6" s="1371" t="s">
        <v>1034</v>
      </c>
      <c r="Q6" s="1372"/>
      <c r="R6" s="1372"/>
      <c r="S6" s="1373" t="s">
        <v>1035</v>
      </c>
      <c r="T6" s="1374"/>
      <c r="U6" s="1376" t="s">
        <v>1036</v>
      </c>
      <c r="V6" s="1377"/>
      <c r="W6" s="1377"/>
      <c r="X6" s="1377"/>
      <c r="Y6" s="1377"/>
      <c r="Z6" s="1377"/>
      <c r="AA6" s="1377"/>
      <c r="AB6" s="1378"/>
    </row>
    <row r="7" spans="1:31" ht="30" customHeight="1" thickTop="1" thickBot="1" x14ac:dyDescent="0.3">
      <c r="A7" s="1364"/>
      <c r="B7" s="1365"/>
      <c r="C7" s="1365"/>
      <c r="D7" s="1365"/>
      <c r="E7" s="1366"/>
      <c r="F7" s="1367"/>
      <c r="G7" s="1368"/>
      <c r="H7" s="1368"/>
      <c r="I7" s="1368"/>
      <c r="J7" s="1368"/>
      <c r="K7" s="1368"/>
      <c r="L7" s="1368"/>
      <c r="M7" s="1369"/>
      <c r="N7" s="526"/>
      <c r="P7" s="1364"/>
      <c r="Q7" s="1365"/>
      <c r="R7" s="1365"/>
      <c r="S7" s="1365"/>
      <c r="T7" s="1366"/>
      <c r="U7" s="1367"/>
      <c r="V7" s="1368"/>
      <c r="W7" s="1368"/>
      <c r="X7" s="1368"/>
      <c r="Y7" s="1368"/>
      <c r="Z7" s="1368"/>
      <c r="AA7" s="1368"/>
      <c r="AB7" s="1370"/>
      <c r="AD7" s="511"/>
      <c r="AE7" s="511"/>
    </row>
    <row r="8" spans="1:31" ht="20.100000000000001" customHeight="1" thickTop="1" thickBot="1" x14ac:dyDescent="0.3">
      <c r="A8" s="511"/>
      <c r="B8" s="511"/>
      <c r="C8" s="511"/>
      <c r="D8" s="511"/>
      <c r="E8" s="511"/>
      <c r="F8" s="511"/>
      <c r="G8" s="511"/>
      <c r="H8" s="511"/>
      <c r="I8" s="511"/>
      <c r="J8" s="511"/>
      <c r="K8" s="511"/>
      <c r="L8" s="511"/>
      <c r="M8" s="511"/>
      <c r="N8" s="528"/>
      <c r="O8" s="527"/>
      <c r="P8" s="511"/>
      <c r="Q8" s="511"/>
      <c r="R8" s="511"/>
      <c r="S8" s="511"/>
      <c r="T8" s="511"/>
      <c r="U8" s="511"/>
      <c r="V8" s="511"/>
      <c r="W8" s="511"/>
      <c r="X8" s="511"/>
      <c r="Y8" s="511"/>
      <c r="Z8" s="511"/>
      <c r="AA8" s="511"/>
      <c r="AB8" s="526"/>
      <c r="AD8" s="511"/>
      <c r="AE8" s="511"/>
    </row>
    <row r="9" spans="1:31" ht="20.100000000000001" customHeight="1" thickTop="1" thickBot="1" x14ac:dyDescent="0.35">
      <c r="A9" s="504"/>
      <c r="B9" s="753" t="str">
        <f>B1</f>
        <v>3 ФИНАЛ</v>
      </c>
      <c r="C9" s="754" t="s">
        <v>1030</v>
      </c>
      <c r="D9" s="504" t="s">
        <v>762</v>
      </c>
      <c r="E9" s="505"/>
      <c r="F9" s="755">
        <f>F1+1</f>
        <v>114</v>
      </c>
      <c r="G9" s="756" t="s">
        <v>1031</v>
      </c>
      <c r="H9" s="757">
        <f>H1</f>
        <v>15</v>
      </c>
      <c r="I9" s="758">
        <v>1</v>
      </c>
      <c r="J9" s="759"/>
      <c r="K9" s="1388" t="str">
        <f>IF(H9&lt;=8,CONCATENATE(LOOKUP(F9,'Порядок встреч 2Ф'!A5:A68,'Порядок встреч 2Ф'!C5:C68),"-",LOOKUP(F9,'Порядок встреч 2Ф'!A5:A68,'Порядок встреч 2Ф'!D5:D68)),CONCATENATE(LOOKUP(F9,'Порядок встреч 2Ф'!I5:I60,'Порядок встреч 2Ф'!K5:K60),"-",LOOKUP(F9,'Порядок встреч 2Ф'!I5:I60,'Порядок встреч 2Ф'!L5:L60)))</f>
        <v>3-16</v>
      </c>
      <c r="L9" s="1389"/>
      <c r="M9" s="1390"/>
      <c r="N9" s="502"/>
      <c r="O9" s="502"/>
      <c r="P9" s="504"/>
      <c r="Q9" s="776" t="str">
        <f>B1</f>
        <v>3 ФИНАЛ</v>
      </c>
      <c r="R9" s="777" t="s">
        <v>1030</v>
      </c>
      <c r="S9" s="504" t="s">
        <v>762</v>
      </c>
      <c r="T9" s="505"/>
      <c r="U9" s="755">
        <f>F1+5</f>
        <v>118</v>
      </c>
      <c r="V9" s="756" t="s">
        <v>1031</v>
      </c>
      <c r="W9" s="757">
        <f>H1</f>
        <v>15</v>
      </c>
      <c r="X9" s="758">
        <v>1</v>
      </c>
      <c r="Y9" s="759"/>
      <c r="Z9" s="1388" t="str">
        <f>IF(W9&lt;=8,CONCATENATE(LOOKUP(U9,'Порядок встреч 2Ф'!A5:A68,'Порядок встреч 2Ф'!C5:C68),"-",LOOKUP(U9,'Порядок встреч 2Ф'!A5:A68,'Порядок встреч 2Ф'!D5:D68)),CONCATENATE(LOOKUP(U9,'Порядок встреч 2Ф'!I5:I60,'Порядок встреч 2Ф'!K5:K60),"-",LOOKUP(U9,'Порядок встреч 2Ф'!I5:I60,'Порядок встреч 2Ф'!L5:L60)))</f>
        <v>7-12</v>
      </c>
      <c r="AA9" s="1389"/>
      <c r="AB9" s="1390"/>
      <c r="AC9" s="511"/>
      <c r="AD9" s="511"/>
      <c r="AE9" s="511"/>
    </row>
    <row r="10" spans="1:31" ht="20.100000000000001" customHeight="1" thickTop="1" x14ac:dyDescent="0.25">
      <c r="A10" s="1358"/>
      <c r="B10" s="1360" t="s">
        <v>1032</v>
      </c>
      <c r="C10" s="1360" t="s">
        <v>44</v>
      </c>
      <c r="D10" s="1337" t="s">
        <v>965</v>
      </c>
      <c r="E10" s="1337"/>
      <c r="F10" s="1337"/>
      <c r="G10" s="1337"/>
      <c r="H10" s="1338"/>
      <c r="I10" s="1338"/>
      <c r="J10" s="1338"/>
      <c r="K10" s="1339" t="s">
        <v>1042</v>
      </c>
      <c r="L10" s="1340"/>
      <c r="M10" s="1362"/>
      <c r="N10" s="510"/>
      <c r="O10" s="511"/>
      <c r="P10" s="1391"/>
      <c r="Q10" s="1392" t="s">
        <v>1032</v>
      </c>
      <c r="R10" s="1392" t="s">
        <v>44</v>
      </c>
      <c r="S10" s="1338" t="s">
        <v>965</v>
      </c>
      <c r="T10" s="1338"/>
      <c r="U10" s="1338"/>
      <c r="V10" s="1338"/>
      <c r="W10" s="1338"/>
      <c r="X10" s="1338"/>
      <c r="Y10" s="1338"/>
      <c r="Z10" s="1379" t="s">
        <v>1042</v>
      </c>
      <c r="AA10" s="1380"/>
      <c r="AB10" s="1381"/>
    </row>
    <row r="11" spans="1:31" ht="20.100000000000001" customHeight="1" x14ac:dyDescent="0.25">
      <c r="A11" s="1359"/>
      <c r="B11" s="1361"/>
      <c r="C11" s="1361"/>
      <c r="D11" s="512">
        <v>1</v>
      </c>
      <c r="E11" s="512">
        <v>2</v>
      </c>
      <c r="F11" s="512">
        <v>3</v>
      </c>
      <c r="G11" s="512">
        <v>4</v>
      </c>
      <c r="H11" s="512">
        <v>5</v>
      </c>
      <c r="I11" s="513"/>
      <c r="J11" s="513"/>
      <c r="K11" s="1342"/>
      <c r="L11" s="1343"/>
      <c r="M11" s="1363"/>
      <c r="N11" s="510"/>
      <c r="O11" s="511"/>
      <c r="P11" s="1359"/>
      <c r="Q11" s="1361"/>
      <c r="R11" s="1361"/>
      <c r="S11" s="512">
        <v>1</v>
      </c>
      <c r="T11" s="512">
        <v>2</v>
      </c>
      <c r="U11" s="512">
        <v>3</v>
      </c>
      <c r="V11" s="512">
        <v>4</v>
      </c>
      <c r="W11" s="512">
        <v>5</v>
      </c>
      <c r="X11" s="513"/>
      <c r="Y11" s="513"/>
      <c r="Z11" s="1342"/>
      <c r="AA11" s="1343"/>
      <c r="AB11" s="1363"/>
    </row>
    <row r="12" spans="1:31" ht="54.95" customHeight="1" x14ac:dyDescent="0.25">
      <c r="A12" s="514">
        <f>IF(H9&lt;=8,VLOOKUP(F9,'Порядок встреч 3Ф'!A:G,5,FALSE),VLOOKUP(F9,'Порядок встреч 3Ф'!I:O,5,FALSE))</f>
        <v>0</v>
      </c>
      <c r="B12" s="515" t="e">
        <f>IF(A12="","",VLOOKUP(A12,'Списки участников'!A:H,3,FALSE))</f>
        <v>#N/A</v>
      </c>
      <c r="C12" s="516" t="e">
        <f>IF(A12="","",VLOOKUP(A12,'Списки участников'!A:H,6,FALSE))</f>
        <v>#N/A</v>
      </c>
      <c r="D12" s="517"/>
      <c r="E12" s="518"/>
      <c r="F12" s="519"/>
      <c r="G12" s="519"/>
      <c r="H12" s="519"/>
      <c r="I12" s="520"/>
      <c r="J12" s="520"/>
      <c r="K12" s="1345"/>
      <c r="L12" s="1346"/>
      <c r="M12" s="1347"/>
      <c r="N12" s="510"/>
      <c r="O12" s="511"/>
      <c r="P12" s="514">
        <f>IF(W9&lt;=8,VLOOKUP(U9,'Порядок встреч 3Ф'!A:G,5,FALSE),VLOOKUP(U9,'Порядок встреч 3Ф'!I:O,5,FALSE))</f>
        <v>0</v>
      </c>
      <c r="Q12" s="515" t="e">
        <f>IF(P12="","",VLOOKUP(P12,'Списки участников'!A:H,3,FALSE))</f>
        <v>#N/A</v>
      </c>
      <c r="R12" s="516" t="e">
        <f>IF(P12="","",VLOOKUP(P12,'Списки участников'!A:H,6,FALSE))</f>
        <v>#N/A</v>
      </c>
      <c r="S12" s="517"/>
      <c r="T12" s="518"/>
      <c r="U12" s="519"/>
      <c r="V12" s="519"/>
      <c r="W12" s="519"/>
      <c r="X12" s="520"/>
      <c r="Y12" s="520"/>
      <c r="Z12" s="1345"/>
      <c r="AA12" s="1346"/>
      <c r="AB12" s="1382"/>
    </row>
    <row r="13" spans="1:31" ht="54.95" customHeight="1" thickBot="1" x14ac:dyDescent="0.3">
      <c r="A13" s="514">
        <f>IF(H9&lt;=8,VLOOKUP(F9,'Порядок встреч 3Ф'!A:G,7,FALSE),VLOOKUP(F9,'Порядок встреч 3Ф'!I:O,7,FALSE))</f>
        <v>0</v>
      </c>
      <c r="B13" s="515" t="e">
        <f>IF(A13="","",VLOOKUP(A13,'Списки участников'!A:H,3,FALSE))</f>
        <v>#N/A</v>
      </c>
      <c r="C13" s="516" t="e">
        <f>IF(A13="","",VLOOKUP(A13,'Списки участников'!A:H,6,FALSE))</f>
        <v>#N/A</v>
      </c>
      <c r="D13" s="521"/>
      <c r="E13" s="522"/>
      <c r="F13" s="762"/>
      <c r="G13" s="762"/>
      <c r="H13" s="762"/>
      <c r="I13" s="763"/>
      <c r="J13" s="764"/>
      <c r="K13" s="1383"/>
      <c r="L13" s="1384"/>
      <c r="M13" s="921"/>
      <c r="N13" s="510"/>
      <c r="O13" s="511"/>
      <c r="P13" s="514">
        <f>IF(W9&lt;=8,VLOOKUP(U9,'Порядок встреч 3Ф'!A:G,7,FALSE),VLOOKUP(U9,'Порядок встреч 3Ф'!I:O,7,FALSE))</f>
        <v>0</v>
      </c>
      <c r="Q13" s="515" t="e">
        <f>IF(P13="","",VLOOKUP(P13,'Списки участников'!A:H,3,FALSE))</f>
        <v>#N/A</v>
      </c>
      <c r="R13" s="516" t="e">
        <f>IF(P13="","",VLOOKUP(P13,'Списки участников'!A:H,6,FALSE))</f>
        <v>#N/A</v>
      </c>
      <c r="S13" s="521"/>
      <c r="T13" s="522"/>
      <c r="U13" s="523"/>
      <c r="V13" s="523"/>
      <c r="W13" s="523"/>
      <c r="X13" s="524"/>
      <c r="Y13" s="525"/>
      <c r="Z13" s="1385"/>
      <c r="AA13" s="1386"/>
      <c r="AB13" s="1387"/>
    </row>
    <row r="14" spans="1:31" ht="20.100000000000001" customHeight="1" thickTop="1" thickBot="1" x14ac:dyDescent="0.35">
      <c r="A14" s="1371" t="s">
        <v>1034</v>
      </c>
      <c r="B14" s="1372"/>
      <c r="C14" s="1372"/>
      <c r="D14" s="1373" t="s">
        <v>1035</v>
      </c>
      <c r="E14" s="1395"/>
      <c r="F14" s="1376" t="s">
        <v>1036</v>
      </c>
      <c r="G14" s="1377"/>
      <c r="H14" s="1377"/>
      <c r="I14" s="1377"/>
      <c r="J14" s="1377"/>
      <c r="K14" s="1377"/>
      <c r="L14" s="1377"/>
      <c r="M14" s="1396"/>
      <c r="N14" s="526"/>
      <c r="P14" s="1371" t="s">
        <v>1034</v>
      </c>
      <c r="Q14" s="1372"/>
      <c r="R14" s="1372"/>
      <c r="S14" s="1373" t="s">
        <v>1035</v>
      </c>
      <c r="T14" s="1374"/>
      <c r="U14" s="1397" t="s">
        <v>1036</v>
      </c>
      <c r="V14" s="1398"/>
      <c r="W14" s="1398"/>
      <c r="X14" s="1398"/>
      <c r="Y14" s="1398"/>
      <c r="Z14" s="1398"/>
      <c r="AA14" s="1398"/>
      <c r="AB14" s="1399"/>
    </row>
    <row r="15" spans="1:31" ht="30" customHeight="1" thickTop="1" thickBot="1" x14ac:dyDescent="0.3">
      <c r="A15" s="1364"/>
      <c r="B15" s="1365"/>
      <c r="C15" s="1365"/>
      <c r="D15" s="1365"/>
      <c r="E15" s="1366"/>
      <c r="F15" s="1393"/>
      <c r="G15" s="1393"/>
      <c r="H15" s="1393"/>
      <c r="I15" s="1393"/>
      <c r="J15" s="1393"/>
      <c r="K15" s="1393"/>
      <c r="L15" s="1393"/>
      <c r="M15" s="1394"/>
      <c r="N15" s="526"/>
      <c r="P15" s="1364"/>
      <c r="Q15" s="1365"/>
      <c r="R15" s="1365"/>
      <c r="S15" s="1365"/>
      <c r="T15" s="1366"/>
      <c r="U15" s="1367"/>
      <c r="V15" s="1368"/>
      <c r="W15" s="1368"/>
      <c r="X15" s="1368"/>
      <c r="Y15" s="1368"/>
      <c r="Z15" s="1368"/>
      <c r="AA15" s="1368"/>
      <c r="AB15" s="1370"/>
    </row>
    <row r="16" spans="1:31" ht="16.5" customHeight="1" thickTop="1" thickBot="1" x14ac:dyDescent="0.3">
      <c r="A16" s="511"/>
      <c r="B16" s="511"/>
      <c r="C16" s="511"/>
      <c r="D16" s="511"/>
      <c r="E16" s="511"/>
      <c r="F16" s="511"/>
      <c r="G16" s="511"/>
      <c r="H16" s="511"/>
      <c r="I16" s="511"/>
      <c r="J16" s="511"/>
      <c r="K16" s="511"/>
      <c r="L16" s="511"/>
      <c r="M16" s="511"/>
      <c r="N16" s="528"/>
      <c r="O16" s="527"/>
      <c r="P16" s="511"/>
      <c r="Q16" s="511"/>
      <c r="R16" s="511"/>
      <c r="S16" s="511"/>
      <c r="T16" s="511"/>
      <c r="U16" s="511"/>
      <c r="V16" s="511"/>
      <c r="W16" s="511"/>
      <c r="X16" s="511"/>
      <c r="Y16" s="511"/>
      <c r="Z16" s="511"/>
      <c r="AA16" s="511"/>
      <c r="AB16" s="526"/>
    </row>
    <row r="17" spans="1:28" ht="20.25" thickTop="1" thickBot="1" x14ac:dyDescent="0.35">
      <c r="A17" s="504"/>
      <c r="B17" s="753" t="str">
        <f>B9</f>
        <v>3 ФИНАЛ</v>
      </c>
      <c r="C17" s="754" t="s">
        <v>1030</v>
      </c>
      <c r="D17" s="504" t="s">
        <v>762</v>
      </c>
      <c r="E17" s="505"/>
      <c r="F17" s="755">
        <f>F1+2</f>
        <v>115</v>
      </c>
      <c r="G17" s="756" t="s">
        <v>1031</v>
      </c>
      <c r="H17" s="757">
        <f>H1</f>
        <v>15</v>
      </c>
      <c r="I17" s="758">
        <v>1</v>
      </c>
      <c r="J17" s="765"/>
      <c r="K17" s="1401" t="str">
        <f>IF(H17&lt;=8,CONCATENATE(LOOKUP(F17,'Порядок встреч 2Ф'!A5:A68,'Порядок встреч 2Ф'!C5:C68),"-",LOOKUP(F17,'Порядок встреч 2Ф'!A5:A68,'Порядок встреч 2Ф'!D5:D68)),CONCATENATE(LOOKUP(F17,'Порядок встреч 2Ф'!I5:I60,'Порядок встреч 2Ф'!K5:K60),"-",LOOKUP(F17,'Порядок встреч 2Ф'!I5:I60,'Порядок встреч 2Ф'!L5:L60)))</f>
        <v>4-15</v>
      </c>
      <c r="L17" s="1389"/>
      <c r="M17" s="1390"/>
      <c r="N17" s="502"/>
      <c r="O17" s="502"/>
      <c r="P17" s="504"/>
      <c r="Q17" s="776" t="str">
        <f>B1</f>
        <v>3 ФИНАЛ</v>
      </c>
      <c r="R17" s="754" t="s">
        <v>1030</v>
      </c>
      <c r="S17" s="504" t="s">
        <v>762</v>
      </c>
      <c r="T17" s="505"/>
      <c r="U17" s="755">
        <f>F1+6</f>
        <v>119</v>
      </c>
      <c r="V17" s="756" t="s">
        <v>1031</v>
      </c>
      <c r="W17" s="757">
        <f>H1</f>
        <v>15</v>
      </c>
      <c r="X17" s="758">
        <v>1</v>
      </c>
      <c r="Y17" s="759"/>
      <c r="Z17" s="1388" t="str">
        <f>IF(W17&lt;=8,CONCATENATE(LOOKUP(U17,'Порядок встреч 2Ф'!A5:A68,'Порядок встреч 2Ф'!C5:C68),"-",LOOKUP(U17,'Порядок встреч 2Ф'!A5:A68,'Порядок встреч 2Ф'!D5:D68)),CONCATENATE(LOOKUP(U17,'Порядок встреч 2Ф'!I5:I60,'Порядок встреч 2Ф'!K5:K60),"-",LOOKUP(U17,'Порядок встреч 2Ф'!I5:I60,'Порядок встреч 2Ф'!L5:L60)))</f>
        <v>8-11</v>
      </c>
      <c r="AA17" s="1389"/>
      <c r="AB17" s="1390"/>
    </row>
    <row r="18" spans="1:28" ht="20.100000000000001" customHeight="1" thickTop="1" x14ac:dyDescent="0.25">
      <c r="A18" s="1391"/>
      <c r="B18" s="1392" t="s">
        <v>1032</v>
      </c>
      <c r="C18" s="1392" t="s">
        <v>44</v>
      </c>
      <c r="D18" s="1338" t="s">
        <v>965</v>
      </c>
      <c r="E18" s="1338"/>
      <c r="F18" s="1338"/>
      <c r="G18" s="1338"/>
      <c r="H18" s="1338"/>
      <c r="I18" s="1338"/>
      <c r="J18" s="1338"/>
      <c r="K18" s="1339" t="s">
        <v>1042</v>
      </c>
      <c r="L18" s="1340"/>
      <c r="M18" s="1362"/>
      <c r="N18" s="510"/>
      <c r="O18" s="511"/>
      <c r="P18" s="1391"/>
      <c r="Q18" s="1392" t="s">
        <v>1032</v>
      </c>
      <c r="R18" s="1392" t="s">
        <v>44</v>
      </c>
      <c r="S18" s="1338" t="s">
        <v>965</v>
      </c>
      <c r="T18" s="1338"/>
      <c r="U18" s="1338"/>
      <c r="V18" s="1338"/>
      <c r="W18" s="1338"/>
      <c r="X18" s="1338"/>
      <c r="Y18" s="1338"/>
      <c r="Z18" s="1339" t="s">
        <v>1042</v>
      </c>
      <c r="AA18" s="1340"/>
      <c r="AB18" s="1341"/>
    </row>
    <row r="19" spans="1:28" ht="20.100000000000001" customHeight="1" x14ac:dyDescent="0.25">
      <c r="A19" s="1359"/>
      <c r="B19" s="1361"/>
      <c r="C19" s="1361"/>
      <c r="D19" s="512">
        <v>1</v>
      </c>
      <c r="E19" s="512">
        <v>2</v>
      </c>
      <c r="F19" s="512">
        <v>3</v>
      </c>
      <c r="G19" s="512">
        <v>4</v>
      </c>
      <c r="H19" s="512">
        <v>5</v>
      </c>
      <c r="I19" s="513"/>
      <c r="J19" s="513"/>
      <c r="K19" s="1342"/>
      <c r="L19" s="1343"/>
      <c r="M19" s="1363"/>
      <c r="N19" s="510"/>
      <c r="O19" s="511"/>
      <c r="P19" s="1359"/>
      <c r="Q19" s="1361"/>
      <c r="R19" s="1361"/>
      <c r="S19" s="512">
        <v>1</v>
      </c>
      <c r="T19" s="512">
        <v>2</v>
      </c>
      <c r="U19" s="512">
        <v>3</v>
      </c>
      <c r="V19" s="512">
        <v>4</v>
      </c>
      <c r="W19" s="512">
        <v>5</v>
      </c>
      <c r="X19" s="513"/>
      <c r="Y19" s="513"/>
      <c r="Z19" s="1342"/>
      <c r="AA19" s="1343"/>
      <c r="AB19" s="1344"/>
    </row>
    <row r="20" spans="1:28" ht="54.95" customHeight="1" x14ac:dyDescent="0.25">
      <c r="A20" s="514">
        <f>IF(H17&lt;=8,VLOOKUP(F17,'Порядок встреч 3Ф'!A:G,5,FALSE),VLOOKUP(F17,'Порядок встреч 3Ф'!I:O,5,FALSE))</f>
        <v>0</v>
      </c>
      <c r="B20" s="515" t="e">
        <f>IF(A20="","",VLOOKUP(A20,'Списки участников'!A:H,3,FALSE))</f>
        <v>#N/A</v>
      </c>
      <c r="C20" s="516" t="e">
        <f>IF(A20="","",VLOOKUP(A20,'Списки участников'!A:H,6,FALSE))</f>
        <v>#N/A</v>
      </c>
      <c r="D20" s="517"/>
      <c r="E20" s="518"/>
      <c r="F20" s="519"/>
      <c r="G20" s="519"/>
      <c r="H20" s="519"/>
      <c r="I20" s="520"/>
      <c r="J20" s="520"/>
      <c r="K20" s="1348"/>
      <c r="L20" s="1349"/>
      <c r="M20" s="1400"/>
      <c r="N20" s="510"/>
      <c r="O20" s="511"/>
      <c r="P20" s="514">
        <f>IF(W17&lt;=8,VLOOKUP(U17,'Порядок встреч 3Ф'!A:G,5,FALSE),VLOOKUP(U17,'Порядок встреч 3Ф'!I:O,5,FALSE))</f>
        <v>0</v>
      </c>
      <c r="Q20" s="515" t="e">
        <f>IF(P20="","",VLOOKUP(P20,'Списки участников'!A:H,3,FALSE))</f>
        <v>#N/A</v>
      </c>
      <c r="R20" s="516" t="e">
        <f>IF(P20="","",VLOOKUP(P20,'Списки участников'!A:H,6,FALSE))</f>
        <v>#N/A</v>
      </c>
      <c r="S20" s="517"/>
      <c r="T20" s="518"/>
      <c r="U20" s="519"/>
      <c r="V20" s="519"/>
      <c r="W20" s="519"/>
      <c r="X20" s="520"/>
      <c r="Y20" s="520"/>
      <c r="Z20" s="1348"/>
      <c r="AA20" s="1349"/>
      <c r="AB20" s="1350"/>
    </row>
    <row r="21" spans="1:28" ht="54.95" customHeight="1" thickBot="1" x14ac:dyDescent="0.3">
      <c r="A21" s="514">
        <f>IF(H17&lt;=8,VLOOKUP(F17,'Порядок встреч 3Ф'!A:G,7,FALSE),VLOOKUP(F17,'Порядок встреч 3Ф'!I:O,7,FALSE))</f>
        <v>0</v>
      </c>
      <c r="B21" s="515" t="e">
        <f>IF(A21="","",VLOOKUP(A21,'Списки участников'!A:H,3,FALSE))</f>
        <v>#N/A</v>
      </c>
      <c r="C21" s="516" t="e">
        <f>IF(A21="","",VLOOKUP(A21,'Списки участников'!A:H,6,FALSE))</f>
        <v>#N/A</v>
      </c>
      <c r="D21" s="521"/>
      <c r="E21" s="522"/>
      <c r="F21" s="523"/>
      <c r="G21" s="523"/>
      <c r="H21" s="523"/>
      <c r="I21" s="760"/>
      <c r="J21" s="761"/>
      <c r="K21" s="1351"/>
      <c r="L21" s="1352"/>
      <c r="M21" s="1353"/>
      <c r="N21" s="510"/>
      <c r="O21" s="511"/>
      <c r="P21" s="775">
        <f>IF(W17&lt;=8,VLOOKUP(U17,'Порядок встреч 3Ф'!A:G,7,FALSE),VLOOKUP(U17,'Порядок встреч 3Ф'!I:O,7,FALSE))</f>
        <v>0</v>
      </c>
      <c r="Q21" s="778" t="e">
        <f>IF(P21="","",VLOOKUP(P21,'Списки участников'!A:H,3,FALSE))</f>
        <v>#N/A</v>
      </c>
      <c r="R21" s="779" t="e">
        <f>IF(P21="","",VLOOKUP(P21,'Списки участников'!A:H,6,FALSE))</f>
        <v>#N/A</v>
      </c>
      <c r="S21" s="521"/>
      <c r="T21" s="522"/>
      <c r="U21" s="523"/>
      <c r="V21" s="523"/>
      <c r="W21" s="523"/>
      <c r="X21" s="760"/>
      <c r="Y21" s="761"/>
      <c r="Z21" s="1351"/>
      <c r="AA21" s="1352"/>
      <c r="AB21" s="1354"/>
    </row>
    <row r="22" spans="1:28" ht="20.100000000000001" customHeight="1" thickTop="1" thickBot="1" x14ac:dyDescent="0.35">
      <c r="A22" s="1371" t="s">
        <v>1034</v>
      </c>
      <c r="B22" s="1372"/>
      <c r="C22" s="1372"/>
      <c r="D22" s="1373" t="s">
        <v>1035</v>
      </c>
      <c r="E22" s="1374"/>
      <c r="F22" s="1376" t="s">
        <v>1036</v>
      </c>
      <c r="G22" s="1377"/>
      <c r="H22" s="1377"/>
      <c r="I22" s="1377"/>
      <c r="J22" s="1377"/>
      <c r="K22" s="1377"/>
      <c r="L22" s="1377"/>
      <c r="M22" s="1396"/>
      <c r="N22" s="526"/>
      <c r="P22" s="1404" t="s">
        <v>1034</v>
      </c>
      <c r="Q22" s="1405"/>
      <c r="R22" s="1405"/>
      <c r="S22" s="1373" t="s">
        <v>1035</v>
      </c>
      <c r="T22" s="1374"/>
      <c r="U22" s="1397" t="s">
        <v>1036</v>
      </c>
      <c r="V22" s="1398"/>
      <c r="W22" s="1398"/>
      <c r="X22" s="1398"/>
      <c r="Y22" s="1398"/>
      <c r="Z22" s="1398"/>
      <c r="AA22" s="1398"/>
      <c r="AB22" s="1399"/>
    </row>
    <row r="23" spans="1:28" ht="30" customHeight="1" thickTop="1" thickBot="1" x14ac:dyDescent="0.3">
      <c r="A23" s="1364"/>
      <c r="B23" s="1365"/>
      <c r="C23" s="1365"/>
      <c r="D23" s="1365"/>
      <c r="E23" s="1366"/>
      <c r="F23" s="1367"/>
      <c r="G23" s="1368"/>
      <c r="H23" s="1368"/>
      <c r="I23" s="1368"/>
      <c r="J23" s="1368"/>
      <c r="K23" s="1368"/>
      <c r="L23" s="1368"/>
      <c r="M23" s="1369"/>
      <c r="N23" s="526"/>
      <c r="P23" s="1402"/>
      <c r="Q23" s="1403"/>
      <c r="R23" s="1403"/>
      <c r="S23" s="1365"/>
      <c r="T23" s="1366"/>
      <c r="U23" s="1367"/>
      <c r="V23" s="1368"/>
      <c r="W23" s="1368"/>
      <c r="X23" s="1368"/>
      <c r="Y23" s="1368"/>
      <c r="Z23" s="1368"/>
      <c r="AA23" s="1368"/>
      <c r="AB23" s="1370"/>
    </row>
    <row r="24" spans="1:28" ht="16.5" thickTop="1" thickBot="1" x14ac:dyDescent="0.3">
      <c r="A24" s="771"/>
      <c r="B24" s="771"/>
      <c r="C24" s="771"/>
      <c r="D24" s="771"/>
      <c r="E24" s="771"/>
      <c r="F24" s="771"/>
      <c r="G24" s="771"/>
      <c r="H24" s="771"/>
      <c r="I24" s="771"/>
      <c r="J24" s="771"/>
      <c r="K24" s="771"/>
      <c r="L24" s="771"/>
      <c r="M24" s="771"/>
      <c r="N24" s="528"/>
      <c r="O24" s="527"/>
      <c r="P24" s="511"/>
      <c r="Q24" s="771"/>
      <c r="R24" s="771"/>
      <c r="S24" s="511"/>
      <c r="T24" s="511"/>
      <c r="U24" s="511"/>
      <c r="V24" s="511"/>
      <c r="W24" s="511"/>
      <c r="X24" s="511"/>
      <c r="Y24" s="511"/>
      <c r="Z24" s="511"/>
      <c r="AA24" s="511"/>
      <c r="AB24" s="526"/>
    </row>
    <row r="25" spans="1:28" ht="20.25" thickTop="1" thickBot="1" x14ac:dyDescent="0.35">
      <c r="A25" s="502"/>
      <c r="B25" s="748" t="str">
        <f>B17</f>
        <v>3 ФИНАЛ</v>
      </c>
      <c r="C25" s="767" t="s">
        <v>1030</v>
      </c>
      <c r="D25" s="768" t="s">
        <v>762</v>
      </c>
      <c r="E25" s="769"/>
      <c r="F25" s="509">
        <f>F1+3</f>
        <v>116</v>
      </c>
      <c r="G25" s="506" t="s">
        <v>1031</v>
      </c>
      <c r="H25" s="770">
        <f>H1</f>
        <v>15</v>
      </c>
      <c r="I25" s="758">
        <v>1</v>
      </c>
      <c r="J25" s="765"/>
      <c r="K25" s="1401" t="str">
        <f>IF(H25&lt;=8,CONCATENATE(LOOKUP(F25,'Порядок встреч 2Ф'!A5:A68,'Порядок встреч 2Ф'!C5:C68),"-",LOOKUP(F25,'Порядок встреч 2Ф'!A5:A68,'Порядок встреч 2Ф'!D5:D68)),CONCATENATE(LOOKUP(F25,'Порядок встреч 2Ф'!I5:I60,'Порядок встреч 2Ф'!K5:K60),"-",LOOKUP(F25,'Порядок встреч 2Ф'!I5:I60,'Порядок встреч 2Ф'!L5:L60)))</f>
        <v>5-14</v>
      </c>
      <c r="L25" s="1389"/>
      <c r="M25" s="1390"/>
      <c r="N25" s="502"/>
      <c r="O25" s="502"/>
      <c r="P25" s="504"/>
      <c r="Q25" s="776" t="str">
        <f>B1</f>
        <v>3 ФИНАЛ</v>
      </c>
      <c r="R25" s="754" t="s">
        <v>1030</v>
      </c>
      <c r="S25" s="504" t="s">
        <v>762</v>
      </c>
      <c r="T25" s="505"/>
      <c r="U25" s="755">
        <f>F1+7</f>
        <v>120</v>
      </c>
      <c r="V25" s="756" t="s">
        <v>1031</v>
      </c>
      <c r="W25" s="757">
        <f>H1</f>
        <v>15</v>
      </c>
      <c r="X25" s="758">
        <v>1</v>
      </c>
      <c r="Y25" s="759"/>
      <c r="Z25" s="1388" t="str">
        <f>IF(W25&lt;=8,CONCATENATE(LOOKUP(U25,'Порядок встреч 2Ф'!A5:A68,'Порядок встреч 2Ф'!C5:C68),"-",LOOKUP(U25,'Порядок встреч 2Ф'!A5:A68,'Порядок встреч 2Ф'!D5:D68)),CONCATENATE(LOOKUP(U25,'Порядок встреч 2Ф'!I5:I60,'Порядок встреч 2Ф'!K5:K60),"-",LOOKUP(U25,'Порядок встреч 2Ф'!I5:I60,'Порядок встреч 2Ф'!L5:L60)))</f>
        <v>9-10</v>
      </c>
      <c r="AA25" s="1389"/>
      <c r="AB25" s="1390"/>
    </row>
    <row r="26" spans="1:28" ht="20.100000000000001" customHeight="1" thickTop="1" x14ac:dyDescent="0.25">
      <c r="A26" s="1358"/>
      <c r="B26" s="1360" t="s">
        <v>1032</v>
      </c>
      <c r="C26" s="1360" t="s">
        <v>44</v>
      </c>
      <c r="D26" s="1337" t="s">
        <v>965</v>
      </c>
      <c r="E26" s="1337"/>
      <c r="F26" s="1337"/>
      <c r="G26" s="1337"/>
      <c r="H26" s="1338"/>
      <c r="I26" s="1338"/>
      <c r="J26" s="1338"/>
      <c r="K26" s="1339" t="s">
        <v>1042</v>
      </c>
      <c r="L26" s="1340"/>
      <c r="M26" s="1362"/>
      <c r="N26" s="510"/>
      <c r="O26" s="511"/>
      <c r="P26" s="1391"/>
      <c r="Q26" s="1392" t="s">
        <v>1032</v>
      </c>
      <c r="R26" s="1392" t="s">
        <v>44</v>
      </c>
      <c r="S26" s="1338" t="s">
        <v>965</v>
      </c>
      <c r="T26" s="1338"/>
      <c r="U26" s="1338"/>
      <c r="V26" s="1338"/>
      <c r="W26" s="1338"/>
      <c r="X26" s="1338"/>
      <c r="Y26" s="1338"/>
      <c r="Z26" s="1339" t="s">
        <v>1042</v>
      </c>
      <c r="AA26" s="1340"/>
      <c r="AB26" s="1341"/>
    </row>
    <row r="27" spans="1:28" ht="20.100000000000001" customHeight="1" x14ac:dyDescent="0.25">
      <c r="A27" s="1359"/>
      <c r="B27" s="1361"/>
      <c r="C27" s="1361"/>
      <c r="D27" s="512">
        <v>1</v>
      </c>
      <c r="E27" s="512">
        <v>2</v>
      </c>
      <c r="F27" s="512">
        <v>3</v>
      </c>
      <c r="G27" s="512">
        <v>4</v>
      </c>
      <c r="H27" s="512">
        <v>5</v>
      </c>
      <c r="I27" s="513"/>
      <c r="J27" s="513"/>
      <c r="K27" s="1342"/>
      <c r="L27" s="1343"/>
      <c r="M27" s="1363"/>
      <c r="N27" s="510"/>
      <c r="O27" s="511"/>
      <c r="P27" s="1359"/>
      <c r="Q27" s="1361"/>
      <c r="R27" s="1361"/>
      <c r="S27" s="512">
        <v>1</v>
      </c>
      <c r="T27" s="512">
        <v>2</v>
      </c>
      <c r="U27" s="512">
        <v>3</v>
      </c>
      <c r="V27" s="512">
        <v>4</v>
      </c>
      <c r="W27" s="512">
        <v>5</v>
      </c>
      <c r="X27" s="513"/>
      <c r="Y27" s="513"/>
      <c r="Z27" s="1342"/>
      <c r="AA27" s="1343"/>
      <c r="AB27" s="1344"/>
    </row>
    <row r="28" spans="1:28" ht="54.95" customHeight="1" x14ac:dyDescent="0.25">
      <c r="A28" s="514">
        <f>IF(H25&lt;=8,VLOOKUP(F25,'Порядок встреч 3Ф'!A:G,5,FALSE),VLOOKUP(F25,'Порядок встреч 3Ф'!I:O,5,FALSE))</f>
        <v>0</v>
      </c>
      <c r="B28" s="515" t="e">
        <f>IF(A28="","",VLOOKUP(A28,'Списки участников'!A:H,3,FALSE))</f>
        <v>#N/A</v>
      </c>
      <c r="C28" s="516" t="e">
        <f>IF(A28="","",VLOOKUP(A28,'Списки участников'!A:H,6,FALSE))</f>
        <v>#N/A</v>
      </c>
      <c r="D28" s="517"/>
      <c r="E28" s="518"/>
      <c r="F28" s="519"/>
      <c r="G28" s="519"/>
      <c r="H28" s="519"/>
      <c r="I28" s="520"/>
      <c r="J28" s="520"/>
      <c r="K28" s="1348"/>
      <c r="L28" s="1349"/>
      <c r="M28" s="1400"/>
      <c r="N28" s="510"/>
      <c r="O28" s="511"/>
      <c r="P28" s="514">
        <f>IF(W25&lt;=8,VLOOKUP(U25,'Порядок встреч 3Ф'!A:G,5,FALSE),VLOOKUP(U25,'Порядок встреч 3Ф'!I:O,5,FALSE))</f>
        <v>0</v>
      </c>
      <c r="Q28" s="515" t="e">
        <f>IF(P28="","",VLOOKUP(P28,'Списки участников'!A:H,3,FALSE))</f>
        <v>#N/A</v>
      </c>
      <c r="R28" s="516" t="e">
        <f>IF(P28="","",VLOOKUP(P28,'Списки участников'!A:H,6,FALSE))</f>
        <v>#N/A</v>
      </c>
      <c r="S28" s="517"/>
      <c r="T28" s="518"/>
      <c r="U28" s="519"/>
      <c r="V28" s="519"/>
      <c r="W28" s="519"/>
      <c r="X28" s="520"/>
      <c r="Y28" s="520"/>
      <c r="Z28" s="1348"/>
      <c r="AA28" s="1349"/>
      <c r="AB28" s="1350"/>
    </row>
    <row r="29" spans="1:28" ht="54.95" customHeight="1" thickBot="1" x14ac:dyDescent="0.3">
      <c r="A29" s="514">
        <f>IF(H25&lt;=8,VLOOKUP(F25,'Порядок встреч 3Ф'!A:G,7,FALSE),VLOOKUP(F25,'Порядок встреч 3Ф'!I:O,7,FALSE))</f>
        <v>0</v>
      </c>
      <c r="B29" s="515" t="e">
        <f>IF(A29="","",VLOOKUP(A29,'Списки участников'!A:H,3,FALSE))</f>
        <v>#N/A</v>
      </c>
      <c r="C29" s="516" t="e">
        <f>IF(A29="","",VLOOKUP(A29,'Списки участников'!A:H,6,FALSE))</f>
        <v>#N/A</v>
      </c>
      <c r="D29" s="521"/>
      <c r="E29" s="522"/>
      <c r="F29" s="772"/>
      <c r="G29" s="772"/>
      <c r="H29" s="772"/>
      <c r="I29" s="773"/>
      <c r="J29" s="774"/>
      <c r="K29" s="1384"/>
      <c r="L29" s="1406"/>
      <c r="M29" s="1407"/>
      <c r="N29" s="510"/>
      <c r="O29" s="511"/>
      <c r="P29" s="775">
        <f>IF(W25&lt;=8,VLOOKUP(U25,'Порядок встреч 3Ф'!A:G,7,FALSE),VLOOKUP(U25,'Порядок встреч 3Ф'!I:O,7,FALSE))</f>
        <v>0</v>
      </c>
      <c r="Q29" s="778" t="e">
        <f>IF(P29="","",VLOOKUP(P29,'Списки участников'!A:H,3,FALSE))</f>
        <v>#N/A</v>
      </c>
      <c r="R29" s="779" t="e">
        <f>IF(P29="","",VLOOKUP(P29,'Списки участников'!A:H,6,FALSE))</f>
        <v>#N/A</v>
      </c>
      <c r="S29" s="521"/>
      <c r="T29" s="522"/>
      <c r="U29" s="523"/>
      <c r="V29" s="523"/>
      <c r="W29" s="523"/>
      <c r="X29" s="524"/>
      <c r="Y29" s="525"/>
      <c r="Z29" s="1351"/>
      <c r="AA29" s="1352"/>
      <c r="AB29" s="1354"/>
    </row>
    <row r="30" spans="1:28" ht="20.100000000000001" customHeight="1" thickTop="1" thickBot="1" x14ac:dyDescent="0.35">
      <c r="A30" s="1371" t="s">
        <v>1034</v>
      </c>
      <c r="B30" s="1372"/>
      <c r="C30" s="1372"/>
      <c r="D30" s="1373" t="s">
        <v>1035</v>
      </c>
      <c r="E30" s="1374"/>
      <c r="F30" s="1408" t="s">
        <v>1036</v>
      </c>
      <c r="G30" s="1409"/>
      <c r="H30" s="1409"/>
      <c r="I30" s="1409"/>
      <c r="J30" s="1409"/>
      <c r="K30" s="1409"/>
      <c r="L30" s="1409"/>
      <c r="M30" s="1410"/>
      <c r="N30" s="526"/>
      <c r="P30" s="1404" t="s">
        <v>1034</v>
      </c>
      <c r="Q30" s="1405"/>
      <c r="R30" s="1405"/>
      <c r="S30" s="1373" t="s">
        <v>1035</v>
      </c>
      <c r="T30" s="1374"/>
      <c r="U30" s="1411" t="s">
        <v>1036</v>
      </c>
      <c r="V30" s="1412"/>
      <c r="W30" s="1412"/>
      <c r="X30" s="1412"/>
      <c r="Y30" s="1412"/>
      <c r="Z30" s="1412"/>
      <c r="AA30" s="1412"/>
      <c r="AB30" s="1413"/>
    </row>
    <row r="31" spans="1:28" ht="30" customHeight="1" thickTop="1" thickBot="1" x14ac:dyDescent="0.3">
      <c r="A31" s="1364"/>
      <c r="B31" s="1365"/>
      <c r="C31" s="1365"/>
      <c r="D31" s="1365"/>
      <c r="E31" s="1366"/>
      <c r="F31" s="1367"/>
      <c r="G31" s="1368"/>
      <c r="H31" s="1368"/>
      <c r="I31" s="1368"/>
      <c r="J31" s="1368"/>
      <c r="K31" s="1368"/>
      <c r="L31" s="1368"/>
      <c r="M31" s="1369"/>
      <c r="N31" s="526"/>
      <c r="P31" s="1402"/>
      <c r="Q31" s="1403"/>
      <c r="R31" s="1403"/>
      <c r="S31" s="1403"/>
      <c r="T31" s="1366"/>
      <c r="U31" s="751"/>
      <c r="V31" s="752"/>
      <c r="W31" s="752"/>
      <c r="X31" s="752"/>
      <c r="Y31" s="752"/>
      <c r="Z31" s="1368"/>
      <c r="AA31" s="1368"/>
      <c r="AB31" s="1370"/>
    </row>
    <row r="32" spans="1:28" ht="15.75" thickTop="1" x14ac:dyDescent="0.25">
      <c r="A32" s="527"/>
      <c r="B32" s="527"/>
      <c r="C32" s="527"/>
      <c r="D32" s="527"/>
      <c r="E32" s="527"/>
      <c r="F32" s="527"/>
      <c r="G32" s="511"/>
      <c r="H32" s="511"/>
      <c r="I32" s="527"/>
      <c r="J32" s="527"/>
      <c r="K32" s="527"/>
      <c r="L32" s="527"/>
      <c r="M32" s="527"/>
      <c r="N32" s="528"/>
      <c r="O32" s="527"/>
      <c r="P32" s="527"/>
      <c r="Q32" s="780"/>
      <c r="R32" s="780"/>
      <c r="S32" s="780"/>
      <c r="T32" s="527"/>
      <c r="U32" s="527"/>
      <c r="V32" s="511"/>
      <c r="W32" s="511"/>
      <c r="X32" s="527"/>
      <c r="Y32" s="527"/>
      <c r="Z32" s="527"/>
      <c r="AA32" s="527"/>
      <c r="AB32" s="528"/>
    </row>
    <row r="34" spans="3:3" x14ac:dyDescent="0.25">
      <c r="C34" s="766"/>
    </row>
  </sheetData>
  <mergeCells count="112">
    <mergeCell ref="A31:C31"/>
    <mergeCell ref="D31:E31"/>
    <mergeCell ref="F31:M31"/>
    <mergeCell ref="P31:R31"/>
    <mergeCell ref="S31:T31"/>
    <mergeCell ref="Z31:AB31"/>
    <mergeCell ref="A30:C30"/>
    <mergeCell ref="D30:E30"/>
    <mergeCell ref="F30:M30"/>
    <mergeCell ref="P30:R30"/>
    <mergeCell ref="S30:T30"/>
    <mergeCell ref="U30:AB30"/>
    <mergeCell ref="S26:Y26"/>
    <mergeCell ref="Z26:AB27"/>
    <mergeCell ref="K28:M28"/>
    <mergeCell ref="Z28:AB28"/>
    <mergeCell ref="K29:M29"/>
    <mergeCell ref="Z29:AB29"/>
    <mergeCell ref="K25:M25"/>
    <mergeCell ref="Z25:AB25"/>
    <mergeCell ref="A26:A27"/>
    <mergeCell ref="B26:B27"/>
    <mergeCell ref="C26:C27"/>
    <mergeCell ref="D26:J26"/>
    <mergeCell ref="K26:M27"/>
    <mergeCell ref="P26:P27"/>
    <mergeCell ref="Q26:Q27"/>
    <mergeCell ref="R26:R27"/>
    <mergeCell ref="A23:C23"/>
    <mergeCell ref="D23:E23"/>
    <mergeCell ref="F23:M23"/>
    <mergeCell ref="P23:R23"/>
    <mergeCell ref="S23:T23"/>
    <mergeCell ref="U23:AB23"/>
    <mergeCell ref="A22:C22"/>
    <mergeCell ref="D22:E22"/>
    <mergeCell ref="F22:M22"/>
    <mergeCell ref="P22:R22"/>
    <mergeCell ref="S22:T22"/>
    <mergeCell ref="U22:AB22"/>
    <mergeCell ref="S18:Y18"/>
    <mergeCell ref="Z18:AB19"/>
    <mergeCell ref="K20:M20"/>
    <mergeCell ref="Z20:AB20"/>
    <mergeCell ref="K21:M21"/>
    <mergeCell ref="Z21:AB21"/>
    <mergeCell ref="K17:M17"/>
    <mergeCell ref="Z17:AB17"/>
    <mergeCell ref="A18:A19"/>
    <mergeCell ref="B18:B19"/>
    <mergeCell ref="C18:C19"/>
    <mergeCell ref="D18:J18"/>
    <mergeCell ref="K18:M19"/>
    <mergeCell ref="P18:P19"/>
    <mergeCell ref="Q18:Q19"/>
    <mergeCell ref="R18:R19"/>
    <mergeCell ref="A15:C15"/>
    <mergeCell ref="D15:E15"/>
    <mergeCell ref="F15:M15"/>
    <mergeCell ref="P15:R15"/>
    <mergeCell ref="S15:T15"/>
    <mergeCell ref="U15:AB15"/>
    <mergeCell ref="A14:C14"/>
    <mergeCell ref="D14:E14"/>
    <mergeCell ref="F14:M14"/>
    <mergeCell ref="P14:R14"/>
    <mergeCell ref="S14:T14"/>
    <mergeCell ref="U14:AB14"/>
    <mergeCell ref="S10:Y10"/>
    <mergeCell ref="Z10:AB11"/>
    <mergeCell ref="K12:M12"/>
    <mergeCell ref="Z12:AB12"/>
    <mergeCell ref="K13:L13"/>
    <mergeCell ref="Z13:AB13"/>
    <mergeCell ref="K9:M9"/>
    <mergeCell ref="Z9:AB9"/>
    <mergeCell ref="A10:A11"/>
    <mergeCell ref="B10:B11"/>
    <mergeCell ref="C10:C11"/>
    <mergeCell ref="D10:J10"/>
    <mergeCell ref="K10:M11"/>
    <mergeCell ref="P10:P11"/>
    <mergeCell ref="Q10:Q11"/>
    <mergeCell ref="R10:R11"/>
    <mergeCell ref="A7:C7"/>
    <mergeCell ref="D7:E7"/>
    <mergeCell ref="F7:M7"/>
    <mergeCell ref="P7:R7"/>
    <mergeCell ref="S7:T7"/>
    <mergeCell ref="U7:AB7"/>
    <mergeCell ref="A6:C6"/>
    <mergeCell ref="D6:E6"/>
    <mergeCell ref="F6:M6"/>
    <mergeCell ref="P6:R6"/>
    <mergeCell ref="S6:T6"/>
    <mergeCell ref="U6:AB6"/>
    <mergeCell ref="S2:Y2"/>
    <mergeCell ref="Z2:AB3"/>
    <mergeCell ref="K4:M4"/>
    <mergeCell ref="Z4:AB4"/>
    <mergeCell ref="K5:M5"/>
    <mergeCell ref="Z5:AB5"/>
    <mergeCell ref="K1:M1"/>
    <mergeCell ref="Z1:AB1"/>
    <mergeCell ref="A2:A3"/>
    <mergeCell ref="B2:B3"/>
    <mergeCell ref="C2:C3"/>
    <mergeCell ref="D2:J2"/>
    <mergeCell ref="K2:M3"/>
    <mergeCell ref="P2:P3"/>
    <mergeCell ref="Q2:Q3"/>
    <mergeCell ref="R2:R3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59" orientation="landscape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E34"/>
  <sheetViews>
    <sheetView view="pageBreakPreview" topLeftCell="B1" zoomScale="80" zoomScaleNormal="100" zoomScaleSheetLayoutView="80" workbookViewId="0">
      <selection activeCell="B1" sqref="B1"/>
    </sheetView>
  </sheetViews>
  <sheetFormatPr defaultRowHeight="15" outlineLevelCol="1" x14ac:dyDescent="0.25"/>
  <cols>
    <col min="1" max="1" width="7.6640625" style="128" hidden="1" customWidth="1" outlineLevel="1"/>
    <col min="2" max="2" width="47.33203125" style="128" customWidth="1" collapsed="1"/>
    <col min="3" max="3" width="20.83203125" style="128" customWidth="1"/>
    <col min="4" max="8" width="10.83203125" style="128" customWidth="1"/>
    <col min="9" max="10" width="0" style="128" hidden="1" customWidth="1"/>
    <col min="11" max="11" width="6.6640625" style="128" customWidth="1"/>
    <col min="12" max="12" width="0.6640625" style="128" hidden="1" customWidth="1"/>
    <col min="13" max="13" width="6.6640625" style="128" customWidth="1"/>
    <col min="14" max="15" width="3.1640625" style="128" customWidth="1"/>
    <col min="16" max="16" width="8.33203125" style="128" hidden="1" customWidth="1" outlineLevel="1"/>
    <col min="17" max="17" width="45.33203125" style="128" customWidth="1" collapsed="1"/>
    <col min="18" max="18" width="19.1640625" style="128" customWidth="1"/>
    <col min="19" max="23" width="10.83203125" style="128" customWidth="1"/>
    <col min="24" max="25" width="0" style="128" hidden="1" customWidth="1"/>
    <col min="26" max="26" width="10.83203125" style="128" customWidth="1"/>
    <col min="27" max="27" width="10.6640625" style="128" hidden="1" customWidth="1"/>
    <col min="28" max="28" width="2" style="128" customWidth="1"/>
    <col min="29" max="16384" width="9.33203125" style="128"/>
  </cols>
  <sheetData>
    <row r="1" spans="1:31" s="502" customFormat="1" ht="20.100000000000001" customHeight="1" thickTop="1" thickBot="1" x14ac:dyDescent="0.35">
      <c r="B1" s="748" t="str">
        <f>'Порядок встреч 4Ф'!H2</f>
        <v>4 ФИНАЛ</v>
      </c>
      <c r="C1" s="503" t="s">
        <v>1030</v>
      </c>
      <c r="D1" s="504" t="s">
        <v>762</v>
      </c>
      <c r="E1" s="505"/>
      <c r="F1" s="747">
        <f>LOOKUP(H1,'Порядок встреч 4Ф'!Q5:Q19,'Порядок встреч 4Ф'!R5:R19)</f>
        <v>113</v>
      </c>
      <c r="G1" s="506" t="s">
        <v>1031</v>
      </c>
      <c r="H1" s="781">
        <v>15</v>
      </c>
      <c r="I1" s="507">
        <v>1</v>
      </c>
      <c r="J1" s="508"/>
      <c r="K1" s="1355" t="str">
        <f>IF(H1&lt;=8,CONCATENATE(LOOKUP(F1,'Порядок встреч 2Ф'!A5:A68,'Порядок встреч 2Ф'!C5:C68),"-",LOOKUP(F1,'Порядок встреч 2Ф'!A5:A68,'Порядок встреч 2Ф'!D5:D68)),CONCATENATE(LOOKUP(F1,'Порядок встреч 2Ф'!I5:I60,'Порядок встреч 2Ф'!K5:K60),"-",LOOKUP(F1,'Порядок встреч 2Ф'!I5:I60,'Порядок встреч 2Ф'!L5:L60)))</f>
        <v>1-2</v>
      </c>
      <c r="L1" s="1356"/>
      <c r="M1" s="1357"/>
      <c r="P1" s="765"/>
      <c r="Q1" s="753" t="str">
        <f>B1</f>
        <v>4 ФИНАЛ</v>
      </c>
      <c r="R1" s="754" t="s">
        <v>1030</v>
      </c>
      <c r="S1" s="504" t="s">
        <v>762</v>
      </c>
      <c r="T1" s="505"/>
      <c r="U1" s="755">
        <f>F1+4</f>
        <v>117</v>
      </c>
      <c r="V1" s="756" t="s">
        <v>1031</v>
      </c>
      <c r="W1" s="757">
        <f>H1</f>
        <v>15</v>
      </c>
      <c r="X1" s="758">
        <v>1</v>
      </c>
      <c r="Y1" s="765"/>
      <c r="Z1" s="1355" t="str">
        <f>IF(W1&lt;=8,CONCATENATE(LOOKUP(U1,'Порядок встреч 2Ф'!A5:A68,'Порядок встреч 2Ф'!C5:C68),"-",LOOKUP(U1,'Порядок встреч 2Ф'!A5:A68,'Порядок встреч 2Ф'!D5:D68)),CONCATENATE(LOOKUP(U1,'Порядок встреч 2Ф'!I5:I60,'Порядок встреч 2Ф'!K5:K60),"-",LOOKUP(U1,'Порядок встреч 2Ф'!I5:I60,'Порядок встреч 2Ф'!L5:L60)))</f>
        <v>6-13</v>
      </c>
      <c r="AA1" s="1356"/>
      <c r="AB1" s="1356"/>
    </row>
    <row r="2" spans="1:31" ht="16.5" customHeight="1" thickTop="1" x14ac:dyDescent="0.25">
      <c r="A2" s="1358"/>
      <c r="B2" s="1360" t="s">
        <v>1032</v>
      </c>
      <c r="C2" s="1360" t="s">
        <v>44</v>
      </c>
      <c r="D2" s="1337" t="s">
        <v>965</v>
      </c>
      <c r="E2" s="1337"/>
      <c r="F2" s="1337"/>
      <c r="G2" s="1337"/>
      <c r="H2" s="1338"/>
      <c r="I2" s="1338"/>
      <c r="J2" s="1338"/>
      <c r="K2" s="1339" t="s">
        <v>1042</v>
      </c>
      <c r="L2" s="1340"/>
      <c r="M2" s="1362"/>
      <c r="N2" s="510"/>
      <c r="O2" s="511"/>
      <c r="P2" s="1358"/>
      <c r="Q2" s="1360" t="s">
        <v>1032</v>
      </c>
      <c r="R2" s="1360" t="s">
        <v>44</v>
      </c>
      <c r="S2" s="1337" t="s">
        <v>965</v>
      </c>
      <c r="T2" s="1337"/>
      <c r="U2" s="1337"/>
      <c r="V2" s="1337"/>
      <c r="W2" s="1338"/>
      <c r="X2" s="1338"/>
      <c r="Y2" s="1338"/>
      <c r="Z2" s="1339" t="s">
        <v>1033</v>
      </c>
      <c r="AA2" s="1340"/>
      <c r="AB2" s="1341"/>
    </row>
    <row r="3" spans="1:31" ht="15.75" x14ac:dyDescent="0.25">
      <c r="A3" s="1359"/>
      <c r="B3" s="1361"/>
      <c r="C3" s="1361"/>
      <c r="D3" s="512">
        <v>1</v>
      </c>
      <c r="E3" s="512">
        <v>2</v>
      </c>
      <c r="F3" s="512">
        <v>3</v>
      </c>
      <c r="G3" s="512">
        <v>4</v>
      </c>
      <c r="H3" s="512">
        <v>5</v>
      </c>
      <c r="I3" s="513"/>
      <c r="J3" s="513"/>
      <c r="K3" s="1342"/>
      <c r="L3" s="1343"/>
      <c r="M3" s="1363"/>
      <c r="N3" s="510"/>
      <c r="O3" s="511"/>
      <c r="P3" s="1359"/>
      <c r="Q3" s="1361"/>
      <c r="R3" s="1361"/>
      <c r="S3" s="512">
        <v>1</v>
      </c>
      <c r="T3" s="512">
        <v>2</v>
      </c>
      <c r="U3" s="512">
        <v>3</v>
      </c>
      <c r="V3" s="512">
        <v>4</v>
      </c>
      <c r="W3" s="512">
        <v>5</v>
      </c>
      <c r="X3" s="513"/>
      <c r="Y3" s="513"/>
      <c r="Z3" s="1342"/>
      <c r="AA3" s="1343"/>
      <c r="AB3" s="1344"/>
    </row>
    <row r="4" spans="1:31" ht="54.95" customHeight="1" x14ac:dyDescent="0.25">
      <c r="A4" s="514">
        <f>IF(H1&lt;=8,VLOOKUP(F1,'Порядок встреч 4Ф'!A:G,5,FALSE),VLOOKUP(F1,'Порядок встреч 4Ф'!I:O,5,FALSE))</f>
        <v>0</v>
      </c>
      <c r="B4" s="515" t="e">
        <f>IF(A4="","",VLOOKUP(A4,'Списки участников'!A:H,3,FALSE))</f>
        <v>#N/A</v>
      </c>
      <c r="C4" s="516" t="e">
        <f>IF(A4="","",VLOOKUP(A4,'Списки участников'!A:H,6,FALSE))</f>
        <v>#N/A</v>
      </c>
      <c r="D4" s="517"/>
      <c r="E4" s="518"/>
      <c r="F4" s="519"/>
      <c r="G4" s="519"/>
      <c r="H4" s="519"/>
      <c r="I4" s="520"/>
      <c r="J4" s="520"/>
      <c r="K4" s="1345"/>
      <c r="L4" s="1346"/>
      <c r="M4" s="1347"/>
      <c r="N4" s="510"/>
      <c r="O4" s="511"/>
      <c r="P4" s="514">
        <f>IF(W1&lt;=8,VLOOKUP(U1,'Порядок встреч 4Ф'!A:G,5,FALSE),VLOOKUP(U1,'Порядок встреч 4Ф'!I:O,5,FALSE))</f>
        <v>0</v>
      </c>
      <c r="Q4" s="515" t="e">
        <f>IF(P4="","",VLOOKUP(P4,'Списки участников'!A:H,3,FALSE))</f>
        <v>#N/A</v>
      </c>
      <c r="R4" s="516" t="e">
        <f>IF(P4="","",VLOOKUP(P4,'Списки участников'!A:H,6,FALSE))</f>
        <v>#N/A</v>
      </c>
      <c r="S4" s="517"/>
      <c r="T4" s="518"/>
      <c r="U4" s="519"/>
      <c r="V4" s="519"/>
      <c r="W4" s="519"/>
      <c r="X4" s="520"/>
      <c r="Y4" s="520"/>
      <c r="Z4" s="1348"/>
      <c r="AA4" s="1349"/>
      <c r="AB4" s="1350"/>
    </row>
    <row r="5" spans="1:31" ht="54.95" customHeight="1" thickBot="1" x14ac:dyDescent="0.3">
      <c r="A5" s="514">
        <f>IF(H1&lt;=8,VLOOKUP(F1,'Порядок встреч 4Ф'!A:G,7,FALSE),VLOOKUP(F1,'Порядок встреч 4Ф'!I:O,7,FALSE))</f>
        <v>0</v>
      </c>
      <c r="B5" s="515" t="e">
        <f>IF(A5="","",VLOOKUP(A5,'Списки участников'!A:H,3,FALSE))</f>
        <v>#N/A</v>
      </c>
      <c r="C5" s="516" t="e">
        <f>IF(A5="","",VLOOKUP(A5,'Списки участников'!A:H,6,FALSE))</f>
        <v>#N/A</v>
      </c>
      <c r="D5" s="521"/>
      <c r="E5" s="522"/>
      <c r="F5" s="523"/>
      <c r="G5" s="523"/>
      <c r="H5" s="523"/>
      <c r="I5" s="524"/>
      <c r="J5" s="525"/>
      <c r="K5" s="1351"/>
      <c r="L5" s="1352"/>
      <c r="M5" s="1353"/>
      <c r="N5" s="510"/>
      <c r="O5" s="511"/>
      <c r="P5" s="514">
        <f>IF(W1&lt;=8,VLOOKUP(U1,'Порядок встреч 4Ф'!A:G,7,FALSE),VLOOKUP(U1,'Порядок встреч 4Ф'!I:O,7,FALSE))</f>
        <v>0</v>
      </c>
      <c r="Q5" s="515" t="e">
        <f>IF(P5="","",VLOOKUP(P5,'Списки участников'!A:H,3,FALSE))</f>
        <v>#N/A</v>
      </c>
      <c r="R5" s="516" t="e">
        <f>IF(P5="","",VLOOKUP(P5,'Списки участников'!A:H,6,FALSE))</f>
        <v>#N/A</v>
      </c>
      <c r="S5" s="521"/>
      <c r="T5" s="522"/>
      <c r="U5" s="523"/>
      <c r="V5" s="523"/>
      <c r="W5" s="523"/>
      <c r="X5" s="524"/>
      <c r="Y5" s="525"/>
      <c r="Z5" s="1351"/>
      <c r="AA5" s="1352"/>
      <c r="AB5" s="1354"/>
    </row>
    <row r="6" spans="1:31" ht="20.100000000000001" customHeight="1" thickTop="1" thickBot="1" x14ac:dyDescent="0.35">
      <c r="A6" s="1371" t="s">
        <v>1034</v>
      </c>
      <c r="B6" s="1372"/>
      <c r="C6" s="1372"/>
      <c r="D6" s="1373" t="s">
        <v>1035</v>
      </c>
      <c r="E6" s="1374"/>
      <c r="F6" s="1375" t="s">
        <v>1036</v>
      </c>
      <c r="G6" s="1375"/>
      <c r="H6" s="1375"/>
      <c r="I6" s="1375"/>
      <c r="J6" s="1375"/>
      <c r="K6" s="1375"/>
      <c r="L6" s="1375"/>
      <c r="M6" s="1375"/>
      <c r="N6" s="526"/>
      <c r="P6" s="1371" t="s">
        <v>1034</v>
      </c>
      <c r="Q6" s="1372"/>
      <c r="R6" s="1372"/>
      <c r="S6" s="1373" t="s">
        <v>1035</v>
      </c>
      <c r="T6" s="1374"/>
      <c r="U6" s="1376" t="s">
        <v>1036</v>
      </c>
      <c r="V6" s="1377"/>
      <c r="W6" s="1377"/>
      <c r="X6" s="1377"/>
      <c r="Y6" s="1377"/>
      <c r="Z6" s="1377"/>
      <c r="AA6" s="1377"/>
      <c r="AB6" s="1378"/>
    </row>
    <row r="7" spans="1:31" ht="30" customHeight="1" thickTop="1" thickBot="1" x14ac:dyDescent="0.3">
      <c r="A7" s="1364"/>
      <c r="B7" s="1365"/>
      <c r="C7" s="1365"/>
      <c r="D7" s="1365"/>
      <c r="E7" s="1366"/>
      <c r="F7" s="1367"/>
      <c r="G7" s="1368"/>
      <c r="H7" s="1368"/>
      <c r="I7" s="1368"/>
      <c r="J7" s="1368"/>
      <c r="K7" s="1368"/>
      <c r="L7" s="1368"/>
      <c r="M7" s="1369"/>
      <c r="N7" s="526"/>
      <c r="P7" s="1364"/>
      <c r="Q7" s="1365"/>
      <c r="R7" s="1365"/>
      <c r="S7" s="1365"/>
      <c r="T7" s="1366"/>
      <c r="U7" s="1367"/>
      <c r="V7" s="1368"/>
      <c r="W7" s="1368"/>
      <c r="X7" s="1368"/>
      <c r="Y7" s="1368"/>
      <c r="Z7" s="1368"/>
      <c r="AA7" s="1368"/>
      <c r="AB7" s="1370"/>
      <c r="AD7" s="511"/>
      <c r="AE7" s="511"/>
    </row>
    <row r="8" spans="1:31" ht="20.100000000000001" customHeight="1" thickTop="1" thickBot="1" x14ac:dyDescent="0.3">
      <c r="A8" s="511"/>
      <c r="B8" s="511"/>
      <c r="C8" s="511"/>
      <c r="D8" s="511"/>
      <c r="E8" s="511"/>
      <c r="F8" s="511"/>
      <c r="G8" s="511"/>
      <c r="H8" s="511"/>
      <c r="I8" s="511"/>
      <c r="J8" s="511"/>
      <c r="K8" s="511"/>
      <c r="L8" s="511"/>
      <c r="M8" s="511"/>
      <c r="N8" s="528"/>
      <c r="O8" s="527"/>
      <c r="P8" s="511"/>
      <c r="Q8" s="511"/>
      <c r="R8" s="511"/>
      <c r="S8" s="511"/>
      <c r="T8" s="511"/>
      <c r="U8" s="511"/>
      <c r="V8" s="511"/>
      <c r="W8" s="511"/>
      <c r="X8" s="511"/>
      <c r="Y8" s="511"/>
      <c r="Z8" s="511"/>
      <c r="AA8" s="511"/>
      <c r="AB8" s="526"/>
      <c r="AD8" s="511"/>
      <c r="AE8" s="511"/>
    </row>
    <row r="9" spans="1:31" ht="20.100000000000001" customHeight="1" thickTop="1" thickBot="1" x14ac:dyDescent="0.35">
      <c r="A9" s="504"/>
      <c r="B9" s="753" t="str">
        <f>B1</f>
        <v>4 ФИНАЛ</v>
      </c>
      <c r="C9" s="754" t="s">
        <v>1030</v>
      </c>
      <c r="D9" s="504" t="s">
        <v>762</v>
      </c>
      <c r="E9" s="505"/>
      <c r="F9" s="755">
        <f>F1+1</f>
        <v>114</v>
      </c>
      <c r="G9" s="756" t="s">
        <v>1031</v>
      </c>
      <c r="H9" s="757">
        <f>H1</f>
        <v>15</v>
      </c>
      <c r="I9" s="758">
        <v>1</v>
      </c>
      <c r="J9" s="759"/>
      <c r="K9" s="1388" t="str">
        <f>IF(H9&lt;=8,CONCATENATE(LOOKUP(F9,'Порядок встреч 2Ф'!A5:A68,'Порядок встреч 2Ф'!C5:C68),"-",LOOKUP(F9,'Порядок встреч 2Ф'!A5:A68,'Порядок встреч 2Ф'!D5:D68)),CONCATENATE(LOOKUP(F9,'Порядок встреч 2Ф'!I5:I60,'Порядок встреч 2Ф'!K5:K60),"-",LOOKUP(F9,'Порядок встреч 2Ф'!I5:I60,'Порядок встреч 2Ф'!L5:L60)))</f>
        <v>3-16</v>
      </c>
      <c r="L9" s="1389"/>
      <c r="M9" s="1390"/>
      <c r="N9" s="502"/>
      <c r="O9" s="502"/>
      <c r="P9" s="504"/>
      <c r="Q9" s="776" t="str">
        <f>B1</f>
        <v>4 ФИНАЛ</v>
      </c>
      <c r="R9" s="777" t="s">
        <v>1030</v>
      </c>
      <c r="S9" s="504" t="s">
        <v>762</v>
      </c>
      <c r="T9" s="505"/>
      <c r="U9" s="755">
        <f>F1+5</f>
        <v>118</v>
      </c>
      <c r="V9" s="756" t="s">
        <v>1031</v>
      </c>
      <c r="W9" s="757">
        <f>H1</f>
        <v>15</v>
      </c>
      <c r="X9" s="758">
        <v>1</v>
      </c>
      <c r="Y9" s="759"/>
      <c r="Z9" s="1388" t="str">
        <f>IF(W9&lt;=8,CONCATENATE(LOOKUP(U9,'Порядок встреч 2Ф'!A5:A68,'Порядок встреч 2Ф'!C5:C68),"-",LOOKUP(U9,'Порядок встреч 2Ф'!A5:A68,'Порядок встреч 2Ф'!D5:D68)),CONCATENATE(LOOKUP(U9,'Порядок встреч 2Ф'!I5:I60,'Порядок встреч 2Ф'!K5:K60),"-",LOOKUP(U9,'Порядок встреч 2Ф'!I5:I60,'Порядок встреч 2Ф'!L5:L60)))</f>
        <v>7-12</v>
      </c>
      <c r="AA9" s="1389"/>
      <c r="AB9" s="1390"/>
      <c r="AC9" s="511"/>
      <c r="AD9" s="511"/>
      <c r="AE9" s="511"/>
    </row>
    <row r="10" spans="1:31" ht="20.100000000000001" customHeight="1" thickTop="1" x14ac:dyDescent="0.25">
      <c r="A10" s="1358"/>
      <c r="B10" s="1360" t="s">
        <v>1032</v>
      </c>
      <c r="C10" s="1360" t="s">
        <v>44</v>
      </c>
      <c r="D10" s="1337" t="s">
        <v>965</v>
      </c>
      <c r="E10" s="1337"/>
      <c r="F10" s="1337"/>
      <c r="G10" s="1337"/>
      <c r="H10" s="1338"/>
      <c r="I10" s="1338"/>
      <c r="J10" s="1338"/>
      <c r="K10" s="1339" t="s">
        <v>1042</v>
      </c>
      <c r="L10" s="1340"/>
      <c r="M10" s="1362"/>
      <c r="N10" s="510"/>
      <c r="O10" s="511"/>
      <c r="P10" s="1391"/>
      <c r="Q10" s="1392" t="s">
        <v>1032</v>
      </c>
      <c r="R10" s="1392" t="s">
        <v>44</v>
      </c>
      <c r="S10" s="1338" t="s">
        <v>965</v>
      </c>
      <c r="T10" s="1338"/>
      <c r="U10" s="1338"/>
      <c r="V10" s="1338"/>
      <c r="W10" s="1338"/>
      <c r="X10" s="1338"/>
      <c r="Y10" s="1338"/>
      <c r="Z10" s="1379" t="s">
        <v>1042</v>
      </c>
      <c r="AA10" s="1380"/>
      <c r="AB10" s="1381"/>
    </row>
    <row r="11" spans="1:31" ht="20.100000000000001" customHeight="1" x14ac:dyDescent="0.25">
      <c r="A11" s="1359"/>
      <c r="B11" s="1361"/>
      <c r="C11" s="1361"/>
      <c r="D11" s="512">
        <v>1</v>
      </c>
      <c r="E11" s="512">
        <v>2</v>
      </c>
      <c r="F11" s="512">
        <v>3</v>
      </c>
      <c r="G11" s="512">
        <v>4</v>
      </c>
      <c r="H11" s="512">
        <v>5</v>
      </c>
      <c r="I11" s="513"/>
      <c r="J11" s="513"/>
      <c r="K11" s="1342"/>
      <c r="L11" s="1343"/>
      <c r="M11" s="1363"/>
      <c r="N11" s="510"/>
      <c r="O11" s="511"/>
      <c r="P11" s="1359"/>
      <c r="Q11" s="1361"/>
      <c r="R11" s="1361"/>
      <c r="S11" s="512">
        <v>1</v>
      </c>
      <c r="T11" s="512">
        <v>2</v>
      </c>
      <c r="U11" s="512">
        <v>3</v>
      </c>
      <c r="V11" s="512">
        <v>4</v>
      </c>
      <c r="W11" s="512">
        <v>5</v>
      </c>
      <c r="X11" s="513"/>
      <c r="Y11" s="513"/>
      <c r="Z11" s="1342"/>
      <c r="AA11" s="1343"/>
      <c r="AB11" s="1363"/>
    </row>
    <row r="12" spans="1:31" ht="54.95" customHeight="1" x14ac:dyDescent="0.25">
      <c r="A12" s="514">
        <f>IF(H9&lt;=8,VLOOKUP(F9,'Порядок встреч 4Ф'!A:G,5,FALSE),VLOOKUP(F9,'Порядок встреч 4Ф'!I:O,5,FALSE))</f>
        <v>0</v>
      </c>
      <c r="B12" s="515" t="e">
        <f>IF(A12="","",VLOOKUP(A12,'Списки участников'!A:H,3,FALSE))</f>
        <v>#N/A</v>
      </c>
      <c r="C12" s="516" t="e">
        <f>IF(A12="","",VLOOKUP(A12,'Списки участников'!A:H,6,FALSE))</f>
        <v>#N/A</v>
      </c>
      <c r="D12" s="517"/>
      <c r="E12" s="518"/>
      <c r="F12" s="519"/>
      <c r="G12" s="519"/>
      <c r="H12" s="519"/>
      <c r="I12" s="520"/>
      <c r="J12" s="520"/>
      <c r="K12" s="1345"/>
      <c r="L12" s="1346"/>
      <c r="M12" s="1347"/>
      <c r="N12" s="510"/>
      <c r="O12" s="511"/>
      <c r="P12" s="514">
        <f>IF(W9&lt;=8,VLOOKUP(U9,'Порядок встреч 4Ф'!A:G,5,FALSE),VLOOKUP(U9,'Порядок встреч 4Ф'!I:O,5,FALSE))</f>
        <v>0</v>
      </c>
      <c r="Q12" s="515" t="e">
        <f>IF(P12="","",VLOOKUP(P12,'Списки участников'!A:H,3,FALSE))</f>
        <v>#N/A</v>
      </c>
      <c r="R12" s="516" t="e">
        <f>IF(P12="","",VLOOKUP(P12,'Списки участников'!A:H,6,FALSE))</f>
        <v>#N/A</v>
      </c>
      <c r="S12" s="517"/>
      <c r="T12" s="518"/>
      <c r="U12" s="519"/>
      <c r="V12" s="519"/>
      <c r="W12" s="519"/>
      <c r="X12" s="520"/>
      <c r="Y12" s="520"/>
      <c r="Z12" s="1345"/>
      <c r="AA12" s="1346"/>
      <c r="AB12" s="1382"/>
    </row>
    <row r="13" spans="1:31" ht="54.95" customHeight="1" thickBot="1" x14ac:dyDescent="0.3">
      <c r="A13" s="514">
        <f>IF(H9&lt;=8,VLOOKUP(F9,'Порядок встреч 4Ф'!A:G,7,FALSE),VLOOKUP(F9,'Порядок встреч 4Ф'!I:O,7,FALSE))</f>
        <v>0</v>
      </c>
      <c r="B13" s="515" t="e">
        <f>IF(A13="","",VLOOKUP(A13,'Списки участников'!A:H,3,FALSE))</f>
        <v>#N/A</v>
      </c>
      <c r="C13" s="516" t="e">
        <f>IF(A13="","",VLOOKUP(A13,'Списки участников'!A:H,6,FALSE))</f>
        <v>#N/A</v>
      </c>
      <c r="D13" s="521"/>
      <c r="E13" s="522"/>
      <c r="F13" s="762"/>
      <c r="G13" s="762"/>
      <c r="H13" s="762"/>
      <c r="I13" s="763"/>
      <c r="J13" s="764"/>
      <c r="K13" s="1383"/>
      <c r="L13" s="1384"/>
      <c r="M13" s="921"/>
      <c r="N13" s="510"/>
      <c r="O13" s="511"/>
      <c r="P13" s="514">
        <f>IF(W9&lt;=8,VLOOKUP(U9,'Порядок встреч 4Ф'!A:G,7,FALSE),VLOOKUP(U9,'Порядок встреч 4Ф'!I:O,7,FALSE))</f>
        <v>0</v>
      </c>
      <c r="Q13" s="515" t="e">
        <f>IF(P13="","",VLOOKUP(P13,'Списки участников'!A:H,3,FALSE))</f>
        <v>#N/A</v>
      </c>
      <c r="R13" s="516" t="e">
        <f>IF(P13="","",VLOOKUP(P13,'Списки участников'!A:H,6,FALSE))</f>
        <v>#N/A</v>
      </c>
      <c r="S13" s="521"/>
      <c r="T13" s="522"/>
      <c r="U13" s="523"/>
      <c r="V13" s="523"/>
      <c r="W13" s="523"/>
      <c r="X13" s="524"/>
      <c r="Y13" s="525"/>
      <c r="Z13" s="1385"/>
      <c r="AA13" s="1386"/>
      <c r="AB13" s="1387"/>
    </row>
    <row r="14" spans="1:31" ht="20.100000000000001" customHeight="1" thickTop="1" thickBot="1" x14ac:dyDescent="0.35">
      <c r="A14" s="1371" t="s">
        <v>1034</v>
      </c>
      <c r="B14" s="1372"/>
      <c r="C14" s="1372"/>
      <c r="D14" s="1373" t="s">
        <v>1035</v>
      </c>
      <c r="E14" s="1395"/>
      <c r="F14" s="1376" t="s">
        <v>1036</v>
      </c>
      <c r="G14" s="1377"/>
      <c r="H14" s="1377"/>
      <c r="I14" s="1377"/>
      <c r="J14" s="1377"/>
      <c r="K14" s="1377"/>
      <c r="L14" s="1377"/>
      <c r="M14" s="1396"/>
      <c r="N14" s="526"/>
      <c r="P14" s="1371" t="s">
        <v>1034</v>
      </c>
      <c r="Q14" s="1372"/>
      <c r="R14" s="1372"/>
      <c r="S14" s="1373" t="s">
        <v>1035</v>
      </c>
      <c r="T14" s="1374"/>
      <c r="U14" s="1397" t="s">
        <v>1036</v>
      </c>
      <c r="V14" s="1398"/>
      <c r="W14" s="1398"/>
      <c r="X14" s="1398"/>
      <c r="Y14" s="1398"/>
      <c r="Z14" s="1398"/>
      <c r="AA14" s="1398"/>
      <c r="AB14" s="1399"/>
    </row>
    <row r="15" spans="1:31" ht="30" customHeight="1" thickTop="1" thickBot="1" x14ac:dyDescent="0.3">
      <c r="A15" s="1364"/>
      <c r="B15" s="1365"/>
      <c r="C15" s="1365"/>
      <c r="D15" s="1365"/>
      <c r="E15" s="1366"/>
      <c r="F15" s="1393"/>
      <c r="G15" s="1393"/>
      <c r="H15" s="1393"/>
      <c r="I15" s="1393"/>
      <c r="J15" s="1393"/>
      <c r="K15" s="1393"/>
      <c r="L15" s="1393"/>
      <c r="M15" s="1394"/>
      <c r="N15" s="526"/>
      <c r="P15" s="1364"/>
      <c r="Q15" s="1365"/>
      <c r="R15" s="1365"/>
      <c r="S15" s="1365"/>
      <c r="T15" s="1366"/>
      <c r="U15" s="1367"/>
      <c r="V15" s="1368"/>
      <c r="W15" s="1368"/>
      <c r="X15" s="1368"/>
      <c r="Y15" s="1368"/>
      <c r="Z15" s="1368"/>
      <c r="AA15" s="1368"/>
      <c r="AB15" s="1370"/>
    </row>
    <row r="16" spans="1:31" ht="16.5" customHeight="1" thickTop="1" thickBot="1" x14ac:dyDescent="0.3">
      <c r="A16" s="511"/>
      <c r="B16" s="511"/>
      <c r="C16" s="511"/>
      <c r="D16" s="511"/>
      <c r="E16" s="511"/>
      <c r="F16" s="511"/>
      <c r="G16" s="511"/>
      <c r="H16" s="511"/>
      <c r="I16" s="511"/>
      <c r="J16" s="511"/>
      <c r="K16" s="511"/>
      <c r="L16" s="511"/>
      <c r="M16" s="511"/>
      <c r="N16" s="528"/>
      <c r="O16" s="527"/>
      <c r="P16" s="511"/>
      <c r="Q16" s="511"/>
      <c r="R16" s="511"/>
      <c r="S16" s="511"/>
      <c r="T16" s="511"/>
      <c r="U16" s="511"/>
      <c r="V16" s="511"/>
      <c r="W16" s="511"/>
      <c r="X16" s="511"/>
      <c r="Y16" s="511"/>
      <c r="Z16" s="511"/>
      <c r="AA16" s="511"/>
      <c r="AB16" s="526"/>
    </row>
    <row r="17" spans="1:28" ht="20.25" thickTop="1" thickBot="1" x14ac:dyDescent="0.35">
      <c r="A17" s="504"/>
      <c r="B17" s="753" t="str">
        <f>B9</f>
        <v>4 ФИНАЛ</v>
      </c>
      <c r="C17" s="754" t="s">
        <v>1030</v>
      </c>
      <c r="D17" s="504" t="s">
        <v>762</v>
      </c>
      <c r="E17" s="505"/>
      <c r="F17" s="755">
        <f>F1+2</f>
        <v>115</v>
      </c>
      <c r="G17" s="756" t="s">
        <v>1031</v>
      </c>
      <c r="H17" s="757">
        <f>H1</f>
        <v>15</v>
      </c>
      <c r="I17" s="758">
        <v>1</v>
      </c>
      <c r="J17" s="765"/>
      <c r="K17" s="1401" t="str">
        <f>IF(H17&lt;=8,CONCATENATE(LOOKUP(F17,'Порядок встреч 2Ф'!A5:A68,'Порядок встреч 2Ф'!C5:C68),"-",LOOKUP(F17,'Порядок встреч 2Ф'!A5:A68,'Порядок встреч 2Ф'!D5:D68)),CONCATENATE(LOOKUP(F17,'Порядок встреч 2Ф'!I5:I60,'Порядок встреч 2Ф'!K5:K60),"-",LOOKUP(F17,'Порядок встреч 2Ф'!I5:I60,'Порядок встреч 2Ф'!L5:L60)))</f>
        <v>4-15</v>
      </c>
      <c r="L17" s="1389"/>
      <c r="M17" s="1390"/>
      <c r="N17" s="502"/>
      <c r="O17" s="502"/>
      <c r="P17" s="504"/>
      <c r="Q17" s="776" t="str">
        <f>B1</f>
        <v>4 ФИНАЛ</v>
      </c>
      <c r="R17" s="754" t="s">
        <v>1030</v>
      </c>
      <c r="S17" s="504" t="s">
        <v>762</v>
      </c>
      <c r="T17" s="505"/>
      <c r="U17" s="755">
        <f>F1+6</f>
        <v>119</v>
      </c>
      <c r="V17" s="756" t="s">
        <v>1031</v>
      </c>
      <c r="W17" s="757">
        <f>H1</f>
        <v>15</v>
      </c>
      <c r="X17" s="758">
        <v>1</v>
      </c>
      <c r="Y17" s="759"/>
      <c r="Z17" s="1388" t="str">
        <f>IF(W17&lt;=8,CONCATENATE(LOOKUP(U17,'Порядок встреч 2Ф'!A5:A68,'Порядок встреч 2Ф'!C5:C68),"-",LOOKUP(U17,'Порядок встреч 2Ф'!A5:A68,'Порядок встреч 2Ф'!D5:D68)),CONCATENATE(LOOKUP(U17,'Порядок встреч 2Ф'!I5:I60,'Порядок встреч 2Ф'!K5:K60),"-",LOOKUP(U17,'Порядок встреч 2Ф'!I5:I60,'Порядок встреч 2Ф'!L5:L60)))</f>
        <v>8-11</v>
      </c>
      <c r="AA17" s="1389"/>
      <c r="AB17" s="1390"/>
    </row>
    <row r="18" spans="1:28" ht="20.100000000000001" customHeight="1" thickTop="1" x14ac:dyDescent="0.25">
      <c r="A18" s="1391"/>
      <c r="B18" s="1392" t="s">
        <v>1032</v>
      </c>
      <c r="C18" s="1392" t="s">
        <v>44</v>
      </c>
      <c r="D18" s="1338" t="s">
        <v>965</v>
      </c>
      <c r="E18" s="1338"/>
      <c r="F18" s="1338"/>
      <c r="G18" s="1338"/>
      <c r="H18" s="1338"/>
      <c r="I18" s="1338"/>
      <c r="J18" s="1338"/>
      <c r="K18" s="1339" t="s">
        <v>1042</v>
      </c>
      <c r="L18" s="1340"/>
      <c r="M18" s="1362"/>
      <c r="N18" s="510"/>
      <c r="O18" s="511"/>
      <c r="P18" s="1391"/>
      <c r="Q18" s="1392" t="s">
        <v>1032</v>
      </c>
      <c r="R18" s="1392" t="s">
        <v>44</v>
      </c>
      <c r="S18" s="1338" t="s">
        <v>965</v>
      </c>
      <c r="T18" s="1338"/>
      <c r="U18" s="1338"/>
      <c r="V18" s="1338"/>
      <c r="W18" s="1338"/>
      <c r="X18" s="1338"/>
      <c r="Y18" s="1338"/>
      <c r="Z18" s="1339" t="s">
        <v>1042</v>
      </c>
      <c r="AA18" s="1340"/>
      <c r="AB18" s="1341"/>
    </row>
    <row r="19" spans="1:28" ht="20.100000000000001" customHeight="1" x14ac:dyDescent="0.25">
      <c r="A19" s="1359"/>
      <c r="B19" s="1361"/>
      <c r="C19" s="1361"/>
      <c r="D19" s="512">
        <v>1</v>
      </c>
      <c r="E19" s="512">
        <v>2</v>
      </c>
      <c r="F19" s="512">
        <v>3</v>
      </c>
      <c r="G19" s="512">
        <v>4</v>
      </c>
      <c r="H19" s="512">
        <v>5</v>
      </c>
      <c r="I19" s="513"/>
      <c r="J19" s="513"/>
      <c r="K19" s="1342"/>
      <c r="L19" s="1343"/>
      <c r="M19" s="1363"/>
      <c r="N19" s="510"/>
      <c r="O19" s="511"/>
      <c r="P19" s="1359"/>
      <c r="Q19" s="1361"/>
      <c r="R19" s="1361"/>
      <c r="S19" s="512">
        <v>1</v>
      </c>
      <c r="T19" s="512">
        <v>2</v>
      </c>
      <c r="U19" s="512">
        <v>3</v>
      </c>
      <c r="V19" s="512">
        <v>4</v>
      </c>
      <c r="W19" s="512">
        <v>5</v>
      </c>
      <c r="X19" s="513"/>
      <c r="Y19" s="513"/>
      <c r="Z19" s="1342"/>
      <c r="AA19" s="1343"/>
      <c r="AB19" s="1344"/>
    </row>
    <row r="20" spans="1:28" ht="54.95" customHeight="1" x14ac:dyDescent="0.25">
      <c r="A20" s="514">
        <f>IF(H17&lt;=8,VLOOKUP(F17,'Порядок встреч 4Ф'!A:G,5,FALSE),VLOOKUP(F17,'Порядок встреч 4Ф'!I:O,5,FALSE))</f>
        <v>0</v>
      </c>
      <c r="B20" s="515" t="e">
        <f>IF(A20="","",VLOOKUP(A20,'Списки участников'!A:H,3,FALSE))</f>
        <v>#N/A</v>
      </c>
      <c r="C20" s="516" t="e">
        <f>IF(A20="","",VLOOKUP(A20,'Списки участников'!A:H,6,FALSE))</f>
        <v>#N/A</v>
      </c>
      <c r="D20" s="517"/>
      <c r="E20" s="518"/>
      <c r="F20" s="519"/>
      <c r="G20" s="519"/>
      <c r="H20" s="519"/>
      <c r="I20" s="520"/>
      <c r="J20" s="520"/>
      <c r="K20" s="1348"/>
      <c r="L20" s="1349"/>
      <c r="M20" s="1400"/>
      <c r="N20" s="510"/>
      <c r="O20" s="511"/>
      <c r="P20" s="514">
        <f>IF(W17&lt;=8,VLOOKUP(U17,'Порядок встреч 4Ф'!A:G,5,FALSE),VLOOKUP(U17,'Порядок встреч 4Ф'!I:O,5,FALSE))</f>
        <v>0</v>
      </c>
      <c r="Q20" s="515" t="e">
        <f>IF(P20="","",VLOOKUP(P20,'Списки участников'!A:H,3,FALSE))</f>
        <v>#N/A</v>
      </c>
      <c r="R20" s="516" t="e">
        <f>IF(P20="","",VLOOKUP(P20,'Списки участников'!A:H,6,FALSE))</f>
        <v>#N/A</v>
      </c>
      <c r="S20" s="517"/>
      <c r="T20" s="518"/>
      <c r="U20" s="519"/>
      <c r="V20" s="519"/>
      <c r="W20" s="519"/>
      <c r="X20" s="520"/>
      <c r="Y20" s="520"/>
      <c r="Z20" s="1348"/>
      <c r="AA20" s="1349"/>
      <c r="AB20" s="1350"/>
    </row>
    <row r="21" spans="1:28" ht="54.95" customHeight="1" thickBot="1" x14ac:dyDescent="0.3">
      <c r="A21" s="514">
        <f>IF(H17&lt;=8,VLOOKUP(F17,'Порядок встреч 4Ф'!A:G,7,FALSE),VLOOKUP(F17,'Порядок встреч 4Ф'!I:O,7,FALSE))</f>
        <v>0</v>
      </c>
      <c r="B21" s="515" t="e">
        <f>IF(A21="","",VLOOKUP(A21,'Списки участников'!A:H,3,FALSE))</f>
        <v>#N/A</v>
      </c>
      <c r="C21" s="516" t="e">
        <f>IF(A21="","",VLOOKUP(A21,'Списки участников'!A:H,6,FALSE))</f>
        <v>#N/A</v>
      </c>
      <c r="D21" s="521"/>
      <c r="E21" s="522"/>
      <c r="F21" s="523"/>
      <c r="G21" s="523"/>
      <c r="H21" s="523"/>
      <c r="I21" s="760"/>
      <c r="J21" s="761"/>
      <c r="K21" s="1351"/>
      <c r="L21" s="1352"/>
      <c r="M21" s="1353"/>
      <c r="N21" s="510"/>
      <c r="O21" s="511"/>
      <c r="P21" s="775">
        <f>IF(W17&lt;=8,VLOOKUP(U17,'Порядок встреч 4Ф'!A:G,7,FALSE),VLOOKUP(U17,'Порядок встреч 4Ф'!I:O,7,FALSE))</f>
        <v>0</v>
      </c>
      <c r="Q21" s="778" t="e">
        <f>IF(P21="","",VLOOKUP(P21,'Списки участников'!A:H,3,FALSE))</f>
        <v>#N/A</v>
      </c>
      <c r="R21" s="779" t="e">
        <f>IF(P21="","",VLOOKUP(P21,'Списки участников'!A:H,6,FALSE))</f>
        <v>#N/A</v>
      </c>
      <c r="S21" s="521"/>
      <c r="T21" s="522"/>
      <c r="U21" s="523"/>
      <c r="V21" s="523"/>
      <c r="W21" s="523"/>
      <c r="X21" s="760"/>
      <c r="Y21" s="761"/>
      <c r="Z21" s="1351"/>
      <c r="AA21" s="1352"/>
      <c r="AB21" s="1354"/>
    </row>
    <row r="22" spans="1:28" ht="20.100000000000001" customHeight="1" thickTop="1" thickBot="1" x14ac:dyDescent="0.35">
      <c r="A22" s="1371" t="s">
        <v>1034</v>
      </c>
      <c r="B22" s="1372"/>
      <c r="C22" s="1372"/>
      <c r="D22" s="1373" t="s">
        <v>1035</v>
      </c>
      <c r="E22" s="1374"/>
      <c r="F22" s="1376" t="s">
        <v>1036</v>
      </c>
      <c r="G22" s="1377"/>
      <c r="H22" s="1377"/>
      <c r="I22" s="1377"/>
      <c r="J22" s="1377"/>
      <c r="K22" s="1377"/>
      <c r="L22" s="1377"/>
      <c r="M22" s="1396"/>
      <c r="N22" s="526"/>
      <c r="P22" s="1404" t="s">
        <v>1034</v>
      </c>
      <c r="Q22" s="1405"/>
      <c r="R22" s="1405"/>
      <c r="S22" s="1373" t="s">
        <v>1035</v>
      </c>
      <c r="T22" s="1374"/>
      <c r="U22" s="1397" t="s">
        <v>1036</v>
      </c>
      <c r="V22" s="1398"/>
      <c r="W22" s="1398"/>
      <c r="X22" s="1398"/>
      <c r="Y22" s="1398"/>
      <c r="Z22" s="1398"/>
      <c r="AA22" s="1398"/>
      <c r="AB22" s="1399"/>
    </row>
    <row r="23" spans="1:28" ht="30" customHeight="1" thickTop="1" thickBot="1" x14ac:dyDescent="0.3">
      <c r="A23" s="1364"/>
      <c r="B23" s="1365"/>
      <c r="C23" s="1365"/>
      <c r="D23" s="1365"/>
      <c r="E23" s="1366"/>
      <c r="F23" s="1367"/>
      <c r="G23" s="1368"/>
      <c r="H23" s="1368"/>
      <c r="I23" s="1368"/>
      <c r="J23" s="1368"/>
      <c r="K23" s="1368"/>
      <c r="L23" s="1368"/>
      <c r="M23" s="1369"/>
      <c r="N23" s="526"/>
      <c r="P23" s="1402"/>
      <c r="Q23" s="1403"/>
      <c r="R23" s="1403"/>
      <c r="S23" s="1365"/>
      <c r="T23" s="1366"/>
      <c r="U23" s="1367"/>
      <c r="V23" s="1368"/>
      <c r="W23" s="1368"/>
      <c r="X23" s="1368"/>
      <c r="Y23" s="1368"/>
      <c r="Z23" s="1368"/>
      <c r="AA23" s="1368"/>
      <c r="AB23" s="1370"/>
    </row>
    <row r="24" spans="1:28" ht="16.5" thickTop="1" thickBot="1" x14ac:dyDescent="0.3">
      <c r="A24" s="771"/>
      <c r="B24" s="771"/>
      <c r="C24" s="771"/>
      <c r="D24" s="771"/>
      <c r="E24" s="771"/>
      <c r="F24" s="771"/>
      <c r="G24" s="771"/>
      <c r="H24" s="771"/>
      <c r="I24" s="771"/>
      <c r="J24" s="771"/>
      <c r="K24" s="771"/>
      <c r="L24" s="771"/>
      <c r="M24" s="771"/>
      <c r="N24" s="528"/>
      <c r="O24" s="527"/>
      <c r="P24" s="511"/>
      <c r="Q24" s="771"/>
      <c r="R24" s="771"/>
      <c r="S24" s="511"/>
      <c r="T24" s="511"/>
      <c r="U24" s="511"/>
      <c r="V24" s="511"/>
      <c r="W24" s="511"/>
      <c r="X24" s="511"/>
      <c r="Y24" s="511"/>
      <c r="Z24" s="511"/>
      <c r="AA24" s="511"/>
      <c r="AB24" s="526"/>
    </row>
    <row r="25" spans="1:28" ht="20.25" thickTop="1" thickBot="1" x14ac:dyDescent="0.35">
      <c r="A25" s="502"/>
      <c r="B25" s="748" t="str">
        <f>B17</f>
        <v>4 ФИНАЛ</v>
      </c>
      <c r="C25" s="767" t="s">
        <v>1030</v>
      </c>
      <c r="D25" s="768" t="s">
        <v>762</v>
      </c>
      <c r="E25" s="769"/>
      <c r="F25" s="509">
        <f>F1+3</f>
        <v>116</v>
      </c>
      <c r="G25" s="506" t="s">
        <v>1031</v>
      </c>
      <c r="H25" s="770">
        <f>H1</f>
        <v>15</v>
      </c>
      <c r="I25" s="758">
        <v>1</v>
      </c>
      <c r="J25" s="765"/>
      <c r="K25" s="1401" t="str">
        <f>IF(H25&lt;=8,CONCATENATE(LOOKUP(F25,'Порядок встреч 2Ф'!A5:A68,'Порядок встреч 2Ф'!C5:C68),"-",LOOKUP(F25,'Порядок встреч 2Ф'!A5:A68,'Порядок встреч 2Ф'!D5:D68)),CONCATENATE(LOOKUP(F25,'Порядок встреч 2Ф'!I5:I60,'Порядок встреч 2Ф'!K5:K60),"-",LOOKUP(F25,'Порядок встреч 2Ф'!I5:I60,'Порядок встреч 2Ф'!L5:L60)))</f>
        <v>5-14</v>
      </c>
      <c r="L25" s="1389"/>
      <c r="M25" s="1390"/>
      <c r="N25" s="502"/>
      <c r="O25" s="502"/>
      <c r="P25" s="504"/>
      <c r="Q25" s="776" t="str">
        <f>B1</f>
        <v>4 ФИНАЛ</v>
      </c>
      <c r="R25" s="754" t="s">
        <v>1030</v>
      </c>
      <c r="S25" s="504" t="s">
        <v>762</v>
      </c>
      <c r="T25" s="505"/>
      <c r="U25" s="755">
        <f>F1+7</f>
        <v>120</v>
      </c>
      <c r="V25" s="756" t="s">
        <v>1031</v>
      </c>
      <c r="W25" s="757">
        <f>H1</f>
        <v>15</v>
      </c>
      <c r="X25" s="758">
        <v>1</v>
      </c>
      <c r="Y25" s="759"/>
      <c r="Z25" s="1388" t="str">
        <f>IF(W25&lt;=8,CONCATENATE(LOOKUP(U25,'Порядок встреч 2Ф'!A5:A68,'Порядок встреч 2Ф'!C5:C68),"-",LOOKUP(U25,'Порядок встреч 2Ф'!A5:A68,'Порядок встреч 2Ф'!D5:D68)),CONCATENATE(LOOKUP(U25,'Порядок встреч 2Ф'!I5:I60,'Порядок встреч 2Ф'!K5:K60),"-",LOOKUP(U25,'Порядок встреч 2Ф'!I5:I60,'Порядок встреч 2Ф'!L5:L60)))</f>
        <v>9-10</v>
      </c>
      <c r="AA25" s="1389"/>
      <c r="AB25" s="1390"/>
    </row>
    <row r="26" spans="1:28" ht="20.100000000000001" customHeight="1" thickTop="1" x14ac:dyDescent="0.25">
      <c r="A26" s="1358"/>
      <c r="B26" s="1360" t="s">
        <v>1032</v>
      </c>
      <c r="C26" s="1360" t="s">
        <v>44</v>
      </c>
      <c r="D26" s="1337" t="s">
        <v>965</v>
      </c>
      <c r="E26" s="1337"/>
      <c r="F26" s="1337"/>
      <c r="G26" s="1337"/>
      <c r="H26" s="1338"/>
      <c r="I26" s="1338"/>
      <c r="J26" s="1338"/>
      <c r="K26" s="1339" t="s">
        <v>1042</v>
      </c>
      <c r="L26" s="1340"/>
      <c r="M26" s="1362"/>
      <c r="N26" s="510"/>
      <c r="O26" s="511"/>
      <c r="P26" s="1391"/>
      <c r="Q26" s="1392" t="s">
        <v>1032</v>
      </c>
      <c r="R26" s="1392" t="s">
        <v>44</v>
      </c>
      <c r="S26" s="1338" t="s">
        <v>965</v>
      </c>
      <c r="T26" s="1338"/>
      <c r="U26" s="1338"/>
      <c r="V26" s="1338"/>
      <c r="W26" s="1338"/>
      <c r="X26" s="1338"/>
      <c r="Y26" s="1338"/>
      <c r="Z26" s="1339" t="s">
        <v>1042</v>
      </c>
      <c r="AA26" s="1340"/>
      <c r="AB26" s="1341"/>
    </row>
    <row r="27" spans="1:28" ht="20.100000000000001" customHeight="1" x14ac:dyDescent="0.25">
      <c r="A27" s="1359"/>
      <c r="B27" s="1361"/>
      <c r="C27" s="1361"/>
      <c r="D27" s="512">
        <v>1</v>
      </c>
      <c r="E27" s="512">
        <v>2</v>
      </c>
      <c r="F27" s="512">
        <v>3</v>
      </c>
      <c r="G27" s="512">
        <v>4</v>
      </c>
      <c r="H27" s="512">
        <v>5</v>
      </c>
      <c r="I27" s="513"/>
      <c r="J27" s="513"/>
      <c r="K27" s="1342"/>
      <c r="L27" s="1343"/>
      <c r="M27" s="1363"/>
      <c r="N27" s="510"/>
      <c r="O27" s="511"/>
      <c r="P27" s="1359"/>
      <c r="Q27" s="1361"/>
      <c r="R27" s="1361"/>
      <c r="S27" s="512">
        <v>1</v>
      </c>
      <c r="T27" s="512">
        <v>2</v>
      </c>
      <c r="U27" s="512">
        <v>3</v>
      </c>
      <c r="V27" s="512">
        <v>4</v>
      </c>
      <c r="W27" s="512">
        <v>5</v>
      </c>
      <c r="X27" s="513"/>
      <c r="Y27" s="513"/>
      <c r="Z27" s="1342"/>
      <c r="AA27" s="1343"/>
      <c r="AB27" s="1344"/>
    </row>
    <row r="28" spans="1:28" ht="54.95" customHeight="1" x14ac:dyDescent="0.25">
      <c r="A28" s="514">
        <f>IF(H25&lt;=8,VLOOKUP(F25,'Порядок встреч 4Ф'!A:G,5,FALSE),VLOOKUP(F25,'Порядок встреч 4Ф'!I:O,5,FALSE))</f>
        <v>0</v>
      </c>
      <c r="B28" s="515" t="e">
        <f>IF(A28="","",VLOOKUP(A28,'Списки участников'!A:H,3,FALSE))</f>
        <v>#N/A</v>
      </c>
      <c r="C28" s="516" t="e">
        <f>IF(A28="","",VLOOKUP(A28,'Списки участников'!A:H,6,FALSE))</f>
        <v>#N/A</v>
      </c>
      <c r="D28" s="517"/>
      <c r="E28" s="518"/>
      <c r="F28" s="519"/>
      <c r="G28" s="519"/>
      <c r="H28" s="519"/>
      <c r="I28" s="520"/>
      <c r="J28" s="520"/>
      <c r="K28" s="1348"/>
      <c r="L28" s="1349"/>
      <c r="M28" s="1400"/>
      <c r="N28" s="510"/>
      <c r="O28" s="511"/>
      <c r="P28" s="514">
        <f>IF(W25&lt;=8,VLOOKUP(U25,'Порядок встреч 4Ф'!A:G,5,FALSE),VLOOKUP(U25,'Порядок встреч 4Ф'!I:O,5,FALSE))</f>
        <v>0</v>
      </c>
      <c r="Q28" s="515" t="e">
        <f>IF(P28="","",VLOOKUP(P28,'Списки участников'!A:H,3,FALSE))</f>
        <v>#N/A</v>
      </c>
      <c r="R28" s="516" t="e">
        <f>IF(P28="","",VLOOKUP(P28,'Списки участников'!A:H,6,FALSE))</f>
        <v>#N/A</v>
      </c>
      <c r="S28" s="517"/>
      <c r="T28" s="518"/>
      <c r="U28" s="519"/>
      <c r="V28" s="519"/>
      <c r="W28" s="519"/>
      <c r="X28" s="520"/>
      <c r="Y28" s="520"/>
      <c r="Z28" s="1348"/>
      <c r="AA28" s="1349"/>
      <c r="AB28" s="1350"/>
    </row>
    <row r="29" spans="1:28" ht="54.95" customHeight="1" thickBot="1" x14ac:dyDescent="0.3">
      <c r="A29" s="514">
        <f>IF(H25&lt;=8,VLOOKUP(F25,'Порядок встреч 4Ф'!A:G,7,FALSE),VLOOKUP(F25,'Порядок встреч 4Ф'!I:O,7,FALSE))</f>
        <v>0</v>
      </c>
      <c r="B29" s="515" t="e">
        <f>IF(A29="","",VLOOKUP(A29,'Списки участников'!A:H,3,FALSE))</f>
        <v>#N/A</v>
      </c>
      <c r="C29" s="516" t="e">
        <f>IF(A29="","",VLOOKUP(A29,'Списки участников'!A:H,6,FALSE))</f>
        <v>#N/A</v>
      </c>
      <c r="D29" s="521"/>
      <c r="E29" s="522"/>
      <c r="F29" s="772"/>
      <c r="G29" s="772"/>
      <c r="H29" s="772"/>
      <c r="I29" s="773"/>
      <c r="J29" s="774"/>
      <c r="K29" s="1384"/>
      <c r="L29" s="1406"/>
      <c r="M29" s="1407"/>
      <c r="N29" s="510"/>
      <c r="O29" s="511"/>
      <c r="P29" s="775">
        <f>IF(W25&lt;=8,VLOOKUP(U25,'Порядок встреч 4Ф'!A:G,7,FALSE),VLOOKUP(U25,'Порядок встреч 4Ф'!I:O,7,FALSE))</f>
        <v>0</v>
      </c>
      <c r="Q29" s="778" t="e">
        <f>IF(P29="","",VLOOKUP(P29,'Списки участников'!A:H,3,FALSE))</f>
        <v>#N/A</v>
      </c>
      <c r="R29" s="779" t="e">
        <f>IF(P29="","",VLOOKUP(P29,'Списки участников'!A:H,6,FALSE))</f>
        <v>#N/A</v>
      </c>
      <c r="S29" s="521"/>
      <c r="T29" s="522"/>
      <c r="U29" s="523"/>
      <c r="V29" s="523"/>
      <c r="W29" s="523"/>
      <c r="X29" s="524"/>
      <c r="Y29" s="525"/>
      <c r="Z29" s="1351"/>
      <c r="AA29" s="1352"/>
      <c r="AB29" s="1354"/>
    </row>
    <row r="30" spans="1:28" ht="20.100000000000001" customHeight="1" thickTop="1" thickBot="1" x14ac:dyDescent="0.35">
      <c r="A30" s="1371" t="s">
        <v>1034</v>
      </c>
      <c r="B30" s="1372"/>
      <c r="C30" s="1372"/>
      <c r="D30" s="1373" t="s">
        <v>1035</v>
      </c>
      <c r="E30" s="1374"/>
      <c r="F30" s="1408" t="s">
        <v>1036</v>
      </c>
      <c r="G30" s="1409"/>
      <c r="H30" s="1409"/>
      <c r="I30" s="1409"/>
      <c r="J30" s="1409"/>
      <c r="K30" s="1409"/>
      <c r="L30" s="1409"/>
      <c r="M30" s="1410"/>
      <c r="N30" s="526"/>
      <c r="P30" s="1404" t="s">
        <v>1034</v>
      </c>
      <c r="Q30" s="1405"/>
      <c r="R30" s="1405"/>
      <c r="S30" s="1373" t="s">
        <v>1035</v>
      </c>
      <c r="T30" s="1374"/>
      <c r="U30" s="1411" t="s">
        <v>1036</v>
      </c>
      <c r="V30" s="1412"/>
      <c r="W30" s="1412"/>
      <c r="X30" s="1412"/>
      <c r="Y30" s="1412"/>
      <c r="Z30" s="1412"/>
      <c r="AA30" s="1412"/>
      <c r="AB30" s="1413"/>
    </row>
    <row r="31" spans="1:28" ht="30" customHeight="1" thickTop="1" thickBot="1" x14ac:dyDescent="0.3">
      <c r="A31" s="1364"/>
      <c r="B31" s="1365"/>
      <c r="C31" s="1365"/>
      <c r="D31" s="1365"/>
      <c r="E31" s="1366"/>
      <c r="F31" s="1367"/>
      <c r="G31" s="1368"/>
      <c r="H31" s="1368"/>
      <c r="I31" s="1368"/>
      <c r="J31" s="1368"/>
      <c r="K31" s="1368"/>
      <c r="L31" s="1368"/>
      <c r="M31" s="1369"/>
      <c r="N31" s="526"/>
      <c r="P31" s="1402"/>
      <c r="Q31" s="1403"/>
      <c r="R31" s="1403"/>
      <c r="S31" s="1403"/>
      <c r="T31" s="1366"/>
      <c r="U31" s="751"/>
      <c r="V31" s="752"/>
      <c r="W31" s="752"/>
      <c r="X31" s="752"/>
      <c r="Y31" s="752"/>
      <c r="Z31" s="1368"/>
      <c r="AA31" s="1368"/>
      <c r="AB31" s="1370"/>
    </row>
    <row r="32" spans="1:28" ht="15.75" thickTop="1" x14ac:dyDescent="0.25">
      <c r="A32" s="527"/>
      <c r="B32" s="527"/>
      <c r="C32" s="527"/>
      <c r="D32" s="527"/>
      <c r="E32" s="527"/>
      <c r="F32" s="527"/>
      <c r="G32" s="511"/>
      <c r="H32" s="511"/>
      <c r="I32" s="527"/>
      <c r="J32" s="527"/>
      <c r="K32" s="527"/>
      <c r="L32" s="527"/>
      <c r="M32" s="527"/>
      <c r="N32" s="528"/>
      <c r="O32" s="527"/>
      <c r="P32" s="527"/>
      <c r="Q32" s="780"/>
      <c r="R32" s="780"/>
      <c r="S32" s="780"/>
      <c r="T32" s="527"/>
      <c r="U32" s="527"/>
      <c r="V32" s="511"/>
      <c r="W32" s="511"/>
      <c r="X32" s="527"/>
      <c r="Y32" s="527"/>
      <c r="Z32" s="527"/>
      <c r="AA32" s="527"/>
      <c r="AB32" s="528"/>
    </row>
    <row r="34" spans="3:3" x14ac:dyDescent="0.25">
      <c r="C34" s="766"/>
    </row>
  </sheetData>
  <mergeCells count="112">
    <mergeCell ref="A31:C31"/>
    <mergeCell ref="D31:E31"/>
    <mergeCell ref="F31:M31"/>
    <mergeCell ref="P31:R31"/>
    <mergeCell ref="S31:T31"/>
    <mergeCell ref="Z31:AB31"/>
    <mergeCell ref="A30:C30"/>
    <mergeCell ref="D30:E30"/>
    <mergeCell ref="F30:M30"/>
    <mergeCell ref="P30:R30"/>
    <mergeCell ref="S30:T30"/>
    <mergeCell ref="U30:AB30"/>
    <mergeCell ref="S26:Y26"/>
    <mergeCell ref="Z26:AB27"/>
    <mergeCell ref="K28:M28"/>
    <mergeCell ref="Z28:AB28"/>
    <mergeCell ref="K29:M29"/>
    <mergeCell ref="Z29:AB29"/>
    <mergeCell ref="K25:M25"/>
    <mergeCell ref="Z25:AB25"/>
    <mergeCell ref="A26:A27"/>
    <mergeCell ref="B26:B27"/>
    <mergeCell ref="C26:C27"/>
    <mergeCell ref="D26:J26"/>
    <mergeCell ref="K26:M27"/>
    <mergeCell ref="P26:P27"/>
    <mergeCell ref="Q26:Q27"/>
    <mergeCell ref="R26:R27"/>
    <mergeCell ref="A23:C23"/>
    <mergeCell ref="D23:E23"/>
    <mergeCell ref="F23:M23"/>
    <mergeCell ref="P23:R23"/>
    <mergeCell ref="S23:T23"/>
    <mergeCell ref="U23:AB23"/>
    <mergeCell ref="A22:C22"/>
    <mergeCell ref="D22:E22"/>
    <mergeCell ref="F22:M22"/>
    <mergeCell ref="P22:R22"/>
    <mergeCell ref="S22:T22"/>
    <mergeCell ref="U22:AB22"/>
    <mergeCell ref="S18:Y18"/>
    <mergeCell ref="Z18:AB19"/>
    <mergeCell ref="K20:M20"/>
    <mergeCell ref="Z20:AB20"/>
    <mergeCell ref="K21:M21"/>
    <mergeCell ref="Z21:AB21"/>
    <mergeCell ref="K17:M17"/>
    <mergeCell ref="Z17:AB17"/>
    <mergeCell ref="A18:A19"/>
    <mergeCell ref="B18:B19"/>
    <mergeCell ref="C18:C19"/>
    <mergeCell ref="D18:J18"/>
    <mergeCell ref="K18:M19"/>
    <mergeCell ref="P18:P19"/>
    <mergeCell ref="Q18:Q19"/>
    <mergeCell ref="R18:R19"/>
    <mergeCell ref="A15:C15"/>
    <mergeCell ref="D15:E15"/>
    <mergeCell ref="F15:M15"/>
    <mergeCell ref="P15:R15"/>
    <mergeCell ref="S15:T15"/>
    <mergeCell ref="U15:AB15"/>
    <mergeCell ref="A14:C14"/>
    <mergeCell ref="D14:E14"/>
    <mergeCell ref="F14:M14"/>
    <mergeCell ref="P14:R14"/>
    <mergeCell ref="S14:T14"/>
    <mergeCell ref="U14:AB14"/>
    <mergeCell ref="S10:Y10"/>
    <mergeCell ref="Z10:AB11"/>
    <mergeCell ref="K12:M12"/>
    <mergeCell ref="Z12:AB12"/>
    <mergeCell ref="K13:L13"/>
    <mergeCell ref="Z13:AB13"/>
    <mergeCell ref="K9:M9"/>
    <mergeCell ref="Z9:AB9"/>
    <mergeCell ref="A10:A11"/>
    <mergeCell ref="B10:B11"/>
    <mergeCell ref="C10:C11"/>
    <mergeCell ref="D10:J10"/>
    <mergeCell ref="K10:M11"/>
    <mergeCell ref="P10:P11"/>
    <mergeCell ref="Q10:Q11"/>
    <mergeCell ref="R10:R11"/>
    <mergeCell ref="A7:C7"/>
    <mergeCell ref="D7:E7"/>
    <mergeCell ref="F7:M7"/>
    <mergeCell ref="P7:R7"/>
    <mergeCell ref="S7:T7"/>
    <mergeCell ref="U7:AB7"/>
    <mergeCell ref="A6:C6"/>
    <mergeCell ref="D6:E6"/>
    <mergeCell ref="F6:M6"/>
    <mergeCell ref="P6:R6"/>
    <mergeCell ref="S6:T6"/>
    <mergeCell ref="U6:AB6"/>
    <mergeCell ref="S2:Y2"/>
    <mergeCell ref="Z2:AB3"/>
    <mergeCell ref="K4:M4"/>
    <mergeCell ref="Z4:AB4"/>
    <mergeCell ref="K5:M5"/>
    <mergeCell ref="Z5:AB5"/>
    <mergeCell ref="K1:M1"/>
    <mergeCell ref="Z1:AB1"/>
    <mergeCell ref="A2:A3"/>
    <mergeCell ref="B2:B3"/>
    <mergeCell ref="C2:C3"/>
    <mergeCell ref="D2:J2"/>
    <mergeCell ref="K2:M3"/>
    <mergeCell ref="P2:P3"/>
    <mergeCell ref="Q2:Q3"/>
    <mergeCell ref="R2:R3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59" orientation="landscape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FFC000"/>
  </sheetPr>
  <dimension ref="B1:L54"/>
  <sheetViews>
    <sheetView view="pageBreakPreview" zoomScale="80" zoomScaleSheetLayoutView="80" workbookViewId="0">
      <selection activeCell="J21" sqref="J21"/>
    </sheetView>
  </sheetViews>
  <sheetFormatPr defaultRowHeight="15" outlineLevelCol="1" x14ac:dyDescent="0.25"/>
  <cols>
    <col min="1" max="1" width="6.1640625" style="128" customWidth="1"/>
    <col min="2" max="2" width="3" style="128" customWidth="1"/>
    <col min="3" max="3" width="7.83203125" style="128" hidden="1" customWidth="1" outlineLevel="1"/>
    <col min="4" max="4" width="27.5" style="128" customWidth="1" collapsed="1"/>
    <col min="5" max="5" width="4.83203125" style="128" customWidth="1"/>
    <col min="6" max="6" width="7.5" style="128" hidden="1" customWidth="1" outlineLevel="1"/>
    <col min="7" max="7" width="30.5" style="128" customWidth="1" collapsed="1"/>
    <col min="8" max="8" width="4.6640625" style="128" customWidth="1"/>
    <col min="9" max="9" width="9" style="128" hidden="1" customWidth="1" outlineLevel="1"/>
    <col min="10" max="10" width="32.5" style="128" customWidth="1" collapsed="1"/>
    <col min="11" max="11" width="9.33203125" style="128" customWidth="1"/>
    <col min="12" max="16384" width="9.33203125" style="128"/>
  </cols>
  <sheetData>
    <row r="1" spans="2:12" ht="18.75" x14ac:dyDescent="0.3">
      <c r="D1" s="1414" t="str">
        <f>'Списки участников'!A1</f>
        <v xml:space="preserve">X Спартакиада
среди предприятий Нижегородской области ФСК "Профсоюзов",
под девизом "Будь спортивным - будь успешным!"
</v>
      </c>
      <c r="E1" s="1414"/>
      <c r="F1" s="1414"/>
      <c r="G1" s="1414"/>
      <c r="H1" s="1414"/>
      <c r="I1" s="1414"/>
      <c r="J1" s="1414"/>
      <c r="K1" s="1414"/>
    </row>
    <row r="2" spans="2:12" ht="18.75" x14ac:dyDescent="0.3">
      <c r="D2" s="1415" t="str">
        <f>'Списки участников'!A2</f>
        <v>Соревнования по настольному теннису</v>
      </c>
      <c r="E2" s="1415"/>
      <c r="F2" s="1415"/>
      <c r="G2" s="1415"/>
      <c r="H2" s="1415"/>
      <c r="I2" s="1415"/>
      <c r="J2" s="1415"/>
      <c r="K2" s="1415"/>
    </row>
    <row r="3" spans="2:12" ht="21" x14ac:dyDescent="0.3">
      <c r="D3" s="799" t="str">
        <f>'Списки участников'!C3</f>
        <v>22 октября 2016 г.</v>
      </c>
      <c r="G3" s="800" t="s">
        <v>2384</v>
      </c>
      <c r="K3" s="1416">
        <f>'Списки участников'!H3</f>
        <v>0</v>
      </c>
      <c r="L3" s="1416"/>
    </row>
    <row r="4" spans="2:12" ht="21" x14ac:dyDescent="0.3">
      <c r="D4" s="143"/>
      <c r="G4" s="833">
        <f>'Списки участников'!D6</f>
        <v>0</v>
      </c>
      <c r="K4" s="798"/>
      <c r="L4" s="798"/>
    </row>
    <row r="5" spans="2:12" ht="21" x14ac:dyDescent="0.3">
      <c r="D5" s="143"/>
      <c r="G5" s="800"/>
      <c r="K5" s="798"/>
      <c r="L5" s="798"/>
    </row>
    <row r="7" spans="2:12" ht="11.25" customHeight="1" x14ac:dyDescent="0.3">
      <c r="D7" s="143"/>
    </row>
    <row r="8" spans="2:12" ht="22.5" customHeight="1" x14ac:dyDescent="0.3">
      <c r="B8" s="801">
        <v>1</v>
      </c>
      <c r="C8" s="802"/>
      <c r="D8" s="803" t="str">
        <f>IF(C8="","",VLOOKUP(C8,'Списки участников'!A:H,3,FALSE))</f>
        <v/>
      </c>
    </row>
    <row r="9" spans="2:12" ht="24.95" customHeight="1" x14ac:dyDescent="0.3">
      <c r="B9" s="804"/>
      <c r="C9" s="804"/>
      <c r="D9" s="805" t="str">
        <f>IF(C8="","",VLOOKUP(C8,'Списки участников'!A:H,6,FALSE))</f>
        <v/>
      </c>
      <c r="E9" s="806">
        <v>1</v>
      </c>
      <c r="F9" s="807"/>
      <c r="G9" s="143" t="str">
        <f>IF(F9="","",VLOOKUP(F9,'Списки участников'!A:H,3,FALSE))</f>
        <v/>
      </c>
    </row>
    <row r="10" spans="2:12" ht="22.5" customHeight="1" x14ac:dyDescent="0.3">
      <c r="B10" s="808">
        <v>2</v>
      </c>
      <c r="C10" s="809"/>
      <c r="D10" s="810" t="str">
        <f>IF(C10="","",VLOOKUP(C10,'Списки участников'!A:H,3,FALSE))</f>
        <v/>
      </c>
      <c r="E10" s="811"/>
      <c r="F10" s="511"/>
      <c r="G10" s="878"/>
      <c r="H10" s="806"/>
      <c r="I10" s="511"/>
    </row>
    <row r="11" spans="2:12" ht="24.95" customHeight="1" x14ac:dyDescent="0.3">
      <c r="B11" s="801"/>
      <c r="C11" s="801"/>
      <c r="D11" s="812" t="str">
        <f>IF(C10="","",VLOOKUP(C10,'Списки участников'!A:H,6,FALSE))</f>
        <v/>
      </c>
      <c r="E11" s="813"/>
      <c r="F11" s="511"/>
      <c r="G11" s="511"/>
      <c r="H11" s="814">
        <v>3</v>
      </c>
      <c r="I11" s="815"/>
      <c r="J11" s="803" t="str">
        <f>IF(I11="","",VLOOKUP(I11,'Списки участников'!A:H,3,FALSE))</f>
        <v/>
      </c>
      <c r="K11" s="502" t="s">
        <v>2385</v>
      </c>
    </row>
    <row r="12" spans="2:12" ht="22.5" customHeight="1" x14ac:dyDescent="0.3">
      <c r="B12" s="801">
        <v>3</v>
      </c>
      <c r="C12" s="802"/>
      <c r="D12" s="803" t="str">
        <f>IF(C12="","",VLOOKUP(C12,'Списки участников'!A:H,3,FALSE))</f>
        <v/>
      </c>
      <c r="E12" s="766"/>
      <c r="F12" s="511"/>
      <c r="G12" s="511"/>
      <c r="H12" s="816"/>
      <c r="I12" s="511"/>
      <c r="J12" s="817" t="str">
        <f>IF(I11="","",VLOOKUP(I11,'Списки участников'!A:H,6,FALSE))</f>
        <v/>
      </c>
      <c r="K12" s="813"/>
    </row>
    <row r="13" spans="2:12" ht="24.95" customHeight="1" x14ac:dyDescent="0.3">
      <c r="B13" s="804"/>
      <c r="C13" s="804"/>
      <c r="D13" s="805" t="str">
        <f>IF(C12="","",VLOOKUP(C12,'Списки участников'!A:H,6,FALSE))</f>
        <v/>
      </c>
      <c r="E13" s="806">
        <v>2</v>
      </c>
      <c r="F13" s="807"/>
      <c r="G13" s="818" t="str">
        <f>IF(F13="","",VLOOKUP(F13,'Списки участников'!A:H,3,FALSE))</f>
        <v/>
      </c>
      <c r="H13" s="811"/>
      <c r="I13" s="511"/>
      <c r="J13" s="819"/>
    </row>
    <row r="14" spans="2:12" ht="22.5" customHeight="1" x14ac:dyDescent="0.3">
      <c r="B14" s="808">
        <v>4</v>
      </c>
      <c r="C14" s="809"/>
      <c r="D14" s="810" t="str">
        <f>IF(C14="","",VLOOKUP(C14,'Списки участников'!A:H,3,FALSE))</f>
        <v/>
      </c>
      <c r="E14" s="811"/>
      <c r="F14" s="511"/>
      <c r="G14" s="879"/>
      <c r="J14" s="143"/>
    </row>
    <row r="15" spans="2:12" ht="24.95" customHeight="1" x14ac:dyDescent="0.3">
      <c r="D15" s="820" t="str">
        <f>IF(C14="","",VLOOKUP(C14,'Списки участников'!A:H,6,FALSE))</f>
        <v/>
      </c>
      <c r="H15" s="766">
        <v>-3</v>
      </c>
      <c r="I15" s="821" t="str">
        <f>IF(I11="","",IF(I11=F9,F13,IF(I11=F13,F9)))</f>
        <v/>
      </c>
      <c r="J15" s="810" t="str">
        <f>IF(I15="","",VLOOKUP(I15,'Списки участников'!A:H,3,FALSE))</f>
        <v/>
      </c>
      <c r="K15" s="822" t="s">
        <v>2386</v>
      </c>
    </row>
    <row r="16" spans="2:12" ht="24.95" customHeight="1" x14ac:dyDescent="0.25">
      <c r="J16" s="823" t="str">
        <f>IF(I15="","",VLOOKUP(I15,'Списки участников'!A:H,6,FALSE))</f>
        <v/>
      </c>
    </row>
    <row r="17" spans="4:11" ht="24.95" customHeight="1" x14ac:dyDescent="0.3">
      <c r="J17" s="143"/>
    </row>
    <row r="18" spans="4:11" ht="24.95" customHeight="1" x14ac:dyDescent="0.3">
      <c r="E18" s="824">
        <v>-1</v>
      </c>
      <c r="F18" s="825" t="str">
        <f>IF(F9="","",IF(F9=C8,C10,IF(F9=C10,C8)))</f>
        <v/>
      </c>
      <c r="G18" s="826" t="str">
        <f>IF(F18="","",VLOOKUP(F18,'Списки участников'!A:H,3,FALSE))</f>
        <v/>
      </c>
      <c r="H18" s="766"/>
      <c r="I18" s="511"/>
      <c r="J18" s="143"/>
    </row>
    <row r="19" spans="4:11" ht="24.95" customHeight="1" x14ac:dyDescent="0.3">
      <c r="E19" s="827"/>
      <c r="F19" s="827"/>
      <c r="G19" s="828"/>
      <c r="H19" s="829">
        <v>4</v>
      </c>
      <c r="I19" s="815"/>
      <c r="J19" s="830" t="str">
        <f>IF(I19="","",VLOOKUP(I19,'Списки участников'!A:H,3,FALSE))</f>
        <v/>
      </c>
      <c r="K19" s="822" t="s">
        <v>2387</v>
      </c>
    </row>
    <row r="20" spans="4:11" ht="24.95" customHeight="1" x14ac:dyDescent="0.3">
      <c r="E20" s="824">
        <v>-2</v>
      </c>
      <c r="F20" s="825" t="str">
        <f>IF(F13="","",IF(F13=C12,C14,IF(F13=C14,C12)))</f>
        <v/>
      </c>
      <c r="G20" s="826" t="str">
        <f>IF(F20="","",VLOOKUP(F20,'Списки участников'!A:H,3,FALSE))</f>
        <v/>
      </c>
      <c r="H20" s="811"/>
      <c r="I20" s="511"/>
      <c r="J20" s="831" t="str">
        <f>IF(I19="","",VLOOKUP(I19,'Списки участников'!A:H,6,FALSE))</f>
        <v/>
      </c>
      <c r="K20" s="502"/>
    </row>
    <row r="21" spans="4:11" ht="24.95" customHeight="1" x14ac:dyDescent="0.3">
      <c r="J21" s="819"/>
      <c r="K21" s="502"/>
    </row>
    <row r="22" spans="4:11" ht="24.95" customHeight="1" x14ac:dyDescent="0.3">
      <c r="J22" s="143"/>
      <c r="K22" s="502"/>
    </row>
    <row r="23" spans="4:11" ht="24.95" customHeight="1" x14ac:dyDescent="0.3">
      <c r="H23" s="766">
        <v>-4</v>
      </c>
      <c r="I23" s="821" t="str">
        <f>IF(I19="","",IF(I19=F18,F20,IF(I19=F20,F18)))</f>
        <v/>
      </c>
      <c r="J23" s="810" t="str">
        <f>IF(I23="","",VLOOKUP(I23,'Списки участников'!A:H,3,FALSE))</f>
        <v/>
      </c>
      <c r="K23" s="822" t="s">
        <v>2388</v>
      </c>
    </row>
    <row r="24" spans="4:11" ht="24.95" customHeight="1" x14ac:dyDescent="0.25">
      <c r="J24" s="823" t="str">
        <f>IF(I23="","",VLOOKUP(I23,'Списки участников'!A:H,6,FALSE))</f>
        <v/>
      </c>
    </row>
    <row r="25" spans="4:11" ht="24.95" customHeight="1" x14ac:dyDescent="0.25"/>
    <row r="26" spans="4:11" ht="86.25" customHeight="1" x14ac:dyDescent="0.25"/>
    <row r="27" spans="4:11" ht="18.75" x14ac:dyDescent="0.3">
      <c r="D27" s="143" t="s">
        <v>760</v>
      </c>
      <c r="E27" s="143"/>
      <c r="F27" s="143"/>
      <c r="G27" s="832" t="str">
        <f>'Списки участников'!H47</f>
        <v>Винокуров А.К</v>
      </c>
    </row>
    <row r="28" spans="4:11" ht="18.75" x14ac:dyDescent="0.3">
      <c r="D28" s="143"/>
      <c r="E28" s="143"/>
      <c r="F28" s="143"/>
      <c r="G28" s="143"/>
    </row>
    <row r="29" spans="4:11" ht="18.75" x14ac:dyDescent="0.3">
      <c r="D29" s="143" t="s">
        <v>761</v>
      </c>
      <c r="E29" s="143"/>
      <c r="F29" s="143"/>
      <c r="G29" s="832" t="str">
        <f>'Списки участников'!H48</f>
        <v>Брусин С.Б., Кашулина А.И.</v>
      </c>
    </row>
    <row r="53" ht="16.5" customHeight="1" x14ac:dyDescent="0.25"/>
    <row r="54" ht="17.25" customHeight="1" x14ac:dyDescent="0.25"/>
  </sheetData>
  <mergeCells count="3">
    <mergeCell ref="D1:K1"/>
    <mergeCell ref="D2:K2"/>
    <mergeCell ref="K3:L3"/>
  </mergeCells>
  <pageMargins left="0.7" right="0.7" top="0.75" bottom="0.75" header="0.3" footer="0.3"/>
  <pageSetup paperSize="9" scale="64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U107"/>
  <sheetViews>
    <sheetView view="pageBreakPreview" zoomScale="120" zoomScaleNormal="100" zoomScaleSheetLayoutView="120" workbookViewId="0">
      <selection activeCell="R9" sqref="R9:R105"/>
    </sheetView>
  </sheetViews>
  <sheetFormatPr defaultRowHeight="12.75" outlineLevelCol="1" x14ac:dyDescent="0.2"/>
  <cols>
    <col min="1" max="1" width="6.83203125" style="91" customWidth="1"/>
    <col min="2" max="2" width="6.83203125" style="91" hidden="1" customWidth="1" outlineLevel="1"/>
    <col min="3" max="3" width="33.5" style="91" customWidth="1" collapsed="1"/>
    <col min="4" max="4" width="26.6640625" style="91" customWidth="1"/>
    <col min="5" max="5" width="17.6640625" style="91" hidden="1" customWidth="1" outlineLevel="1"/>
    <col min="6" max="6" width="4.83203125" style="91" hidden="1" customWidth="1" outlineLevel="1"/>
    <col min="7" max="7" width="18.33203125" style="91" hidden="1" customWidth="1" outlineLevel="1"/>
    <col min="8" max="8" width="8.5" style="91" customWidth="1" collapsed="1"/>
    <col min="9" max="9" width="4.33203125" style="91" customWidth="1"/>
    <col min="10" max="10" width="9.1640625" style="91" customWidth="1"/>
    <col min="11" max="11" width="4.5" style="91" customWidth="1"/>
    <col min="12" max="12" width="10.33203125" style="91" customWidth="1"/>
    <col min="13" max="13" width="4.5" style="91" customWidth="1"/>
    <col min="14" max="14" width="10" style="91" hidden="1" customWidth="1"/>
    <col min="15" max="15" width="5" style="91" hidden="1" customWidth="1"/>
    <col min="16" max="16" width="9.33203125" style="91" customWidth="1"/>
    <col min="17" max="17" width="4.83203125" style="91" customWidth="1"/>
    <col min="18" max="18" width="9.33203125" style="91" customWidth="1"/>
    <col min="19" max="19" width="4.83203125" style="91" customWidth="1"/>
    <col min="20" max="20" width="5.33203125" style="91" customWidth="1"/>
    <col min="21" max="21" width="7.83203125" style="91" customWidth="1"/>
    <col min="22" max="16384" width="9.33203125" style="91"/>
  </cols>
  <sheetData>
    <row r="1" spans="1:21" ht="15.75" x14ac:dyDescent="0.25">
      <c r="A1" s="1417"/>
      <c r="B1" s="1417"/>
      <c r="C1" s="1417"/>
      <c r="D1" s="1417"/>
    </row>
    <row r="2" spans="1:21" ht="23.25" x14ac:dyDescent="0.35">
      <c r="A2" s="1418" t="str">
        <f>'Списки участников'!A1</f>
        <v xml:space="preserve">X Спартакиада
среди предприятий Нижегородской области ФСК "Профсоюзов",
под девизом "Будь спортивным - будь успешным!"
</v>
      </c>
      <c r="B2" s="1418"/>
      <c r="C2" s="1418"/>
      <c r="D2" s="1418"/>
      <c r="E2" s="1418"/>
      <c r="F2" s="1418"/>
      <c r="G2" s="1418"/>
      <c r="H2" s="1418"/>
      <c r="I2" s="1418"/>
      <c r="J2" s="1418"/>
      <c r="K2" s="1418"/>
      <c r="L2" s="1418"/>
      <c r="M2" s="1418"/>
      <c r="N2" s="1418"/>
      <c r="O2" s="1418"/>
      <c r="P2" s="1418"/>
      <c r="Q2" s="1418"/>
      <c r="R2" s="1418"/>
      <c r="S2" s="1418"/>
      <c r="T2" s="1418"/>
    </row>
    <row r="3" spans="1:21" ht="19.5" x14ac:dyDescent="0.2">
      <c r="A3" s="1419" t="str">
        <f>'Списки участников'!A2</f>
        <v>Соревнования по настольному теннису</v>
      </c>
      <c r="B3" s="1419"/>
      <c r="C3" s="1419"/>
      <c r="D3" s="1419"/>
      <c r="E3" s="1419"/>
      <c r="F3" s="1419"/>
      <c r="G3" s="1419"/>
      <c r="H3" s="1419"/>
      <c r="I3" s="1419"/>
      <c r="J3" s="1419"/>
      <c r="K3" s="1419"/>
      <c r="L3" s="1419"/>
      <c r="M3" s="1419"/>
      <c r="N3" s="1419"/>
      <c r="O3" s="1419"/>
      <c r="P3" s="1419"/>
      <c r="Q3" s="1419"/>
      <c r="R3" s="1419"/>
      <c r="S3" s="1419"/>
      <c r="T3" s="1419"/>
    </row>
    <row r="4" spans="1:21" ht="15.75" x14ac:dyDescent="0.2">
      <c r="A4" s="722" t="s">
        <v>1051</v>
      </c>
      <c r="B4" s="722"/>
      <c r="C4" s="1423" t="s">
        <v>1052</v>
      </c>
      <c r="D4" s="1423"/>
      <c r="E4" s="1423"/>
      <c r="F4" s="1423"/>
      <c r="G4" s="1423"/>
      <c r="H4" s="1423"/>
      <c r="I4" s="1423"/>
      <c r="J4" s="793">
        <f>'Списки участников'!D6</f>
        <v>0</v>
      </c>
      <c r="K4" s="722"/>
      <c r="L4" s="722"/>
      <c r="M4" s="722"/>
      <c r="N4" s="722"/>
      <c r="O4" s="722"/>
      <c r="P4" s="722"/>
      <c r="Q4" s="722"/>
      <c r="R4" s="722"/>
      <c r="S4" s="722"/>
      <c r="T4" s="722"/>
    </row>
    <row r="5" spans="1:21" ht="15.75" x14ac:dyDescent="0.25">
      <c r="A5" s="1420"/>
      <c r="B5" s="1420"/>
      <c r="C5" s="1420"/>
      <c r="D5" s="1420"/>
    </row>
    <row r="6" spans="1:21" ht="15.75" x14ac:dyDescent="0.25">
      <c r="C6" s="475" t="str">
        <f>'Списки участников'!C3</f>
        <v>22 октября 2016 г.</v>
      </c>
      <c r="D6" s="94"/>
      <c r="N6" s="1421"/>
      <c r="O6" s="1421"/>
      <c r="P6" s="1421"/>
      <c r="Q6" s="1421"/>
      <c r="R6" s="1422">
        <f>'Списки участников'!H3</f>
        <v>0</v>
      </c>
      <c r="S6" s="1422"/>
      <c r="T6" s="1422"/>
    </row>
    <row r="7" spans="1:21" ht="13.5" thickBot="1" x14ac:dyDescent="0.25">
      <c r="D7" s="94"/>
      <c r="H7" s="476"/>
      <c r="I7" s="476"/>
      <c r="J7" s="476"/>
      <c r="K7" s="476"/>
      <c r="L7" s="476"/>
      <c r="M7" s="476"/>
      <c r="N7" s="476"/>
      <c r="O7" s="476"/>
      <c r="P7" s="476"/>
      <c r="Q7" s="476"/>
      <c r="R7" s="476"/>
      <c r="S7" s="164"/>
    </row>
    <row r="8" spans="1:21" ht="54.75" customHeight="1" thickTop="1" thickBot="1" x14ac:dyDescent="0.25">
      <c r="A8" s="95" t="s">
        <v>3</v>
      </c>
      <c r="B8" s="96"/>
      <c r="C8" s="96" t="s">
        <v>4</v>
      </c>
      <c r="D8" s="95" t="s">
        <v>44</v>
      </c>
      <c r="E8" s="477"/>
      <c r="F8" s="476"/>
      <c r="G8" s="476"/>
      <c r="H8" s="175" t="s">
        <v>853</v>
      </c>
      <c r="I8" s="478" t="s">
        <v>100</v>
      </c>
      <c r="J8" s="175" t="s">
        <v>854</v>
      </c>
      <c r="K8" s="478" t="s">
        <v>100</v>
      </c>
      <c r="L8" s="175" t="s">
        <v>855</v>
      </c>
      <c r="M8" s="478" t="s">
        <v>856</v>
      </c>
      <c r="N8" s="175" t="s">
        <v>857</v>
      </c>
      <c r="O8" s="478" t="s">
        <v>856</v>
      </c>
      <c r="P8" s="175" t="s">
        <v>858</v>
      </c>
      <c r="Q8" s="478" t="s">
        <v>856</v>
      </c>
      <c r="R8" s="176" t="s">
        <v>859</v>
      </c>
      <c r="S8" s="177" t="s">
        <v>856</v>
      </c>
      <c r="T8" s="478" t="s">
        <v>963</v>
      </c>
      <c r="U8" s="177" t="s">
        <v>860</v>
      </c>
    </row>
    <row r="9" spans="1:21" ht="16.5" thickTop="1" x14ac:dyDescent="0.25">
      <c r="A9" s="178" t="s">
        <v>10</v>
      </c>
      <c r="B9" s="679"/>
      <c r="C9" s="105" t="str">
        <f>IF(B9="","",VLOOKUP(B9,'Списки участников'!A:K,3,FALSE))</f>
        <v/>
      </c>
      <c r="D9" s="102" t="str">
        <f>IF(B9="","",VLOOKUP(B9,'Списки участников'!A:K,6,FALSE))</f>
        <v/>
      </c>
      <c r="E9" s="104"/>
      <c r="F9" s="104"/>
      <c r="G9" s="104"/>
      <c r="H9" s="179"/>
      <c r="I9" s="180" t="str">
        <f t="shared" ref="I9:I40" si="0">IF(B9="","",RANK(H9,БЕГ,1))</f>
        <v/>
      </c>
      <c r="J9" s="179"/>
      <c r="K9" s="180" t="str">
        <f t="shared" ref="K9:K40" si="1">IF(B9="","",RANK(J9,ДЛИНА,))</f>
        <v/>
      </c>
      <c r="L9" s="179"/>
      <c r="M9" s="180" t="str">
        <f t="shared" ref="M9:M40" si="2">IF(B9="","",RANK(L9,СКАК,))</f>
        <v/>
      </c>
      <c r="N9" s="179"/>
      <c r="O9" s="180" t="e">
        <f t="shared" ref="O9:O31" si="3">IF(C9=0,"",RANK(N9,ОТЖИМ,))</f>
        <v>#N/A</v>
      </c>
      <c r="P9" s="179"/>
      <c r="Q9" s="180" t="str">
        <f t="shared" ref="Q9:Q40" si="4">IF(B9="","",RANK(P9,ПРЕСС,))</f>
        <v/>
      </c>
      <c r="R9" s="179"/>
      <c r="S9" s="180" t="str">
        <f t="shared" ref="S9:S40" si="5">IF(B9="","",RANK(R9,КВАДР,))</f>
        <v/>
      </c>
      <c r="T9" s="479" t="str">
        <f t="shared" ref="T9:T40" si="6">IF(B9="","",I9+K9+M9+Q9+S9)</f>
        <v/>
      </c>
      <c r="U9" s="480" t="str">
        <f t="shared" ref="U9:U40" si="7">IF(B9="","",RANK(T9,Сумма_мест,1))</f>
        <v/>
      </c>
    </row>
    <row r="10" spans="1:21" ht="15.75" x14ac:dyDescent="0.25">
      <c r="A10" s="178" t="s">
        <v>41</v>
      </c>
      <c r="B10" s="679"/>
      <c r="C10" s="105" t="str">
        <f>IF(B10="","",VLOOKUP(B10,'Списки участников'!A:K,3,FALSE))</f>
        <v/>
      </c>
      <c r="D10" s="102" t="str">
        <f>IF(B10="","",VLOOKUP(B10,'Списки участников'!A:K,6,FALSE))</f>
        <v/>
      </c>
      <c r="E10" s="104" t="e">
        <f t="shared" ref="E10:E16" si="8">MID(C10,1,SEARCH(" ",C10)-1)</f>
        <v>#VALUE!</v>
      </c>
      <c r="F10" s="104" t="e">
        <f t="shared" ref="F10:F16" si="9">MID(C10,SEARCH(" ",C10)+1,1)</f>
        <v>#VALUE!</v>
      </c>
      <c r="G10" s="104" t="e">
        <f t="shared" ref="G10:G16" si="10">CONCATENATE(E10," ",F10,".")</f>
        <v>#VALUE!</v>
      </c>
      <c r="H10" s="181"/>
      <c r="I10" s="180" t="str">
        <f t="shared" si="0"/>
        <v/>
      </c>
      <c r="J10" s="181"/>
      <c r="K10" s="180" t="str">
        <f t="shared" si="1"/>
        <v/>
      </c>
      <c r="L10" s="181"/>
      <c r="M10" s="180" t="str">
        <f t="shared" si="2"/>
        <v/>
      </c>
      <c r="N10" s="181"/>
      <c r="O10" s="180" t="e">
        <f t="shared" si="3"/>
        <v>#N/A</v>
      </c>
      <c r="P10" s="181"/>
      <c r="Q10" s="180" t="str">
        <f t="shared" si="4"/>
        <v/>
      </c>
      <c r="R10" s="181"/>
      <c r="S10" s="180" t="str">
        <f t="shared" si="5"/>
        <v/>
      </c>
      <c r="T10" s="479" t="str">
        <f t="shared" si="6"/>
        <v/>
      </c>
      <c r="U10" s="480" t="str">
        <f t="shared" si="7"/>
        <v/>
      </c>
    </row>
    <row r="11" spans="1:21" ht="15.75" x14ac:dyDescent="0.25">
      <c r="A11" s="178" t="s">
        <v>35</v>
      </c>
      <c r="B11" s="679"/>
      <c r="C11" s="105" t="str">
        <f>IF(B11="","",VLOOKUP(B11,'Списки участников'!A:K,3,FALSE))</f>
        <v/>
      </c>
      <c r="D11" s="102" t="str">
        <f>IF(B11="","",VLOOKUP(B11,'Списки участников'!A:K,6,FALSE))</f>
        <v/>
      </c>
      <c r="E11" s="104" t="e">
        <f t="shared" si="8"/>
        <v>#VALUE!</v>
      </c>
      <c r="F11" s="104" t="e">
        <f t="shared" si="9"/>
        <v>#VALUE!</v>
      </c>
      <c r="G11" s="104" t="e">
        <f t="shared" si="10"/>
        <v>#VALUE!</v>
      </c>
      <c r="H11" s="181"/>
      <c r="I11" s="180" t="str">
        <f t="shared" si="0"/>
        <v/>
      </c>
      <c r="J11" s="181"/>
      <c r="K11" s="180" t="str">
        <f t="shared" si="1"/>
        <v/>
      </c>
      <c r="L11" s="181"/>
      <c r="M11" s="180" t="str">
        <f t="shared" si="2"/>
        <v/>
      </c>
      <c r="N11" s="181"/>
      <c r="O11" s="180" t="e">
        <f t="shared" si="3"/>
        <v>#N/A</v>
      </c>
      <c r="P11" s="181"/>
      <c r="Q11" s="180" t="str">
        <f t="shared" si="4"/>
        <v/>
      </c>
      <c r="R11" s="181"/>
      <c r="S11" s="180" t="str">
        <f t="shared" si="5"/>
        <v/>
      </c>
      <c r="T11" s="479" t="str">
        <f t="shared" si="6"/>
        <v/>
      </c>
      <c r="U11" s="480" t="str">
        <f t="shared" si="7"/>
        <v/>
      </c>
    </row>
    <row r="12" spans="1:21" ht="15.75" x14ac:dyDescent="0.25">
      <c r="A12" s="178" t="s">
        <v>15</v>
      </c>
      <c r="B12" s="679"/>
      <c r="C12" s="105" t="str">
        <f>IF(B12="","",VLOOKUP(B12,'Списки участников'!A:K,3,FALSE))</f>
        <v/>
      </c>
      <c r="D12" s="102" t="str">
        <f>IF(B12="","",VLOOKUP(B12,'Списки участников'!A:K,6,FALSE))</f>
        <v/>
      </c>
      <c r="E12" s="104" t="e">
        <f t="shared" si="8"/>
        <v>#VALUE!</v>
      </c>
      <c r="F12" s="104" t="e">
        <f t="shared" si="9"/>
        <v>#VALUE!</v>
      </c>
      <c r="G12" s="104" t="e">
        <f t="shared" si="10"/>
        <v>#VALUE!</v>
      </c>
      <c r="H12" s="181"/>
      <c r="I12" s="180" t="str">
        <f t="shared" si="0"/>
        <v/>
      </c>
      <c r="J12" s="181"/>
      <c r="K12" s="180" t="str">
        <f t="shared" si="1"/>
        <v/>
      </c>
      <c r="L12" s="181"/>
      <c r="M12" s="180" t="str">
        <f t="shared" si="2"/>
        <v/>
      </c>
      <c r="N12" s="181"/>
      <c r="O12" s="180" t="e">
        <f t="shared" si="3"/>
        <v>#N/A</v>
      </c>
      <c r="P12" s="181"/>
      <c r="Q12" s="180" t="str">
        <f t="shared" si="4"/>
        <v/>
      </c>
      <c r="R12" s="181"/>
      <c r="S12" s="180" t="str">
        <f t="shared" si="5"/>
        <v/>
      </c>
      <c r="T12" s="479" t="str">
        <f t="shared" si="6"/>
        <v/>
      </c>
      <c r="U12" s="480" t="str">
        <f t="shared" si="7"/>
        <v/>
      </c>
    </row>
    <row r="13" spans="1:21" ht="15.75" x14ac:dyDescent="0.25">
      <c r="A13" s="178" t="s">
        <v>37</v>
      </c>
      <c r="B13" s="679"/>
      <c r="C13" s="105" t="str">
        <f>IF(B13="","",VLOOKUP(B13,'Списки участников'!A:K,3,FALSE))</f>
        <v/>
      </c>
      <c r="D13" s="102" t="str">
        <f>IF(B13="","",VLOOKUP(B13,'Списки участников'!A:K,6,FALSE))</f>
        <v/>
      </c>
      <c r="E13" s="104" t="e">
        <f t="shared" si="8"/>
        <v>#VALUE!</v>
      </c>
      <c r="F13" s="104" t="e">
        <f t="shared" si="9"/>
        <v>#VALUE!</v>
      </c>
      <c r="G13" s="104" t="e">
        <f t="shared" si="10"/>
        <v>#VALUE!</v>
      </c>
      <c r="H13" s="181"/>
      <c r="I13" s="180" t="str">
        <f t="shared" si="0"/>
        <v/>
      </c>
      <c r="J13" s="181"/>
      <c r="K13" s="180" t="str">
        <f t="shared" si="1"/>
        <v/>
      </c>
      <c r="L13" s="181"/>
      <c r="M13" s="180" t="str">
        <f t="shared" si="2"/>
        <v/>
      </c>
      <c r="N13" s="181"/>
      <c r="O13" s="180" t="e">
        <f t="shared" si="3"/>
        <v>#N/A</v>
      </c>
      <c r="P13" s="181"/>
      <c r="Q13" s="180" t="str">
        <f t="shared" si="4"/>
        <v/>
      </c>
      <c r="R13" s="181"/>
      <c r="S13" s="180" t="str">
        <f t="shared" si="5"/>
        <v/>
      </c>
      <c r="T13" s="479" t="str">
        <f t="shared" si="6"/>
        <v/>
      </c>
      <c r="U13" s="480" t="str">
        <f t="shared" si="7"/>
        <v/>
      </c>
    </row>
    <row r="14" spans="1:21" ht="15.75" x14ac:dyDescent="0.25">
      <c r="A14" s="178" t="s">
        <v>42</v>
      </c>
      <c r="B14" s="679"/>
      <c r="C14" s="105" t="str">
        <f>IF(B14="","",VLOOKUP(B14,'Списки участников'!A:K,3,FALSE))</f>
        <v/>
      </c>
      <c r="D14" s="102" t="str">
        <f>IF(B14="","",VLOOKUP(B14,'Списки участников'!A:K,6,FALSE))</f>
        <v/>
      </c>
      <c r="E14" s="104" t="e">
        <f t="shared" si="8"/>
        <v>#VALUE!</v>
      </c>
      <c r="F14" s="104" t="e">
        <f t="shared" si="9"/>
        <v>#VALUE!</v>
      </c>
      <c r="G14" s="104" t="e">
        <f t="shared" si="10"/>
        <v>#VALUE!</v>
      </c>
      <c r="H14" s="181"/>
      <c r="I14" s="180" t="str">
        <f t="shared" si="0"/>
        <v/>
      </c>
      <c r="J14" s="181"/>
      <c r="K14" s="180" t="str">
        <f t="shared" si="1"/>
        <v/>
      </c>
      <c r="L14" s="181"/>
      <c r="M14" s="180" t="str">
        <f t="shared" si="2"/>
        <v/>
      </c>
      <c r="N14" s="181"/>
      <c r="O14" s="180" t="e">
        <f t="shared" si="3"/>
        <v>#N/A</v>
      </c>
      <c r="P14" s="181"/>
      <c r="Q14" s="180" t="str">
        <f t="shared" si="4"/>
        <v/>
      </c>
      <c r="R14" s="181"/>
      <c r="S14" s="180" t="str">
        <f t="shared" si="5"/>
        <v/>
      </c>
      <c r="T14" s="479" t="str">
        <f t="shared" si="6"/>
        <v/>
      </c>
      <c r="U14" s="480" t="str">
        <f t="shared" si="7"/>
        <v/>
      </c>
    </row>
    <row r="15" spans="1:21" ht="15.75" x14ac:dyDescent="0.25">
      <c r="A15" s="178" t="s">
        <v>28</v>
      </c>
      <c r="B15" s="679"/>
      <c r="C15" s="105" t="str">
        <f>IF(B15="","",VLOOKUP(B15,'Списки участников'!A:K,3,FALSE))</f>
        <v/>
      </c>
      <c r="D15" s="102" t="str">
        <f>IF(B15="","",VLOOKUP(B15,'Списки участников'!A:K,6,FALSE))</f>
        <v/>
      </c>
      <c r="E15" s="104" t="e">
        <f t="shared" si="8"/>
        <v>#VALUE!</v>
      </c>
      <c r="F15" s="104" t="e">
        <f t="shared" si="9"/>
        <v>#VALUE!</v>
      </c>
      <c r="G15" s="104" t="e">
        <f t="shared" si="10"/>
        <v>#VALUE!</v>
      </c>
      <c r="H15" s="181"/>
      <c r="I15" s="180" t="str">
        <f t="shared" si="0"/>
        <v/>
      </c>
      <c r="J15" s="181"/>
      <c r="K15" s="180" t="str">
        <f t="shared" si="1"/>
        <v/>
      </c>
      <c r="L15" s="181"/>
      <c r="M15" s="180" t="str">
        <f t="shared" si="2"/>
        <v/>
      </c>
      <c r="N15" s="181"/>
      <c r="O15" s="180" t="e">
        <f t="shared" si="3"/>
        <v>#N/A</v>
      </c>
      <c r="P15" s="181"/>
      <c r="Q15" s="180" t="str">
        <f t="shared" si="4"/>
        <v/>
      </c>
      <c r="R15" s="181"/>
      <c r="S15" s="180" t="str">
        <f t="shared" si="5"/>
        <v/>
      </c>
      <c r="T15" s="479" t="str">
        <f t="shared" si="6"/>
        <v/>
      </c>
      <c r="U15" s="480" t="str">
        <f t="shared" si="7"/>
        <v/>
      </c>
    </row>
    <row r="16" spans="1:21" ht="15.75" x14ac:dyDescent="0.25">
      <c r="A16" s="178" t="s">
        <v>22</v>
      </c>
      <c r="B16" s="679"/>
      <c r="C16" s="105" t="str">
        <f>IF(B16="","",VLOOKUP(B16,'Списки участников'!A:K,3,FALSE))</f>
        <v/>
      </c>
      <c r="D16" s="102" t="str">
        <f>IF(B16="","",VLOOKUP(B16,'Списки участников'!A:K,6,FALSE))</f>
        <v/>
      </c>
      <c r="E16" s="104" t="e">
        <f t="shared" si="8"/>
        <v>#VALUE!</v>
      </c>
      <c r="F16" s="104" t="e">
        <f t="shared" si="9"/>
        <v>#VALUE!</v>
      </c>
      <c r="G16" s="104" t="e">
        <f t="shared" si="10"/>
        <v>#VALUE!</v>
      </c>
      <c r="H16" s="181"/>
      <c r="I16" s="180" t="str">
        <f t="shared" si="0"/>
        <v/>
      </c>
      <c r="J16" s="181"/>
      <c r="K16" s="180" t="str">
        <f t="shared" si="1"/>
        <v/>
      </c>
      <c r="L16" s="181"/>
      <c r="M16" s="180" t="str">
        <f t="shared" si="2"/>
        <v/>
      </c>
      <c r="N16" s="181"/>
      <c r="O16" s="180" t="e">
        <f t="shared" si="3"/>
        <v>#N/A</v>
      </c>
      <c r="P16" s="181"/>
      <c r="Q16" s="180" t="str">
        <f t="shared" si="4"/>
        <v/>
      </c>
      <c r="R16" s="181"/>
      <c r="S16" s="180" t="str">
        <f t="shared" si="5"/>
        <v/>
      </c>
      <c r="T16" s="479" t="str">
        <f t="shared" si="6"/>
        <v/>
      </c>
      <c r="U16" s="480" t="str">
        <f t="shared" si="7"/>
        <v/>
      </c>
    </row>
    <row r="17" spans="1:21" ht="15.75" x14ac:dyDescent="0.25">
      <c r="A17" s="178" t="s">
        <v>38</v>
      </c>
      <c r="B17" s="679"/>
      <c r="C17" s="105" t="str">
        <f>IF(B17="","",VLOOKUP(B17,'Списки участников'!A:K,3,FALSE))</f>
        <v/>
      </c>
      <c r="D17" s="102" t="str">
        <f>IF(B17="","",VLOOKUP(B17,'Списки участников'!A:K,6,FALSE))</f>
        <v/>
      </c>
      <c r="E17" s="104"/>
      <c r="F17" s="104"/>
      <c r="G17" s="104"/>
      <c r="H17" s="181"/>
      <c r="I17" s="180" t="str">
        <f t="shared" si="0"/>
        <v/>
      </c>
      <c r="J17" s="181"/>
      <c r="K17" s="180" t="str">
        <f t="shared" si="1"/>
        <v/>
      </c>
      <c r="L17" s="181"/>
      <c r="M17" s="180" t="str">
        <f t="shared" si="2"/>
        <v/>
      </c>
      <c r="N17" s="181"/>
      <c r="O17" s="180" t="e">
        <f t="shared" si="3"/>
        <v>#N/A</v>
      </c>
      <c r="P17" s="181"/>
      <c r="Q17" s="180" t="str">
        <f t="shared" si="4"/>
        <v/>
      </c>
      <c r="R17" s="181"/>
      <c r="S17" s="180" t="str">
        <f t="shared" si="5"/>
        <v/>
      </c>
      <c r="T17" s="479" t="str">
        <f t="shared" si="6"/>
        <v/>
      </c>
      <c r="U17" s="480" t="str">
        <f t="shared" si="7"/>
        <v/>
      </c>
    </row>
    <row r="18" spans="1:21" ht="15.75" x14ac:dyDescent="0.25">
      <c r="A18" s="178" t="s">
        <v>30</v>
      </c>
      <c r="B18" s="679"/>
      <c r="C18" s="105" t="str">
        <f>IF(B18="","",VLOOKUP(B18,'Списки участников'!A:K,3,FALSE))</f>
        <v/>
      </c>
      <c r="D18" s="102" t="str">
        <f>IF(B18="","",VLOOKUP(B18,'Списки участников'!A:K,6,FALSE))</f>
        <v/>
      </c>
      <c r="E18" s="104" t="e">
        <f>MID(C18,1,SEARCH(" ",C18)-1)</f>
        <v>#VALUE!</v>
      </c>
      <c r="F18" s="104" t="e">
        <f>MID(C18,SEARCH(" ",C18)+1,1)</f>
        <v>#VALUE!</v>
      </c>
      <c r="G18" s="104" t="e">
        <f>CONCATENATE(E18," ",F18,".")</f>
        <v>#VALUE!</v>
      </c>
      <c r="H18" s="181"/>
      <c r="I18" s="180" t="str">
        <f t="shared" si="0"/>
        <v/>
      </c>
      <c r="J18" s="181"/>
      <c r="K18" s="180" t="str">
        <f t="shared" si="1"/>
        <v/>
      </c>
      <c r="L18" s="181"/>
      <c r="M18" s="180" t="str">
        <f t="shared" si="2"/>
        <v/>
      </c>
      <c r="N18" s="181"/>
      <c r="O18" s="180" t="e">
        <f t="shared" si="3"/>
        <v>#N/A</v>
      </c>
      <c r="P18" s="181"/>
      <c r="Q18" s="180" t="str">
        <f t="shared" si="4"/>
        <v/>
      </c>
      <c r="R18" s="181"/>
      <c r="S18" s="180" t="str">
        <f t="shared" si="5"/>
        <v/>
      </c>
      <c r="T18" s="479" t="str">
        <f t="shared" si="6"/>
        <v/>
      </c>
      <c r="U18" s="480" t="str">
        <f t="shared" si="7"/>
        <v/>
      </c>
    </row>
    <row r="19" spans="1:21" ht="15.75" x14ac:dyDescent="0.25">
      <c r="A19" s="178" t="s">
        <v>25</v>
      </c>
      <c r="B19" s="679"/>
      <c r="C19" s="105" t="str">
        <f>IF(B19="","",VLOOKUP(B19,'Списки участников'!A:K,3,FALSE))</f>
        <v/>
      </c>
      <c r="D19" s="102" t="str">
        <f>IF(B19="","",VLOOKUP(B19,'Списки участников'!A:K,6,FALSE))</f>
        <v/>
      </c>
      <c r="E19" s="104"/>
      <c r="F19" s="104"/>
      <c r="G19" s="104"/>
      <c r="H19" s="181"/>
      <c r="I19" s="180" t="str">
        <f t="shared" si="0"/>
        <v/>
      </c>
      <c r="J19" s="181"/>
      <c r="K19" s="180" t="str">
        <f t="shared" si="1"/>
        <v/>
      </c>
      <c r="L19" s="181"/>
      <c r="M19" s="180" t="str">
        <f t="shared" si="2"/>
        <v/>
      </c>
      <c r="N19" s="181"/>
      <c r="O19" s="180" t="e">
        <f t="shared" si="3"/>
        <v>#N/A</v>
      </c>
      <c r="P19" s="181"/>
      <c r="Q19" s="180" t="str">
        <f t="shared" si="4"/>
        <v/>
      </c>
      <c r="R19" s="181"/>
      <c r="S19" s="180" t="str">
        <f t="shared" si="5"/>
        <v/>
      </c>
      <c r="T19" s="479" t="str">
        <f t="shared" si="6"/>
        <v/>
      </c>
      <c r="U19" s="480" t="str">
        <f t="shared" si="7"/>
        <v/>
      </c>
    </row>
    <row r="20" spans="1:21" ht="15.75" x14ac:dyDescent="0.25">
      <c r="A20" s="178" t="s">
        <v>17</v>
      </c>
      <c r="B20" s="679"/>
      <c r="C20" s="105" t="str">
        <f>IF(B20="","",VLOOKUP(B20,'Списки участников'!A:K,3,FALSE))</f>
        <v/>
      </c>
      <c r="D20" s="102" t="str">
        <f>IF(B20="","",VLOOKUP(B20,'Списки участников'!A:K,6,FALSE))</f>
        <v/>
      </c>
      <c r="E20" s="104"/>
      <c r="F20" s="104"/>
      <c r="G20" s="104"/>
      <c r="H20" s="181"/>
      <c r="I20" s="180" t="str">
        <f t="shared" si="0"/>
        <v/>
      </c>
      <c r="J20" s="181"/>
      <c r="K20" s="180" t="str">
        <f t="shared" si="1"/>
        <v/>
      </c>
      <c r="L20" s="181"/>
      <c r="M20" s="180" t="str">
        <f t="shared" si="2"/>
        <v/>
      </c>
      <c r="N20" s="181"/>
      <c r="O20" s="180" t="e">
        <f t="shared" si="3"/>
        <v>#N/A</v>
      </c>
      <c r="P20" s="181"/>
      <c r="Q20" s="180" t="str">
        <f t="shared" si="4"/>
        <v/>
      </c>
      <c r="R20" s="181"/>
      <c r="S20" s="180" t="str">
        <f t="shared" si="5"/>
        <v/>
      </c>
      <c r="T20" s="479" t="str">
        <f t="shared" si="6"/>
        <v/>
      </c>
      <c r="U20" s="480" t="str">
        <f t="shared" si="7"/>
        <v/>
      </c>
    </row>
    <row r="21" spans="1:21" ht="15.75" x14ac:dyDescent="0.25">
      <c r="A21" s="178" t="s">
        <v>23</v>
      </c>
      <c r="B21" s="679"/>
      <c r="C21" s="105" t="str">
        <f>IF(B21="","",VLOOKUP(B21,'Списки участников'!A:K,3,FALSE))</f>
        <v/>
      </c>
      <c r="D21" s="102" t="str">
        <f>IF(B21="","",VLOOKUP(B21,'Списки участников'!A:K,6,FALSE))</f>
        <v/>
      </c>
      <c r="E21" s="104" t="e">
        <f>MID(C21,1,SEARCH(" ",C21)-1)</f>
        <v>#VALUE!</v>
      </c>
      <c r="F21" s="104" t="e">
        <f>MID(C21,SEARCH(" ",C21)+1,1)</f>
        <v>#VALUE!</v>
      </c>
      <c r="G21" s="104" t="e">
        <f>CONCATENATE(E21," ",F21,".")</f>
        <v>#VALUE!</v>
      </c>
      <c r="H21" s="181"/>
      <c r="I21" s="180" t="str">
        <f t="shared" si="0"/>
        <v/>
      </c>
      <c r="J21" s="181"/>
      <c r="K21" s="180" t="str">
        <f t="shared" si="1"/>
        <v/>
      </c>
      <c r="L21" s="181"/>
      <c r="M21" s="180" t="str">
        <f t="shared" si="2"/>
        <v/>
      </c>
      <c r="N21" s="181"/>
      <c r="O21" s="180" t="e">
        <f t="shared" si="3"/>
        <v>#N/A</v>
      </c>
      <c r="P21" s="181"/>
      <c r="Q21" s="180" t="str">
        <f t="shared" si="4"/>
        <v/>
      </c>
      <c r="R21" s="181"/>
      <c r="S21" s="180" t="str">
        <f t="shared" si="5"/>
        <v/>
      </c>
      <c r="T21" s="479" t="str">
        <f t="shared" si="6"/>
        <v/>
      </c>
      <c r="U21" s="480" t="str">
        <f t="shared" si="7"/>
        <v/>
      </c>
    </row>
    <row r="22" spans="1:21" ht="15.75" x14ac:dyDescent="0.25">
      <c r="A22" s="178" t="s">
        <v>7</v>
      </c>
      <c r="B22" s="679"/>
      <c r="C22" s="105" t="str">
        <f>IF(B22="","",VLOOKUP(B22,'Списки участников'!A:K,3,FALSE))</f>
        <v/>
      </c>
      <c r="D22" s="102" t="str">
        <f>IF(B22="","",VLOOKUP(B22,'Списки участников'!A:K,6,FALSE))</f>
        <v/>
      </c>
      <c r="E22" s="104" t="e">
        <f>MID(C22,1,SEARCH(" ",C22)-1)</f>
        <v>#VALUE!</v>
      </c>
      <c r="F22" s="104" t="e">
        <f>MID(C22,SEARCH(" ",C22)+1,1)</f>
        <v>#VALUE!</v>
      </c>
      <c r="G22" s="104" t="e">
        <f>CONCATENATE(E22," ",F22,".")</f>
        <v>#VALUE!</v>
      </c>
      <c r="H22" s="181"/>
      <c r="I22" s="180" t="str">
        <f t="shared" si="0"/>
        <v/>
      </c>
      <c r="J22" s="181"/>
      <c r="K22" s="180" t="str">
        <f t="shared" si="1"/>
        <v/>
      </c>
      <c r="L22" s="181"/>
      <c r="M22" s="180" t="str">
        <f t="shared" si="2"/>
        <v/>
      </c>
      <c r="N22" s="181"/>
      <c r="O22" s="180" t="e">
        <f t="shared" si="3"/>
        <v>#N/A</v>
      </c>
      <c r="P22" s="181"/>
      <c r="Q22" s="180" t="str">
        <f t="shared" si="4"/>
        <v/>
      </c>
      <c r="R22" s="181"/>
      <c r="S22" s="180" t="str">
        <f t="shared" si="5"/>
        <v/>
      </c>
      <c r="T22" s="479" t="str">
        <f t="shared" si="6"/>
        <v/>
      </c>
      <c r="U22" s="480" t="str">
        <f t="shared" si="7"/>
        <v/>
      </c>
    </row>
    <row r="23" spans="1:21" ht="15.75" x14ac:dyDescent="0.25">
      <c r="A23" s="178" t="s">
        <v>12</v>
      </c>
      <c r="B23" s="679"/>
      <c r="C23" s="105" t="str">
        <f>IF(B23="","",VLOOKUP(B23,'Списки участников'!A:K,3,FALSE))</f>
        <v/>
      </c>
      <c r="D23" s="102" t="str">
        <f>IF(B23="","",VLOOKUP(B23,'Списки участников'!A:K,6,FALSE))</f>
        <v/>
      </c>
      <c r="E23" s="104"/>
      <c r="F23" s="104"/>
      <c r="G23" s="104"/>
      <c r="H23" s="181"/>
      <c r="I23" s="180" t="str">
        <f t="shared" si="0"/>
        <v/>
      </c>
      <c r="J23" s="181"/>
      <c r="K23" s="180" t="str">
        <f t="shared" si="1"/>
        <v/>
      </c>
      <c r="L23" s="181"/>
      <c r="M23" s="180" t="str">
        <f t="shared" si="2"/>
        <v/>
      </c>
      <c r="N23" s="181"/>
      <c r="O23" s="180" t="e">
        <f t="shared" si="3"/>
        <v>#N/A</v>
      </c>
      <c r="P23" s="181"/>
      <c r="Q23" s="180" t="str">
        <f t="shared" si="4"/>
        <v/>
      </c>
      <c r="R23" s="181"/>
      <c r="S23" s="180" t="str">
        <f t="shared" si="5"/>
        <v/>
      </c>
      <c r="T23" s="479" t="str">
        <f t="shared" si="6"/>
        <v/>
      </c>
      <c r="U23" s="480" t="str">
        <f t="shared" si="7"/>
        <v/>
      </c>
    </row>
    <row r="24" spans="1:21" ht="15.75" x14ac:dyDescent="0.25">
      <c r="A24" s="178" t="s">
        <v>29</v>
      </c>
      <c r="B24" s="679"/>
      <c r="C24" s="105" t="str">
        <f>IF(B24="","",VLOOKUP(B24,'Списки участников'!A:K,3,FALSE))</f>
        <v/>
      </c>
      <c r="D24" s="102" t="str">
        <f>IF(B24="","",VLOOKUP(B24,'Списки участников'!A:K,6,FALSE))</f>
        <v/>
      </c>
      <c r="E24" s="104" t="e">
        <f>MID(C24,1,SEARCH(" ",C24)-1)</f>
        <v>#VALUE!</v>
      </c>
      <c r="F24" s="104" t="e">
        <f>MID(C24,SEARCH(" ",C24)+1,1)</f>
        <v>#VALUE!</v>
      </c>
      <c r="G24" s="104" t="e">
        <f>CONCATENATE(E24," ",F24,".")</f>
        <v>#VALUE!</v>
      </c>
      <c r="H24" s="181"/>
      <c r="I24" s="180" t="str">
        <f t="shared" si="0"/>
        <v/>
      </c>
      <c r="J24" s="181"/>
      <c r="K24" s="180" t="str">
        <f t="shared" si="1"/>
        <v/>
      </c>
      <c r="L24" s="181"/>
      <c r="M24" s="180" t="str">
        <f t="shared" si="2"/>
        <v/>
      </c>
      <c r="N24" s="181"/>
      <c r="O24" s="180" t="e">
        <f t="shared" si="3"/>
        <v>#N/A</v>
      </c>
      <c r="P24" s="181"/>
      <c r="Q24" s="180" t="str">
        <f t="shared" si="4"/>
        <v/>
      </c>
      <c r="R24" s="181"/>
      <c r="S24" s="180" t="str">
        <f t="shared" si="5"/>
        <v/>
      </c>
      <c r="T24" s="479" t="str">
        <f t="shared" si="6"/>
        <v/>
      </c>
      <c r="U24" s="480" t="str">
        <f t="shared" si="7"/>
        <v/>
      </c>
    </row>
    <row r="25" spans="1:21" ht="15.75" x14ac:dyDescent="0.25">
      <c r="A25" s="178" t="s">
        <v>8</v>
      </c>
      <c r="B25" s="679"/>
      <c r="C25" s="105" t="str">
        <f>IF(B25="","",VLOOKUP(B25,'Списки участников'!A:K,3,FALSE))</f>
        <v/>
      </c>
      <c r="D25" s="102" t="str">
        <f>IF(B25="","",VLOOKUP(B25,'Списки участников'!A:K,6,FALSE))</f>
        <v/>
      </c>
      <c r="E25" s="104" t="e">
        <f>MID(C25,1,SEARCH(" ",C25)-1)</f>
        <v>#VALUE!</v>
      </c>
      <c r="F25" s="104" t="e">
        <f>MID(C25,SEARCH(" ",C25)+1,1)</f>
        <v>#VALUE!</v>
      </c>
      <c r="G25" s="104" t="e">
        <f>CONCATENATE(E25," ",F25,".")</f>
        <v>#VALUE!</v>
      </c>
      <c r="H25" s="181"/>
      <c r="I25" s="180" t="str">
        <f t="shared" si="0"/>
        <v/>
      </c>
      <c r="J25" s="181"/>
      <c r="K25" s="180" t="str">
        <f t="shared" si="1"/>
        <v/>
      </c>
      <c r="L25" s="181"/>
      <c r="M25" s="180" t="str">
        <f t="shared" si="2"/>
        <v/>
      </c>
      <c r="N25" s="181"/>
      <c r="O25" s="180" t="e">
        <f t="shared" si="3"/>
        <v>#N/A</v>
      </c>
      <c r="P25" s="181"/>
      <c r="Q25" s="180" t="str">
        <f t="shared" si="4"/>
        <v/>
      </c>
      <c r="R25" s="181"/>
      <c r="S25" s="180" t="str">
        <f t="shared" si="5"/>
        <v/>
      </c>
      <c r="T25" s="479" t="str">
        <f t="shared" si="6"/>
        <v/>
      </c>
      <c r="U25" s="480" t="str">
        <f t="shared" si="7"/>
        <v/>
      </c>
    </row>
    <row r="26" spans="1:21" ht="15.75" x14ac:dyDescent="0.25">
      <c r="A26" s="178" t="s">
        <v>14</v>
      </c>
      <c r="B26" s="679"/>
      <c r="C26" s="105" t="str">
        <f>IF(B26="","",VLOOKUP(B26,'Списки участников'!A:K,3,FALSE))</f>
        <v/>
      </c>
      <c r="D26" s="102" t="str">
        <f>IF(B26="","",VLOOKUP(B26,'Списки участников'!A:K,6,FALSE))</f>
        <v/>
      </c>
      <c r="E26" s="104" t="e">
        <f>MID(C26,1,SEARCH(" ",C26)-1)</f>
        <v>#VALUE!</v>
      </c>
      <c r="F26" s="104" t="e">
        <f>MID(C26,SEARCH(" ",C26)+1,1)</f>
        <v>#VALUE!</v>
      </c>
      <c r="G26" s="104" t="e">
        <f>CONCATENATE(E26," ",F26,".")</f>
        <v>#VALUE!</v>
      </c>
      <c r="H26" s="181"/>
      <c r="I26" s="180" t="str">
        <f t="shared" si="0"/>
        <v/>
      </c>
      <c r="J26" s="181"/>
      <c r="K26" s="180" t="str">
        <f t="shared" si="1"/>
        <v/>
      </c>
      <c r="L26" s="181"/>
      <c r="M26" s="180" t="str">
        <f t="shared" si="2"/>
        <v/>
      </c>
      <c r="N26" s="181"/>
      <c r="O26" s="180" t="e">
        <f t="shared" si="3"/>
        <v>#N/A</v>
      </c>
      <c r="P26" s="181"/>
      <c r="Q26" s="180" t="str">
        <f t="shared" si="4"/>
        <v/>
      </c>
      <c r="R26" s="181"/>
      <c r="S26" s="180" t="str">
        <f t="shared" si="5"/>
        <v/>
      </c>
      <c r="T26" s="479" t="str">
        <f t="shared" si="6"/>
        <v/>
      </c>
      <c r="U26" s="480" t="str">
        <f t="shared" si="7"/>
        <v/>
      </c>
    </row>
    <row r="27" spans="1:21" ht="15.75" x14ac:dyDescent="0.25">
      <c r="A27" s="178" t="s">
        <v>43</v>
      </c>
      <c r="B27" s="679"/>
      <c r="C27" s="105" t="str">
        <f>IF(B27="","",VLOOKUP(B27,'Списки участников'!A:K,3,FALSE))</f>
        <v/>
      </c>
      <c r="D27" s="102" t="str">
        <f>IF(B27="","",VLOOKUP(B27,'Списки участников'!A:K,6,FALSE))</f>
        <v/>
      </c>
      <c r="E27" s="104"/>
      <c r="F27" s="104"/>
      <c r="G27" s="104"/>
      <c r="H27" s="181"/>
      <c r="I27" s="180" t="str">
        <f t="shared" si="0"/>
        <v/>
      </c>
      <c r="J27" s="181"/>
      <c r="K27" s="180" t="str">
        <f t="shared" si="1"/>
        <v/>
      </c>
      <c r="L27" s="181"/>
      <c r="M27" s="180" t="str">
        <f t="shared" si="2"/>
        <v/>
      </c>
      <c r="N27" s="181"/>
      <c r="O27" s="180" t="e">
        <f t="shared" si="3"/>
        <v>#N/A</v>
      </c>
      <c r="P27" s="181"/>
      <c r="Q27" s="180" t="str">
        <f t="shared" si="4"/>
        <v/>
      </c>
      <c r="R27" s="181"/>
      <c r="S27" s="180" t="str">
        <f t="shared" si="5"/>
        <v/>
      </c>
      <c r="T27" s="479" t="str">
        <f t="shared" si="6"/>
        <v/>
      </c>
      <c r="U27" s="480" t="str">
        <f t="shared" si="7"/>
        <v/>
      </c>
    </row>
    <row r="28" spans="1:21" ht="15.75" x14ac:dyDescent="0.25">
      <c r="A28" s="178" t="s">
        <v>19</v>
      </c>
      <c r="B28" s="679"/>
      <c r="C28" s="105" t="str">
        <f>IF(B28="","",VLOOKUP(B28,'Списки участников'!A:K,3,FALSE))</f>
        <v/>
      </c>
      <c r="D28" s="102" t="str">
        <f>IF(B28="","",VLOOKUP(B28,'Списки участников'!A:K,6,FALSE))</f>
        <v/>
      </c>
      <c r="E28" s="104"/>
      <c r="F28" s="104"/>
      <c r="G28" s="104"/>
      <c r="H28" s="181"/>
      <c r="I28" s="180" t="str">
        <f t="shared" si="0"/>
        <v/>
      </c>
      <c r="J28" s="181"/>
      <c r="K28" s="180" t="str">
        <f t="shared" si="1"/>
        <v/>
      </c>
      <c r="L28" s="181"/>
      <c r="M28" s="180" t="str">
        <f t="shared" si="2"/>
        <v/>
      </c>
      <c r="N28" s="181"/>
      <c r="O28" s="180" t="e">
        <f t="shared" si="3"/>
        <v>#N/A</v>
      </c>
      <c r="P28" s="181"/>
      <c r="Q28" s="180" t="str">
        <f t="shared" si="4"/>
        <v/>
      </c>
      <c r="R28" s="181"/>
      <c r="S28" s="180" t="str">
        <f t="shared" si="5"/>
        <v/>
      </c>
      <c r="T28" s="479" t="str">
        <f t="shared" si="6"/>
        <v/>
      </c>
      <c r="U28" s="480" t="str">
        <f t="shared" si="7"/>
        <v/>
      </c>
    </row>
    <row r="29" spans="1:21" ht="15.75" x14ac:dyDescent="0.25">
      <c r="A29" s="178" t="s">
        <v>36</v>
      </c>
      <c r="B29" s="679"/>
      <c r="C29" s="105" t="str">
        <f>IF(B29="","",VLOOKUP(B29,'Списки участников'!A:K,3,FALSE))</f>
        <v/>
      </c>
      <c r="D29" s="102" t="str">
        <f>IF(B29="","",VLOOKUP(B29,'Списки участников'!A:K,6,FALSE))</f>
        <v/>
      </c>
      <c r="E29" s="104"/>
      <c r="F29" s="104"/>
      <c r="G29" s="104"/>
      <c r="H29" s="181"/>
      <c r="I29" s="180" t="str">
        <f t="shared" si="0"/>
        <v/>
      </c>
      <c r="J29" s="181"/>
      <c r="K29" s="180" t="str">
        <f t="shared" si="1"/>
        <v/>
      </c>
      <c r="L29" s="181"/>
      <c r="M29" s="180" t="str">
        <f t="shared" si="2"/>
        <v/>
      </c>
      <c r="N29" s="181"/>
      <c r="O29" s="180" t="e">
        <f t="shared" si="3"/>
        <v>#N/A</v>
      </c>
      <c r="P29" s="181"/>
      <c r="Q29" s="180" t="str">
        <f t="shared" si="4"/>
        <v/>
      </c>
      <c r="R29" s="181"/>
      <c r="S29" s="180" t="str">
        <f t="shared" si="5"/>
        <v/>
      </c>
      <c r="T29" s="479" t="str">
        <f t="shared" si="6"/>
        <v/>
      </c>
      <c r="U29" s="480" t="str">
        <f t="shared" si="7"/>
        <v/>
      </c>
    </row>
    <row r="30" spans="1:21" ht="15.75" x14ac:dyDescent="0.25">
      <c r="A30" s="178" t="s">
        <v>27</v>
      </c>
      <c r="B30" s="679"/>
      <c r="C30" s="105" t="str">
        <f>IF(B30="","",VLOOKUP(B30,'Списки участников'!A:K,3,FALSE))</f>
        <v/>
      </c>
      <c r="D30" s="102" t="str">
        <f>IF(B30="","",VLOOKUP(B30,'Списки участников'!A:K,6,FALSE))</f>
        <v/>
      </c>
      <c r="E30" s="104" t="e">
        <f>MID(C30,1,SEARCH(" ",C30)-1)</f>
        <v>#VALUE!</v>
      </c>
      <c r="F30" s="104" t="e">
        <f>MID(C30,SEARCH(" ",C30)+1,1)</f>
        <v>#VALUE!</v>
      </c>
      <c r="G30" s="104" t="e">
        <f>CONCATENATE(E30," ",F30,".")</f>
        <v>#VALUE!</v>
      </c>
      <c r="H30" s="181"/>
      <c r="I30" s="180" t="str">
        <f t="shared" si="0"/>
        <v/>
      </c>
      <c r="J30" s="181"/>
      <c r="K30" s="180" t="str">
        <f t="shared" si="1"/>
        <v/>
      </c>
      <c r="L30" s="181"/>
      <c r="M30" s="180" t="str">
        <f t="shared" si="2"/>
        <v/>
      </c>
      <c r="N30" s="181"/>
      <c r="O30" s="180" t="e">
        <f t="shared" si="3"/>
        <v>#N/A</v>
      </c>
      <c r="P30" s="181"/>
      <c r="Q30" s="180" t="str">
        <f t="shared" si="4"/>
        <v/>
      </c>
      <c r="R30" s="181"/>
      <c r="S30" s="180" t="str">
        <f t="shared" si="5"/>
        <v/>
      </c>
      <c r="T30" s="479" t="str">
        <f t="shared" si="6"/>
        <v/>
      </c>
      <c r="U30" s="480" t="str">
        <f t="shared" si="7"/>
        <v/>
      </c>
    </row>
    <row r="31" spans="1:21" ht="15.75" x14ac:dyDescent="0.25">
      <c r="A31" s="178" t="s">
        <v>40</v>
      </c>
      <c r="B31" s="679"/>
      <c r="C31" s="105" t="str">
        <f>IF(B31="","",VLOOKUP(B31,'Списки участников'!A:K,3,FALSE))</f>
        <v/>
      </c>
      <c r="D31" s="102" t="str">
        <f>IF(B31="","",VLOOKUP(B31,'Списки участников'!A:K,6,FALSE))</f>
        <v/>
      </c>
      <c r="E31" s="104"/>
      <c r="F31" s="104"/>
      <c r="G31" s="104"/>
      <c r="H31" s="181"/>
      <c r="I31" s="180" t="str">
        <f t="shared" si="0"/>
        <v/>
      </c>
      <c r="J31" s="181"/>
      <c r="K31" s="180" t="str">
        <f t="shared" si="1"/>
        <v/>
      </c>
      <c r="L31" s="181"/>
      <c r="M31" s="180" t="str">
        <f t="shared" si="2"/>
        <v/>
      </c>
      <c r="N31" s="181"/>
      <c r="O31" s="180" t="e">
        <f t="shared" si="3"/>
        <v>#N/A</v>
      </c>
      <c r="P31" s="181"/>
      <c r="Q31" s="180" t="str">
        <f t="shared" si="4"/>
        <v/>
      </c>
      <c r="R31" s="181"/>
      <c r="S31" s="180" t="str">
        <f t="shared" si="5"/>
        <v/>
      </c>
      <c r="T31" s="479" t="str">
        <f t="shared" si="6"/>
        <v/>
      </c>
      <c r="U31" s="480" t="str">
        <f t="shared" si="7"/>
        <v/>
      </c>
    </row>
    <row r="32" spans="1:21" ht="15.75" x14ac:dyDescent="0.25">
      <c r="A32" s="178" t="s">
        <v>9</v>
      </c>
      <c r="B32" s="679"/>
      <c r="C32" s="105" t="str">
        <f>IF(B32="","",VLOOKUP(B32,'Списки участников'!A:K,3,FALSE))</f>
        <v/>
      </c>
      <c r="D32" s="102" t="str">
        <f>IF(B32="","",VLOOKUP(B32,'Списки участников'!A:K,6,FALSE))</f>
        <v/>
      </c>
      <c r="E32" s="866"/>
      <c r="F32" s="866"/>
      <c r="G32" s="866"/>
      <c r="H32" s="181"/>
      <c r="I32" s="180" t="str">
        <f t="shared" si="0"/>
        <v/>
      </c>
      <c r="J32" s="181"/>
      <c r="K32" s="180" t="str">
        <f t="shared" si="1"/>
        <v/>
      </c>
      <c r="L32" s="181"/>
      <c r="M32" s="180" t="str">
        <f t="shared" si="2"/>
        <v/>
      </c>
      <c r="N32" s="181"/>
      <c r="O32" s="180"/>
      <c r="P32" s="181"/>
      <c r="Q32" s="180" t="str">
        <f t="shared" si="4"/>
        <v/>
      </c>
      <c r="R32" s="181"/>
      <c r="S32" s="180" t="str">
        <f t="shared" si="5"/>
        <v/>
      </c>
      <c r="T32" s="479" t="str">
        <f t="shared" si="6"/>
        <v/>
      </c>
      <c r="U32" s="480" t="str">
        <f t="shared" si="7"/>
        <v/>
      </c>
    </row>
    <row r="33" spans="1:21" ht="15.75" x14ac:dyDescent="0.25">
      <c r="A33" s="178" t="s">
        <v>18</v>
      </c>
      <c r="B33" s="679"/>
      <c r="C33" s="105" t="str">
        <f>IF(B33="","",VLOOKUP(B33,'Списки участников'!A:K,3,FALSE))</f>
        <v/>
      </c>
      <c r="D33" s="102" t="str">
        <f>IF(B33="","",VLOOKUP(B33,'Списки участников'!A:K,6,FALSE))</f>
        <v/>
      </c>
      <c r="E33" s="104" t="e">
        <f>MID(C33,1,SEARCH(" ",C33)-1)</f>
        <v>#VALUE!</v>
      </c>
      <c r="F33" s="104" t="e">
        <f>MID(C33,SEARCH(" ",C33)+1,1)</f>
        <v>#VALUE!</v>
      </c>
      <c r="G33" s="104" t="e">
        <f>CONCATENATE(E33," ",F33,".")</f>
        <v>#VALUE!</v>
      </c>
      <c r="H33" s="181"/>
      <c r="I33" s="180" t="str">
        <f t="shared" si="0"/>
        <v/>
      </c>
      <c r="J33" s="181"/>
      <c r="K33" s="180" t="str">
        <f t="shared" si="1"/>
        <v/>
      </c>
      <c r="L33" s="181"/>
      <c r="M33" s="180" t="str">
        <f t="shared" si="2"/>
        <v/>
      </c>
      <c r="N33" s="181"/>
      <c r="O33" s="180" t="e">
        <f>IF(C33=0,"",RANK(N33,ОТЖИМ,))</f>
        <v>#N/A</v>
      </c>
      <c r="P33" s="181"/>
      <c r="Q33" s="180" t="str">
        <f t="shared" si="4"/>
        <v/>
      </c>
      <c r="R33" s="181"/>
      <c r="S33" s="180" t="str">
        <f t="shared" si="5"/>
        <v/>
      </c>
      <c r="T33" s="479" t="str">
        <f t="shared" si="6"/>
        <v/>
      </c>
      <c r="U33" s="480" t="str">
        <f t="shared" si="7"/>
        <v/>
      </c>
    </row>
    <row r="34" spans="1:21" ht="15.75" x14ac:dyDescent="0.25">
      <c r="A34" s="178" t="s">
        <v>33</v>
      </c>
      <c r="B34" s="679"/>
      <c r="C34" s="105" t="str">
        <f>IF(B34="","",VLOOKUP(B34,'Списки участников'!A:K,3,FALSE))</f>
        <v/>
      </c>
      <c r="D34" s="102" t="str">
        <f>IF(B34="","",VLOOKUP(B34,'Списки участников'!A:K,6,FALSE))</f>
        <v/>
      </c>
      <c r="E34" s="104" t="e">
        <f>MID(C34,1,SEARCH(" ",C34)-1)</f>
        <v>#VALUE!</v>
      </c>
      <c r="F34" s="104" t="e">
        <f>MID(C34,SEARCH(" ",C34)+1,1)</f>
        <v>#VALUE!</v>
      </c>
      <c r="G34" s="104" t="e">
        <f>CONCATENATE(E34," ",F34,".")</f>
        <v>#VALUE!</v>
      </c>
      <c r="H34" s="181"/>
      <c r="I34" s="180" t="str">
        <f t="shared" si="0"/>
        <v/>
      </c>
      <c r="J34" s="181"/>
      <c r="K34" s="180" t="str">
        <f t="shared" si="1"/>
        <v/>
      </c>
      <c r="L34" s="181"/>
      <c r="M34" s="180" t="str">
        <f t="shared" si="2"/>
        <v/>
      </c>
      <c r="N34" s="181"/>
      <c r="O34" s="180" t="e">
        <f>IF(C34=0,"",RANK(N34,ОТЖИМ,))</f>
        <v>#N/A</v>
      </c>
      <c r="P34" s="181"/>
      <c r="Q34" s="180" t="str">
        <f t="shared" si="4"/>
        <v/>
      </c>
      <c r="R34" s="181"/>
      <c r="S34" s="180" t="str">
        <f t="shared" si="5"/>
        <v/>
      </c>
      <c r="T34" s="479" t="str">
        <f t="shared" si="6"/>
        <v/>
      </c>
      <c r="U34" s="480" t="str">
        <f t="shared" si="7"/>
        <v/>
      </c>
    </row>
    <row r="35" spans="1:21" ht="15.75" x14ac:dyDescent="0.25">
      <c r="A35" s="178" t="s">
        <v>39</v>
      </c>
      <c r="B35" s="679"/>
      <c r="C35" s="105" t="str">
        <f>IF(B35="","",VLOOKUP(B35,'Списки участников'!A:K,3,FALSE))</f>
        <v/>
      </c>
      <c r="D35" s="102" t="str">
        <f>IF(B35="","",VLOOKUP(B35,'Списки участников'!A:K,6,FALSE))</f>
        <v/>
      </c>
      <c r="E35" s="104" t="e">
        <f>MID(C35,1,SEARCH(" ",C35)-1)</f>
        <v>#VALUE!</v>
      </c>
      <c r="F35" s="104" t="e">
        <f>MID(C35,SEARCH(" ",C35)+1,1)</f>
        <v>#VALUE!</v>
      </c>
      <c r="G35" s="104" t="e">
        <f>CONCATENATE(E35," ",F35,".")</f>
        <v>#VALUE!</v>
      </c>
      <c r="H35" s="181"/>
      <c r="I35" s="180" t="str">
        <f t="shared" si="0"/>
        <v/>
      </c>
      <c r="J35" s="181"/>
      <c r="K35" s="180" t="str">
        <f t="shared" si="1"/>
        <v/>
      </c>
      <c r="L35" s="181"/>
      <c r="M35" s="180" t="str">
        <f t="shared" si="2"/>
        <v/>
      </c>
      <c r="N35" s="181"/>
      <c r="O35" s="180" t="e">
        <f>IF(C35=0,"",RANK(N35,ОТЖИМ,))</f>
        <v>#N/A</v>
      </c>
      <c r="P35" s="181"/>
      <c r="Q35" s="180" t="str">
        <f t="shared" si="4"/>
        <v/>
      </c>
      <c r="R35" s="181"/>
      <c r="S35" s="180" t="str">
        <f t="shared" si="5"/>
        <v/>
      </c>
      <c r="T35" s="479" t="str">
        <f t="shared" si="6"/>
        <v/>
      </c>
      <c r="U35" s="480" t="str">
        <f t="shared" si="7"/>
        <v/>
      </c>
    </row>
    <row r="36" spans="1:21" ht="15.75" x14ac:dyDescent="0.25">
      <c r="A36" s="178" t="s">
        <v>26</v>
      </c>
      <c r="B36" s="679"/>
      <c r="C36" s="105" t="str">
        <f>IF(B36="","",VLOOKUP(B36,'Списки участников'!A:K,3,FALSE))</f>
        <v/>
      </c>
      <c r="D36" s="102" t="str">
        <f>IF(B36="","",VLOOKUP(B36,'Списки участников'!A:K,6,FALSE))</f>
        <v/>
      </c>
      <c r="E36" s="104" t="e">
        <f>MID(C36,1,SEARCH(" ",C36)-1)</f>
        <v>#VALUE!</v>
      </c>
      <c r="F36" s="104" t="e">
        <f>MID(C36,SEARCH(" ",C36)+1,1)</f>
        <v>#VALUE!</v>
      </c>
      <c r="G36" s="104" t="e">
        <f>CONCATENATE(E36," ",F36,".")</f>
        <v>#VALUE!</v>
      </c>
      <c r="H36" s="181"/>
      <c r="I36" s="180" t="str">
        <f t="shared" si="0"/>
        <v/>
      </c>
      <c r="J36" s="181"/>
      <c r="K36" s="180" t="str">
        <f t="shared" si="1"/>
        <v/>
      </c>
      <c r="L36" s="181"/>
      <c r="M36" s="180" t="str">
        <f t="shared" si="2"/>
        <v/>
      </c>
      <c r="N36" s="181"/>
      <c r="O36" s="180" t="e">
        <f>IF(C36=0,"",RANK(N36,ОТЖИМ,))</f>
        <v>#N/A</v>
      </c>
      <c r="P36" s="181"/>
      <c r="Q36" s="180" t="str">
        <f t="shared" si="4"/>
        <v/>
      </c>
      <c r="R36" s="181"/>
      <c r="S36" s="180" t="str">
        <f t="shared" si="5"/>
        <v/>
      </c>
      <c r="T36" s="479" t="str">
        <f t="shared" si="6"/>
        <v/>
      </c>
      <c r="U36" s="480" t="str">
        <f t="shared" si="7"/>
        <v/>
      </c>
    </row>
    <row r="37" spans="1:21" ht="15.75" x14ac:dyDescent="0.25">
      <c r="A37" s="178" t="s">
        <v>13</v>
      </c>
      <c r="B37" s="679"/>
      <c r="C37" s="105" t="str">
        <f>IF(B37="","",VLOOKUP(B37,'Списки участников'!A:K,3,FALSE))</f>
        <v/>
      </c>
      <c r="D37" s="102" t="str">
        <f>IF(B37="","",VLOOKUP(B37,'Списки участников'!A:K,6,FALSE))</f>
        <v/>
      </c>
      <c r="E37" s="104" t="e">
        <f>MID(C37,1,SEARCH(" ",C37)-1)</f>
        <v>#VALUE!</v>
      </c>
      <c r="F37" s="104" t="e">
        <f>MID(C37,SEARCH(" ",C37)+1,1)</f>
        <v>#VALUE!</v>
      </c>
      <c r="G37" s="104" t="e">
        <f>CONCATENATE(E37," ",F37,".")</f>
        <v>#VALUE!</v>
      </c>
      <c r="H37" s="181"/>
      <c r="I37" s="180" t="str">
        <f t="shared" si="0"/>
        <v/>
      </c>
      <c r="J37" s="181"/>
      <c r="K37" s="180" t="str">
        <f t="shared" si="1"/>
        <v/>
      </c>
      <c r="L37" s="181"/>
      <c r="M37" s="180" t="str">
        <f t="shared" si="2"/>
        <v/>
      </c>
      <c r="N37" s="181"/>
      <c r="O37" s="180" t="e">
        <f>IF(C37=0,"",RANK(N37,ОТЖИМ,))</f>
        <v>#N/A</v>
      </c>
      <c r="P37" s="181"/>
      <c r="Q37" s="180" t="str">
        <f t="shared" si="4"/>
        <v/>
      </c>
      <c r="R37" s="181"/>
      <c r="S37" s="180" t="str">
        <f t="shared" si="5"/>
        <v/>
      </c>
      <c r="T37" s="479" t="str">
        <f t="shared" si="6"/>
        <v/>
      </c>
      <c r="U37" s="480" t="str">
        <f t="shared" si="7"/>
        <v/>
      </c>
    </row>
    <row r="38" spans="1:21" ht="15.75" x14ac:dyDescent="0.25">
      <c r="A38" s="178" t="s">
        <v>32</v>
      </c>
      <c r="B38" s="679"/>
      <c r="C38" s="105" t="str">
        <f>IF(B38="","",VLOOKUP(B38,'Списки участников'!A:K,3,FALSE))</f>
        <v/>
      </c>
      <c r="D38" s="102" t="str">
        <f>IF(B38="","",VLOOKUP(B38,'Списки участников'!A:K,6,FALSE))</f>
        <v/>
      </c>
      <c r="E38" s="866"/>
      <c r="F38" s="866"/>
      <c r="G38" s="866"/>
      <c r="H38" s="181"/>
      <c r="I38" s="180" t="str">
        <f t="shared" si="0"/>
        <v/>
      </c>
      <c r="J38" s="181"/>
      <c r="K38" s="180" t="str">
        <f t="shared" si="1"/>
        <v/>
      </c>
      <c r="L38" s="181"/>
      <c r="M38" s="180" t="str">
        <f t="shared" si="2"/>
        <v/>
      </c>
      <c r="N38" s="181"/>
      <c r="O38" s="180"/>
      <c r="P38" s="181"/>
      <c r="Q38" s="180" t="str">
        <f t="shared" si="4"/>
        <v/>
      </c>
      <c r="R38" s="181"/>
      <c r="S38" s="180" t="str">
        <f t="shared" si="5"/>
        <v/>
      </c>
      <c r="T38" s="479" t="str">
        <f t="shared" si="6"/>
        <v/>
      </c>
      <c r="U38" s="480" t="str">
        <f t="shared" si="7"/>
        <v/>
      </c>
    </row>
    <row r="39" spans="1:21" ht="15.75" x14ac:dyDescent="0.25">
      <c r="A39" s="178" t="s">
        <v>31</v>
      </c>
      <c r="B39" s="679"/>
      <c r="C39" s="105" t="str">
        <f>IF(B39="","",VLOOKUP(B39,'Списки участников'!A:K,3,FALSE))</f>
        <v/>
      </c>
      <c r="D39" s="102" t="str">
        <f>IF(B39="","",VLOOKUP(B39,'Списки участников'!A:K,6,FALSE))</f>
        <v/>
      </c>
      <c r="E39" s="104" t="e">
        <f>MID(C39,1,SEARCH(" ",C39)-1)</f>
        <v>#VALUE!</v>
      </c>
      <c r="F39" s="104" t="e">
        <f>MID(C39,SEARCH(" ",C39)+1,1)</f>
        <v>#VALUE!</v>
      </c>
      <c r="G39" s="104" t="e">
        <f>CONCATENATE(E39," ",F39,".")</f>
        <v>#VALUE!</v>
      </c>
      <c r="H39" s="181"/>
      <c r="I39" s="180" t="str">
        <f t="shared" si="0"/>
        <v/>
      </c>
      <c r="J39" s="181"/>
      <c r="K39" s="180" t="str">
        <f t="shared" si="1"/>
        <v/>
      </c>
      <c r="L39" s="181"/>
      <c r="M39" s="180" t="str">
        <f t="shared" si="2"/>
        <v/>
      </c>
      <c r="N39" s="181"/>
      <c r="O39" s="180" t="e">
        <f>IF(C39=0,"",RANK(N39,ОТЖИМ,))</f>
        <v>#N/A</v>
      </c>
      <c r="P39" s="181"/>
      <c r="Q39" s="180" t="str">
        <f t="shared" si="4"/>
        <v/>
      </c>
      <c r="R39" s="181"/>
      <c r="S39" s="180" t="str">
        <f t="shared" si="5"/>
        <v/>
      </c>
      <c r="T39" s="479" t="str">
        <f t="shared" si="6"/>
        <v/>
      </c>
      <c r="U39" s="480" t="str">
        <f t="shared" si="7"/>
        <v/>
      </c>
    </row>
    <row r="40" spans="1:21" ht="15.75" x14ac:dyDescent="0.25">
      <c r="A40" s="178" t="s">
        <v>34</v>
      </c>
      <c r="B40" s="679"/>
      <c r="C40" s="105" t="str">
        <f>IF(B40="","",VLOOKUP(B40,'Списки участников'!A:K,3,FALSE))</f>
        <v/>
      </c>
      <c r="D40" s="102" t="str">
        <f>IF(B40="","",VLOOKUP(B40,'Списки участников'!A:K,6,FALSE))</f>
        <v/>
      </c>
      <c r="E40" s="104" t="e">
        <f>MID(C40,1,SEARCH(" ",C40)-1)</f>
        <v>#VALUE!</v>
      </c>
      <c r="F40" s="104" t="e">
        <f>MID(C40,SEARCH(" ",C40)+1,1)</f>
        <v>#VALUE!</v>
      </c>
      <c r="G40" s="104" t="e">
        <f>CONCATENATE(E40," ",F40,".")</f>
        <v>#VALUE!</v>
      </c>
      <c r="H40" s="181"/>
      <c r="I40" s="180" t="str">
        <f t="shared" si="0"/>
        <v/>
      </c>
      <c r="J40" s="181"/>
      <c r="K40" s="180" t="str">
        <f t="shared" si="1"/>
        <v/>
      </c>
      <c r="L40" s="181"/>
      <c r="M40" s="180" t="str">
        <f t="shared" si="2"/>
        <v/>
      </c>
      <c r="N40" s="181"/>
      <c r="O40" s="180" t="e">
        <f>IF(C40=0,"",RANK(N40,ОТЖИМ,))</f>
        <v>#N/A</v>
      </c>
      <c r="P40" s="181"/>
      <c r="Q40" s="180" t="str">
        <f t="shared" si="4"/>
        <v/>
      </c>
      <c r="R40" s="181"/>
      <c r="S40" s="180" t="str">
        <f t="shared" si="5"/>
        <v/>
      </c>
      <c r="T40" s="479" t="str">
        <f t="shared" si="6"/>
        <v/>
      </c>
      <c r="U40" s="480" t="str">
        <f t="shared" si="7"/>
        <v/>
      </c>
    </row>
    <row r="41" spans="1:21" ht="15.75" x14ac:dyDescent="0.25">
      <c r="A41" s="178" t="s">
        <v>24</v>
      </c>
      <c r="B41" s="679"/>
      <c r="C41" s="105" t="str">
        <f>IF(B41="","",VLOOKUP(B41,'Списки участников'!A:K,3,FALSE))</f>
        <v/>
      </c>
      <c r="D41" s="102" t="str">
        <f>IF(B41="","",VLOOKUP(B41,'Списки участников'!A:K,6,FALSE))</f>
        <v/>
      </c>
      <c r="E41" s="104" t="e">
        <f>MID(C41,1,SEARCH(" ",C41)-1)</f>
        <v>#VALUE!</v>
      </c>
      <c r="F41" s="104" t="e">
        <f>MID(C41,SEARCH(" ",C41)+1,1)</f>
        <v>#VALUE!</v>
      </c>
      <c r="G41" s="104" t="e">
        <f>CONCATENATE(E41," ",F41,".")</f>
        <v>#VALUE!</v>
      </c>
      <c r="H41" s="181"/>
      <c r="I41" s="180" t="str">
        <f t="shared" ref="I41:I72" si="11">IF(B41="","",RANK(H41,БЕГ,1))</f>
        <v/>
      </c>
      <c r="J41" s="181"/>
      <c r="K41" s="180" t="str">
        <f t="shared" ref="K41:K72" si="12">IF(B41="","",RANK(J41,ДЛИНА,))</f>
        <v/>
      </c>
      <c r="L41" s="181"/>
      <c r="M41" s="180" t="str">
        <f t="shared" ref="M41:M72" si="13">IF(B41="","",RANK(L41,СКАК,))</f>
        <v/>
      </c>
      <c r="N41" s="181"/>
      <c r="O41" s="180" t="e">
        <f>IF(C41=0,"",RANK(N41,ОТЖИМ,))</f>
        <v>#N/A</v>
      </c>
      <c r="P41" s="181"/>
      <c r="Q41" s="180" t="str">
        <f t="shared" ref="Q41:Q72" si="14">IF(B41="","",RANK(P41,ПРЕСС,))</f>
        <v/>
      </c>
      <c r="R41" s="181"/>
      <c r="S41" s="180" t="str">
        <f t="shared" ref="S41:S72" si="15">IF(B41="","",RANK(R41,КВАДР,))</f>
        <v/>
      </c>
      <c r="T41" s="479" t="str">
        <f t="shared" ref="T41:T72" si="16">IF(B41="","",I41+K41+M41+Q41+S41)</f>
        <v/>
      </c>
      <c r="U41" s="480" t="str">
        <f t="shared" ref="U41:U72" si="17">IF(B41="","",RANK(T41,Сумма_мест,1))</f>
        <v/>
      </c>
    </row>
    <row r="42" spans="1:21" ht="15.75" x14ac:dyDescent="0.25">
      <c r="A42" s="178" t="s">
        <v>20</v>
      </c>
      <c r="B42" s="679"/>
      <c r="C42" s="105" t="str">
        <f>IF(B42="","",VLOOKUP(B42,'Списки участников'!A:K,3,FALSE))</f>
        <v/>
      </c>
      <c r="D42" s="102" t="str">
        <f>IF(B42="","",VLOOKUP(B42,'Списки участников'!A:K,6,FALSE))</f>
        <v/>
      </c>
      <c r="E42" s="866"/>
      <c r="F42" s="866"/>
      <c r="G42" s="866"/>
      <c r="H42" s="181"/>
      <c r="I42" s="180" t="str">
        <f t="shared" si="11"/>
        <v/>
      </c>
      <c r="J42" s="181"/>
      <c r="K42" s="180" t="str">
        <f t="shared" si="12"/>
        <v/>
      </c>
      <c r="L42" s="181"/>
      <c r="M42" s="180" t="str">
        <f t="shared" si="13"/>
        <v/>
      </c>
      <c r="N42" s="181"/>
      <c r="O42" s="180"/>
      <c r="P42" s="181"/>
      <c r="Q42" s="180" t="str">
        <f t="shared" si="14"/>
        <v/>
      </c>
      <c r="R42" s="181"/>
      <c r="S42" s="180" t="str">
        <f t="shared" si="15"/>
        <v/>
      </c>
      <c r="T42" s="479" t="str">
        <f t="shared" si="16"/>
        <v/>
      </c>
      <c r="U42" s="480" t="str">
        <f t="shared" si="17"/>
        <v/>
      </c>
    </row>
    <row r="43" spans="1:21" ht="15.75" x14ac:dyDescent="0.25">
      <c r="A43" s="178" t="s">
        <v>16</v>
      </c>
      <c r="B43" s="679"/>
      <c r="C43" s="105" t="str">
        <f>IF(B43="","",VLOOKUP(B43,'Списки участников'!A:K,3,FALSE))</f>
        <v/>
      </c>
      <c r="D43" s="102" t="str">
        <f>IF(B43="","",VLOOKUP(B43,'Списки участников'!A:K,6,FALSE))</f>
        <v/>
      </c>
      <c r="E43" s="104"/>
      <c r="F43" s="104"/>
      <c r="G43" s="104"/>
      <c r="H43" s="181"/>
      <c r="I43" s="180" t="str">
        <f t="shared" si="11"/>
        <v/>
      </c>
      <c r="J43" s="181"/>
      <c r="K43" s="180" t="str">
        <f t="shared" si="12"/>
        <v/>
      </c>
      <c r="L43" s="181"/>
      <c r="M43" s="180" t="str">
        <f t="shared" si="13"/>
        <v/>
      </c>
      <c r="N43" s="181"/>
      <c r="O43" s="180" t="e">
        <f t="shared" ref="O43:O54" si="18">IF(C43=0,"",RANK(N43,ОТЖИМ,))</f>
        <v>#N/A</v>
      </c>
      <c r="P43" s="181"/>
      <c r="Q43" s="180" t="str">
        <f t="shared" si="14"/>
        <v/>
      </c>
      <c r="R43" s="181"/>
      <c r="S43" s="180" t="str">
        <f t="shared" si="15"/>
        <v/>
      </c>
      <c r="T43" s="479" t="str">
        <f t="shared" si="16"/>
        <v/>
      </c>
      <c r="U43" s="480" t="str">
        <f t="shared" si="17"/>
        <v/>
      </c>
    </row>
    <row r="44" spans="1:21" ht="15.75" x14ac:dyDescent="0.25">
      <c r="A44" s="178" t="s">
        <v>11</v>
      </c>
      <c r="B44" s="679"/>
      <c r="C44" s="105" t="str">
        <f>IF(B44="","",VLOOKUP(B44,'Списки участников'!A:K,3,FALSE))</f>
        <v/>
      </c>
      <c r="D44" s="102" t="str">
        <f>IF(B44="","",VLOOKUP(B44,'Списки участников'!A:K,6,FALSE))</f>
        <v/>
      </c>
      <c r="E44" s="104" t="e">
        <f>MID(C44,1,SEARCH(" ",C44)-1)</f>
        <v>#VALUE!</v>
      </c>
      <c r="F44" s="104" t="e">
        <f>MID(C44,SEARCH(" ",C44)+1,1)</f>
        <v>#VALUE!</v>
      </c>
      <c r="G44" s="104" t="e">
        <f>CONCATENATE(E44," ",F44,".")</f>
        <v>#VALUE!</v>
      </c>
      <c r="H44" s="181"/>
      <c r="I44" s="180" t="str">
        <f t="shared" si="11"/>
        <v/>
      </c>
      <c r="J44" s="181"/>
      <c r="K44" s="180" t="str">
        <f t="shared" si="12"/>
        <v/>
      </c>
      <c r="L44" s="181"/>
      <c r="M44" s="180" t="str">
        <f t="shared" si="13"/>
        <v/>
      </c>
      <c r="N44" s="181"/>
      <c r="O44" s="180" t="e">
        <f t="shared" si="18"/>
        <v>#N/A</v>
      </c>
      <c r="P44" s="181"/>
      <c r="Q44" s="180" t="str">
        <f t="shared" si="14"/>
        <v/>
      </c>
      <c r="R44" s="181"/>
      <c r="S44" s="180" t="str">
        <f t="shared" si="15"/>
        <v/>
      </c>
      <c r="T44" s="479" t="str">
        <f t="shared" si="16"/>
        <v/>
      </c>
      <c r="U44" s="480" t="str">
        <f t="shared" si="17"/>
        <v/>
      </c>
    </row>
    <row r="45" spans="1:21" ht="15.75" x14ac:dyDescent="0.25">
      <c r="A45" s="178" t="s">
        <v>21</v>
      </c>
      <c r="B45" s="679"/>
      <c r="C45" s="105" t="str">
        <f>IF(B45="","",VLOOKUP(B45,'Списки участников'!A:K,3,FALSE))</f>
        <v/>
      </c>
      <c r="D45" s="102" t="str">
        <f>IF(B45="","",VLOOKUP(B45,'Списки участников'!A:K,6,FALSE))</f>
        <v/>
      </c>
      <c r="E45" s="104"/>
      <c r="F45" s="104"/>
      <c r="G45" s="104"/>
      <c r="H45" s="181"/>
      <c r="I45" s="180" t="str">
        <f t="shared" si="11"/>
        <v/>
      </c>
      <c r="J45" s="181"/>
      <c r="K45" s="180" t="str">
        <f t="shared" si="12"/>
        <v/>
      </c>
      <c r="L45" s="181"/>
      <c r="M45" s="180" t="str">
        <f t="shared" si="13"/>
        <v/>
      </c>
      <c r="N45" s="181"/>
      <c r="O45" s="180" t="e">
        <f t="shared" si="18"/>
        <v>#N/A</v>
      </c>
      <c r="P45" s="181"/>
      <c r="Q45" s="180" t="str">
        <f t="shared" si="14"/>
        <v/>
      </c>
      <c r="R45" s="181"/>
      <c r="S45" s="180" t="str">
        <f t="shared" si="15"/>
        <v/>
      </c>
      <c r="T45" s="479" t="str">
        <f t="shared" si="16"/>
        <v/>
      </c>
      <c r="U45" s="480" t="str">
        <f t="shared" si="17"/>
        <v/>
      </c>
    </row>
    <row r="46" spans="1:21" ht="15.75" x14ac:dyDescent="0.25">
      <c r="A46" s="178" t="s">
        <v>45</v>
      </c>
      <c r="B46" s="679"/>
      <c r="C46" s="105" t="str">
        <f>IF(B46="","",VLOOKUP(B46,'Списки участников'!A:K,3,FALSE))</f>
        <v/>
      </c>
      <c r="D46" s="102" t="str">
        <f>IF(B46="","",VLOOKUP(B46,'Списки участников'!A:K,6,FALSE))</f>
        <v/>
      </c>
      <c r="E46" s="104" t="e">
        <f>MID(C46,1,SEARCH(" ",C46)-1)</f>
        <v>#VALUE!</v>
      </c>
      <c r="F46" s="104" t="e">
        <f>MID(C46,SEARCH(" ",C46)+1,1)</f>
        <v>#VALUE!</v>
      </c>
      <c r="G46" s="104" t="e">
        <f>CONCATENATE(E46," ",F46,".")</f>
        <v>#VALUE!</v>
      </c>
      <c r="H46" s="181"/>
      <c r="I46" s="180" t="str">
        <f t="shared" si="11"/>
        <v/>
      </c>
      <c r="J46" s="181"/>
      <c r="K46" s="180" t="str">
        <f t="shared" si="12"/>
        <v/>
      </c>
      <c r="L46" s="181"/>
      <c r="M46" s="180" t="str">
        <f t="shared" si="13"/>
        <v/>
      </c>
      <c r="N46" s="181"/>
      <c r="O46" s="180" t="e">
        <f t="shared" si="18"/>
        <v>#N/A</v>
      </c>
      <c r="P46" s="181"/>
      <c r="Q46" s="180" t="str">
        <f t="shared" si="14"/>
        <v/>
      </c>
      <c r="R46" s="181"/>
      <c r="S46" s="180" t="str">
        <f t="shared" si="15"/>
        <v/>
      </c>
      <c r="T46" s="479" t="str">
        <f t="shared" si="16"/>
        <v/>
      </c>
      <c r="U46" s="480" t="str">
        <f t="shared" si="17"/>
        <v/>
      </c>
    </row>
    <row r="47" spans="1:21" ht="15.75" x14ac:dyDescent="0.25">
      <c r="A47" s="178" t="s">
        <v>46</v>
      </c>
      <c r="B47" s="679"/>
      <c r="C47" s="105" t="str">
        <f>IF(B47="","",VLOOKUP(B47,'Списки участников'!A:K,3,FALSE))</f>
        <v/>
      </c>
      <c r="D47" s="102" t="str">
        <f>IF(B47="","",VLOOKUP(B47,'Списки участников'!A:K,6,FALSE))</f>
        <v/>
      </c>
      <c r="E47" s="104" t="e">
        <f>MID(C47,1,SEARCH(" ",C47)-1)</f>
        <v>#VALUE!</v>
      </c>
      <c r="F47" s="104" t="e">
        <f>MID(C47,SEARCH(" ",C47)+1,1)</f>
        <v>#VALUE!</v>
      </c>
      <c r="G47" s="104" t="e">
        <f>CONCATENATE(E47," ",F47,".")</f>
        <v>#VALUE!</v>
      </c>
      <c r="H47" s="181"/>
      <c r="I47" s="180" t="str">
        <f t="shared" si="11"/>
        <v/>
      </c>
      <c r="J47" s="181"/>
      <c r="K47" s="180" t="str">
        <f t="shared" si="12"/>
        <v/>
      </c>
      <c r="L47" s="181"/>
      <c r="M47" s="180" t="str">
        <f t="shared" si="13"/>
        <v/>
      </c>
      <c r="N47" s="181"/>
      <c r="O47" s="180" t="e">
        <f t="shared" si="18"/>
        <v>#N/A</v>
      </c>
      <c r="P47" s="181"/>
      <c r="Q47" s="180" t="str">
        <f t="shared" si="14"/>
        <v/>
      </c>
      <c r="R47" s="181"/>
      <c r="S47" s="180" t="str">
        <f t="shared" si="15"/>
        <v/>
      </c>
      <c r="T47" s="479" t="str">
        <f t="shared" si="16"/>
        <v/>
      </c>
      <c r="U47" s="480" t="str">
        <f t="shared" si="17"/>
        <v/>
      </c>
    </row>
    <row r="48" spans="1:21" ht="15.75" x14ac:dyDescent="0.25">
      <c r="A48" s="178" t="s">
        <v>47</v>
      </c>
      <c r="B48" s="679"/>
      <c r="C48" s="105" t="str">
        <f>IF(B48="","",VLOOKUP(B48,'Списки участников'!A:K,3,FALSE))</f>
        <v/>
      </c>
      <c r="D48" s="102" t="str">
        <f>IF(B48="","",VLOOKUP(B48,'Списки участников'!A:K,6,FALSE))</f>
        <v/>
      </c>
      <c r="E48" s="104"/>
      <c r="F48" s="104"/>
      <c r="G48" s="104"/>
      <c r="H48" s="181"/>
      <c r="I48" s="180" t="str">
        <f t="shared" si="11"/>
        <v/>
      </c>
      <c r="J48" s="181"/>
      <c r="K48" s="180" t="str">
        <f t="shared" si="12"/>
        <v/>
      </c>
      <c r="L48" s="181"/>
      <c r="M48" s="180" t="str">
        <f t="shared" si="13"/>
        <v/>
      </c>
      <c r="N48" s="181"/>
      <c r="O48" s="180" t="e">
        <f t="shared" si="18"/>
        <v>#N/A</v>
      </c>
      <c r="P48" s="181"/>
      <c r="Q48" s="180" t="str">
        <f t="shared" si="14"/>
        <v/>
      </c>
      <c r="R48" s="181"/>
      <c r="S48" s="180" t="str">
        <f t="shared" si="15"/>
        <v/>
      </c>
      <c r="T48" s="479" t="str">
        <f t="shared" si="16"/>
        <v/>
      </c>
      <c r="U48" s="480" t="str">
        <f t="shared" si="17"/>
        <v/>
      </c>
    </row>
    <row r="49" spans="1:21" ht="15.75" x14ac:dyDescent="0.25">
      <c r="A49" s="178" t="s">
        <v>48</v>
      </c>
      <c r="B49" s="679"/>
      <c r="C49" s="105" t="str">
        <f>IF(B49="","",VLOOKUP(B49,'Списки участников'!A:K,3,FALSE))</f>
        <v/>
      </c>
      <c r="D49" s="102" t="str">
        <f>IF(B49="","",VLOOKUP(B49,'Списки участников'!A:K,6,FALSE))</f>
        <v/>
      </c>
      <c r="E49" s="104" t="e">
        <f>MID(C49,1,SEARCH(" ",C49)-1)</f>
        <v>#VALUE!</v>
      </c>
      <c r="F49" s="104" t="e">
        <f>MID(C49,SEARCH(" ",C49)+1,1)</f>
        <v>#VALUE!</v>
      </c>
      <c r="G49" s="104" t="e">
        <f>CONCATENATE(E49," ",F49,".")</f>
        <v>#VALUE!</v>
      </c>
      <c r="H49" s="181"/>
      <c r="I49" s="180" t="str">
        <f t="shared" si="11"/>
        <v/>
      </c>
      <c r="J49" s="181"/>
      <c r="K49" s="180" t="str">
        <f t="shared" si="12"/>
        <v/>
      </c>
      <c r="L49" s="181"/>
      <c r="M49" s="180" t="str">
        <f t="shared" si="13"/>
        <v/>
      </c>
      <c r="N49" s="181"/>
      <c r="O49" s="180" t="e">
        <f t="shared" si="18"/>
        <v>#N/A</v>
      </c>
      <c r="P49" s="181"/>
      <c r="Q49" s="180" t="str">
        <f t="shared" si="14"/>
        <v/>
      </c>
      <c r="R49" s="181"/>
      <c r="S49" s="180" t="str">
        <f t="shared" si="15"/>
        <v/>
      </c>
      <c r="T49" s="479" t="str">
        <f t="shared" si="16"/>
        <v/>
      </c>
      <c r="U49" s="480" t="str">
        <f t="shared" si="17"/>
        <v/>
      </c>
    </row>
    <row r="50" spans="1:21" ht="15.75" x14ac:dyDescent="0.25">
      <c r="A50" s="178" t="s">
        <v>49</v>
      </c>
      <c r="B50" s="679"/>
      <c r="C50" s="105" t="str">
        <f>IF(B50="","",VLOOKUP(B50,'Списки участников'!A:K,3,FALSE))</f>
        <v/>
      </c>
      <c r="D50" s="102" t="str">
        <f>IF(B50="","",VLOOKUP(B50,'Списки участников'!A:K,6,FALSE))</f>
        <v/>
      </c>
      <c r="E50" s="104"/>
      <c r="F50" s="104"/>
      <c r="G50" s="104"/>
      <c r="H50" s="181"/>
      <c r="I50" s="180" t="str">
        <f t="shared" si="11"/>
        <v/>
      </c>
      <c r="J50" s="181"/>
      <c r="K50" s="180" t="str">
        <f t="shared" si="12"/>
        <v/>
      </c>
      <c r="L50" s="181"/>
      <c r="M50" s="180" t="str">
        <f t="shared" si="13"/>
        <v/>
      </c>
      <c r="N50" s="181"/>
      <c r="O50" s="180" t="e">
        <f t="shared" si="18"/>
        <v>#N/A</v>
      </c>
      <c r="P50" s="181"/>
      <c r="Q50" s="180" t="str">
        <f t="shared" si="14"/>
        <v/>
      </c>
      <c r="R50" s="181"/>
      <c r="S50" s="180" t="str">
        <f t="shared" si="15"/>
        <v/>
      </c>
      <c r="T50" s="479" t="str">
        <f t="shared" si="16"/>
        <v/>
      </c>
      <c r="U50" s="480" t="str">
        <f t="shared" si="17"/>
        <v/>
      </c>
    </row>
    <row r="51" spans="1:21" ht="15.75" x14ac:dyDescent="0.25">
      <c r="A51" s="178" t="s">
        <v>50</v>
      </c>
      <c r="B51" s="679"/>
      <c r="C51" s="105" t="str">
        <f>IF(B51="","",VLOOKUP(B51,'Списки участников'!A:K,3,FALSE))</f>
        <v/>
      </c>
      <c r="D51" s="102" t="str">
        <f>IF(B51="","",VLOOKUP(B51,'Списки участников'!A:K,6,FALSE))</f>
        <v/>
      </c>
      <c r="E51" s="104" t="e">
        <f>MID(C51,1,SEARCH(" ",C51)-1)</f>
        <v>#VALUE!</v>
      </c>
      <c r="F51" s="104" t="e">
        <f>MID(C51,SEARCH(" ",C51)+1,1)</f>
        <v>#VALUE!</v>
      </c>
      <c r="G51" s="104" t="e">
        <f>CONCATENATE(E51," ",F51,".")</f>
        <v>#VALUE!</v>
      </c>
      <c r="H51" s="181"/>
      <c r="I51" s="180" t="str">
        <f t="shared" si="11"/>
        <v/>
      </c>
      <c r="J51" s="181"/>
      <c r="K51" s="180" t="str">
        <f t="shared" si="12"/>
        <v/>
      </c>
      <c r="L51" s="181"/>
      <c r="M51" s="180" t="str">
        <f t="shared" si="13"/>
        <v/>
      </c>
      <c r="N51" s="181"/>
      <c r="O51" s="180" t="e">
        <f t="shared" si="18"/>
        <v>#N/A</v>
      </c>
      <c r="P51" s="181"/>
      <c r="Q51" s="180" t="str">
        <f t="shared" si="14"/>
        <v/>
      </c>
      <c r="R51" s="181"/>
      <c r="S51" s="180" t="str">
        <f t="shared" si="15"/>
        <v/>
      </c>
      <c r="T51" s="479" t="str">
        <f t="shared" si="16"/>
        <v/>
      </c>
      <c r="U51" s="480" t="str">
        <f t="shared" si="17"/>
        <v/>
      </c>
    </row>
    <row r="52" spans="1:21" ht="15.75" x14ac:dyDescent="0.25">
      <c r="A52" s="178" t="s">
        <v>51</v>
      </c>
      <c r="B52" s="679"/>
      <c r="C52" s="105" t="str">
        <f>IF(B52="","",VLOOKUP(B52,'Списки участников'!A:K,3,FALSE))</f>
        <v/>
      </c>
      <c r="D52" s="102" t="str">
        <f>IF(B52="","",VLOOKUP(B52,'Списки участников'!A:K,6,FALSE))</f>
        <v/>
      </c>
      <c r="E52" s="104"/>
      <c r="F52" s="104"/>
      <c r="G52" s="104"/>
      <c r="H52" s="181"/>
      <c r="I52" s="180" t="str">
        <f t="shared" si="11"/>
        <v/>
      </c>
      <c r="J52" s="181"/>
      <c r="K52" s="180" t="str">
        <f t="shared" si="12"/>
        <v/>
      </c>
      <c r="L52" s="181"/>
      <c r="M52" s="180" t="str">
        <f t="shared" si="13"/>
        <v/>
      </c>
      <c r="N52" s="181"/>
      <c r="O52" s="180" t="e">
        <f t="shared" si="18"/>
        <v>#N/A</v>
      </c>
      <c r="P52" s="181"/>
      <c r="Q52" s="180" t="str">
        <f t="shared" si="14"/>
        <v/>
      </c>
      <c r="R52" s="181"/>
      <c r="S52" s="180" t="str">
        <f t="shared" si="15"/>
        <v/>
      </c>
      <c r="T52" s="479" t="str">
        <f t="shared" si="16"/>
        <v/>
      </c>
      <c r="U52" s="480" t="str">
        <f t="shared" si="17"/>
        <v/>
      </c>
    </row>
    <row r="53" spans="1:21" ht="15.75" x14ac:dyDescent="0.25">
      <c r="A53" s="178" t="s">
        <v>52</v>
      </c>
      <c r="B53" s="679"/>
      <c r="C53" s="105" t="str">
        <f>IF(B53="","",VLOOKUP(B53,'Списки участников'!A:K,3,FALSE))</f>
        <v/>
      </c>
      <c r="D53" s="102" t="str">
        <f>IF(B53="","",VLOOKUP(B53,'Списки участников'!A:K,6,FALSE))</f>
        <v/>
      </c>
      <c r="E53" s="104" t="e">
        <f>MID(C53,1,SEARCH(" ",C53)-1)</f>
        <v>#VALUE!</v>
      </c>
      <c r="F53" s="104" t="e">
        <f>MID(C53,SEARCH(" ",C53)+1,1)</f>
        <v>#VALUE!</v>
      </c>
      <c r="G53" s="104" t="e">
        <f>CONCATENATE(E53," ",F53,".")</f>
        <v>#VALUE!</v>
      </c>
      <c r="H53" s="181"/>
      <c r="I53" s="180" t="str">
        <f t="shared" si="11"/>
        <v/>
      </c>
      <c r="J53" s="181"/>
      <c r="K53" s="180" t="str">
        <f t="shared" si="12"/>
        <v/>
      </c>
      <c r="L53" s="181"/>
      <c r="M53" s="180" t="str">
        <f t="shared" si="13"/>
        <v/>
      </c>
      <c r="N53" s="181"/>
      <c r="O53" s="180" t="e">
        <f t="shared" si="18"/>
        <v>#N/A</v>
      </c>
      <c r="P53" s="181"/>
      <c r="Q53" s="180" t="str">
        <f t="shared" si="14"/>
        <v/>
      </c>
      <c r="R53" s="181"/>
      <c r="S53" s="180" t="str">
        <f t="shared" si="15"/>
        <v/>
      </c>
      <c r="T53" s="479" t="str">
        <f t="shared" si="16"/>
        <v/>
      </c>
      <c r="U53" s="480" t="str">
        <f t="shared" si="17"/>
        <v/>
      </c>
    </row>
    <row r="54" spans="1:21" ht="15.75" x14ac:dyDescent="0.25">
      <c r="A54" s="178" t="s">
        <v>53</v>
      </c>
      <c r="B54" s="679"/>
      <c r="C54" s="105" t="str">
        <f>IF(B54="","",VLOOKUP(B54,'Списки участников'!A:K,3,FALSE))</f>
        <v/>
      </c>
      <c r="D54" s="102" t="str">
        <f>IF(B54="","",VLOOKUP(B54,'Списки участников'!A:K,6,FALSE))</f>
        <v/>
      </c>
      <c r="E54" s="104"/>
      <c r="F54" s="104"/>
      <c r="G54" s="104"/>
      <c r="H54" s="181"/>
      <c r="I54" s="180" t="str">
        <f t="shared" si="11"/>
        <v/>
      </c>
      <c r="J54" s="181"/>
      <c r="K54" s="180" t="str">
        <f t="shared" si="12"/>
        <v/>
      </c>
      <c r="L54" s="181"/>
      <c r="M54" s="180" t="str">
        <f t="shared" si="13"/>
        <v/>
      </c>
      <c r="N54" s="181"/>
      <c r="O54" s="180" t="e">
        <f t="shared" si="18"/>
        <v>#N/A</v>
      </c>
      <c r="P54" s="181"/>
      <c r="Q54" s="180" t="str">
        <f t="shared" si="14"/>
        <v/>
      </c>
      <c r="R54" s="181"/>
      <c r="S54" s="180" t="str">
        <f t="shared" si="15"/>
        <v/>
      </c>
      <c r="T54" s="479" t="str">
        <f t="shared" si="16"/>
        <v/>
      </c>
      <c r="U54" s="480" t="str">
        <f t="shared" si="17"/>
        <v/>
      </c>
    </row>
    <row r="55" spans="1:21" ht="15.75" x14ac:dyDescent="0.25">
      <c r="A55" s="178" t="s">
        <v>54</v>
      </c>
      <c r="B55" s="679"/>
      <c r="C55" s="105" t="str">
        <f>IF(B55="","",VLOOKUP(B55,'Списки участников'!A:K,3,FALSE))</f>
        <v/>
      </c>
      <c r="D55" s="102" t="str">
        <f>IF(B55="","",VLOOKUP(B55,'Списки участников'!A:K,6,FALSE))</f>
        <v/>
      </c>
      <c r="E55" s="866"/>
      <c r="F55" s="866"/>
      <c r="G55" s="866"/>
      <c r="H55" s="181"/>
      <c r="I55" s="180" t="str">
        <f t="shared" si="11"/>
        <v/>
      </c>
      <c r="J55" s="181"/>
      <c r="K55" s="180" t="str">
        <f t="shared" si="12"/>
        <v/>
      </c>
      <c r="L55" s="181"/>
      <c r="M55" s="180" t="str">
        <f t="shared" si="13"/>
        <v/>
      </c>
      <c r="N55" s="181"/>
      <c r="O55" s="180"/>
      <c r="P55" s="181"/>
      <c r="Q55" s="180" t="str">
        <f t="shared" si="14"/>
        <v/>
      </c>
      <c r="R55" s="181"/>
      <c r="S55" s="180" t="str">
        <f t="shared" si="15"/>
        <v/>
      </c>
      <c r="T55" s="479" t="str">
        <f t="shared" si="16"/>
        <v/>
      </c>
      <c r="U55" s="480" t="str">
        <f t="shared" si="17"/>
        <v/>
      </c>
    </row>
    <row r="56" spans="1:21" ht="15.75" x14ac:dyDescent="0.25">
      <c r="A56" s="178" t="s">
        <v>55</v>
      </c>
      <c r="B56" s="679"/>
      <c r="C56" s="105" t="str">
        <f>IF(B56="","",VLOOKUP(B56,'Списки участников'!A:K,3,FALSE))</f>
        <v/>
      </c>
      <c r="D56" s="102" t="str">
        <f>IF(B56="","",VLOOKUP(B56,'Списки участников'!A:K,6,FALSE))</f>
        <v/>
      </c>
      <c r="E56" s="104"/>
      <c r="F56" s="104"/>
      <c r="G56" s="104"/>
      <c r="H56" s="181"/>
      <c r="I56" s="180" t="str">
        <f t="shared" si="11"/>
        <v/>
      </c>
      <c r="J56" s="181"/>
      <c r="K56" s="180" t="str">
        <f t="shared" si="12"/>
        <v/>
      </c>
      <c r="L56" s="181"/>
      <c r="M56" s="180" t="str">
        <f t="shared" si="13"/>
        <v/>
      </c>
      <c r="N56" s="181"/>
      <c r="O56" s="180" t="e">
        <f t="shared" ref="O56:O87" si="19">IF(C56=0,"",RANK(N56,ОТЖИМ,))</f>
        <v>#N/A</v>
      </c>
      <c r="P56" s="181"/>
      <c r="Q56" s="180" t="str">
        <f t="shared" si="14"/>
        <v/>
      </c>
      <c r="R56" s="181"/>
      <c r="S56" s="180" t="str">
        <f t="shared" si="15"/>
        <v/>
      </c>
      <c r="T56" s="479" t="str">
        <f t="shared" si="16"/>
        <v/>
      </c>
      <c r="U56" s="480" t="str">
        <f t="shared" si="17"/>
        <v/>
      </c>
    </row>
    <row r="57" spans="1:21" ht="15.75" x14ac:dyDescent="0.25">
      <c r="A57" s="178" t="s">
        <v>59</v>
      </c>
      <c r="B57" s="679"/>
      <c r="C57" s="105" t="str">
        <f>IF(B57="","",VLOOKUP(B57,'Списки участников'!A:K,3,FALSE))</f>
        <v/>
      </c>
      <c r="D57" s="102" t="str">
        <f>IF(B57="","",VLOOKUP(B57,'Списки участников'!A:K,6,FALSE))</f>
        <v/>
      </c>
      <c r="E57" s="104" t="e">
        <f>MID(C57,1,SEARCH(" ",C57)-1)</f>
        <v>#VALUE!</v>
      </c>
      <c r="F57" s="104" t="e">
        <f>MID(C57,SEARCH(" ",C57)+1,1)</f>
        <v>#VALUE!</v>
      </c>
      <c r="G57" s="104" t="e">
        <f>CONCATENATE(E57," ",F57,".")</f>
        <v>#VALUE!</v>
      </c>
      <c r="H57" s="181"/>
      <c r="I57" s="180" t="str">
        <f t="shared" si="11"/>
        <v/>
      </c>
      <c r="J57" s="181"/>
      <c r="K57" s="180" t="str">
        <f t="shared" si="12"/>
        <v/>
      </c>
      <c r="L57" s="181"/>
      <c r="M57" s="180" t="str">
        <f t="shared" si="13"/>
        <v/>
      </c>
      <c r="N57" s="181"/>
      <c r="O57" s="180" t="e">
        <f t="shared" si="19"/>
        <v>#N/A</v>
      </c>
      <c r="P57" s="181"/>
      <c r="Q57" s="180" t="str">
        <f t="shared" si="14"/>
        <v/>
      </c>
      <c r="R57" s="181"/>
      <c r="S57" s="180" t="str">
        <f t="shared" si="15"/>
        <v/>
      </c>
      <c r="T57" s="479" t="str">
        <f t="shared" si="16"/>
        <v/>
      </c>
      <c r="U57" s="480" t="str">
        <f t="shared" si="17"/>
        <v/>
      </c>
    </row>
    <row r="58" spans="1:21" ht="15.75" x14ac:dyDescent="0.25">
      <c r="A58" s="178" t="s">
        <v>60</v>
      </c>
      <c r="B58" s="679"/>
      <c r="C58" s="105" t="str">
        <f>IF(B58="","",VLOOKUP(B58,'Списки участников'!A:K,3,FALSE))</f>
        <v/>
      </c>
      <c r="D58" s="102" t="str">
        <f>IF(B58="","",VLOOKUP(B58,'Списки участников'!A:K,6,FALSE))</f>
        <v/>
      </c>
      <c r="E58" s="104" t="e">
        <f>MID(C58,1,SEARCH(" ",C58)-1)</f>
        <v>#VALUE!</v>
      </c>
      <c r="F58" s="104" t="e">
        <f>MID(C58,SEARCH(" ",C58)+1,1)</f>
        <v>#VALUE!</v>
      </c>
      <c r="G58" s="104" t="e">
        <f>CONCATENATE(E58," ",F58,".")</f>
        <v>#VALUE!</v>
      </c>
      <c r="H58" s="181"/>
      <c r="I58" s="180" t="str">
        <f t="shared" si="11"/>
        <v/>
      </c>
      <c r="J58" s="181"/>
      <c r="K58" s="180" t="str">
        <f t="shared" si="12"/>
        <v/>
      </c>
      <c r="L58" s="181"/>
      <c r="M58" s="180" t="str">
        <f t="shared" si="13"/>
        <v/>
      </c>
      <c r="N58" s="181"/>
      <c r="O58" s="180" t="e">
        <f t="shared" si="19"/>
        <v>#N/A</v>
      </c>
      <c r="P58" s="181"/>
      <c r="Q58" s="180" t="str">
        <f t="shared" si="14"/>
        <v/>
      </c>
      <c r="R58" s="181"/>
      <c r="S58" s="180" t="str">
        <f t="shared" si="15"/>
        <v/>
      </c>
      <c r="T58" s="479" t="str">
        <f t="shared" si="16"/>
        <v/>
      </c>
      <c r="U58" s="480" t="str">
        <f t="shared" si="17"/>
        <v/>
      </c>
    </row>
    <row r="59" spans="1:21" ht="15.75" x14ac:dyDescent="0.25">
      <c r="A59" s="178" t="s">
        <v>61</v>
      </c>
      <c r="B59" s="679"/>
      <c r="C59" s="105" t="str">
        <f>IF(B59="","",VLOOKUP(B59,'Списки участников'!A:K,3,FALSE))</f>
        <v/>
      </c>
      <c r="D59" s="102" t="str">
        <f>IF(B59="","",VLOOKUP(B59,'Списки участников'!A:K,6,FALSE))</f>
        <v/>
      </c>
      <c r="E59" s="104"/>
      <c r="F59" s="104"/>
      <c r="G59" s="104"/>
      <c r="H59" s="181"/>
      <c r="I59" s="180" t="str">
        <f t="shared" si="11"/>
        <v/>
      </c>
      <c r="J59" s="181"/>
      <c r="K59" s="180" t="str">
        <f t="shared" si="12"/>
        <v/>
      </c>
      <c r="L59" s="181"/>
      <c r="M59" s="180" t="str">
        <f t="shared" si="13"/>
        <v/>
      </c>
      <c r="N59" s="181"/>
      <c r="O59" s="180" t="e">
        <f t="shared" si="19"/>
        <v>#N/A</v>
      </c>
      <c r="P59" s="181"/>
      <c r="Q59" s="180" t="str">
        <f t="shared" si="14"/>
        <v/>
      </c>
      <c r="R59" s="181"/>
      <c r="S59" s="180" t="str">
        <f t="shared" si="15"/>
        <v/>
      </c>
      <c r="T59" s="479" t="str">
        <f t="shared" si="16"/>
        <v/>
      </c>
      <c r="U59" s="480" t="str">
        <f t="shared" si="17"/>
        <v/>
      </c>
    </row>
    <row r="60" spans="1:21" ht="15.75" x14ac:dyDescent="0.25">
      <c r="A60" s="178" t="s">
        <v>62</v>
      </c>
      <c r="B60" s="679"/>
      <c r="C60" s="105" t="str">
        <f>IF(B60="","",VLOOKUP(B60,'Списки участников'!A:K,3,FALSE))</f>
        <v/>
      </c>
      <c r="D60" s="102" t="str">
        <f>IF(B60="","",VLOOKUP(B60,'Списки участников'!A:K,6,FALSE))</f>
        <v/>
      </c>
      <c r="E60" s="104" t="e">
        <f>MID(C60,1,SEARCH(" ",C60)-1)</f>
        <v>#VALUE!</v>
      </c>
      <c r="F60" s="104" t="e">
        <f>MID(C60,SEARCH(" ",C60)+1,1)</f>
        <v>#VALUE!</v>
      </c>
      <c r="G60" s="104" t="e">
        <f>CONCATENATE(E60," ",F60,".")</f>
        <v>#VALUE!</v>
      </c>
      <c r="H60" s="181"/>
      <c r="I60" s="180" t="str">
        <f t="shared" si="11"/>
        <v/>
      </c>
      <c r="J60" s="181"/>
      <c r="K60" s="180" t="str">
        <f t="shared" si="12"/>
        <v/>
      </c>
      <c r="L60" s="181"/>
      <c r="M60" s="180" t="str">
        <f t="shared" si="13"/>
        <v/>
      </c>
      <c r="N60" s="181"/>
      <c r="O60" s="180" t="e">
        <f t="shared" si="19"/>
        <v>#N/A</v>
      </c>
      <c r="P60" s="181"/>
      <c r="Q60" s="180" t="str">
        <f t="shared" si="14"/>
        <v/>
      </c>
      <c r="R60" s="181"/>
      <c r="S60" s="180" t="str">
        <f t="shared" si="15"/>
        <v/>
      </c>
      <c r="T60" s="479" t="str">
        <f t="shared" si="16"/>
        <v/>
      </c>
      <c r="U60" s="480" t="str">
        <f t="shared" si="17"/>
        <v/>
      </c>
    </row>
    <row r="61" spans="1:21" ht="15.75" x14ac:dyDescent="0.25">
      <c r="A61" s="178" t="s">
        <v>63</v>
      </c>
      <c r="B61" s="679"/>
      <c r="C61" s="105" t="str">
        <f>IF(B61="","",VLOOKUP(B61,'Списки участников'!A:K,3,FALSE))</f>
        <v/>
      </c>
      <c r="D61" s="102" t="str">
        <f>IF(B61="","",VLOOKUP(B61,'Списки участников'!A:K,6,FALSE))</f>
        <v/>
      </c>
      <c r="E61" s="104"/>
      <c r="F61" s="104"/>
      <c r="G61" s="104"/>
      <c r="H61" s="181"/>
      <c r="I61" s="180" t="str">
        <f t="shared" si="11"/>
        <v/>
      </c>
      <c r="J61" s="181"/>
      <c r="K61" s="180" t="str">
        <f t="shared" si="12"/>
        <v/>
      </c>
      <c r="L61" s="181"/>
      <c r="M61" s="180" t="str">
        <f t="shared" si="13"/>
        <v/>
      </c>
      <c r="N61" s="181"/>
      <c r="O61" s="180" t="e">
        <f t="shared" si="19"/>
        <v>#N/A</v>
      </c>
      <c r="P61" s="181"/>
      <c r="Q61" s="180" t="str">
        <f t="shared" si="14"/>
        <v/>
      </c>
      <c r="R61" s="181"/>
      <c r="S61" s="180" t="str">
        <f t="shared" si="15"/>
        <v/>
      </c>
      <c r="T61" s="479" t="str">
        <f t="shared" si="16"/>
        <v/>
      </c>
      <c r="U61" s="480" t="str">
        <f t="shared" si="17"/>
        <v/>
      </c>
    </row>
    <row r="62" spans="1:21" ht="15.75" x14ac:dyDescent="0.25">
      <c r="A62" s="178" t="s">
        <v>64</v>
      </c>
      <c r="B62" s="679"/>
      <c r="C62" s="105" t="str">
        <f>IF(B62="","",VLOOKUP(B62,'Списки участников'!A:K,3,FALSE))</f>
        <v/>
      </c>
      <c r="D62" s="102" t="str">
        <f>IF(B62="","",VLOOKUP(B62,'Списки участников'!A:K,6,FALSE))</f>
        <v/>
      </c>
      <c r="E62" s="104"/>
      <c r="F62" s="104"/>
      <c r="G62" s="104"/>
      <c r="H62" s="181"/>
      <c r="I62" s="180" t="str">
        <f t="shared" si="11"/>
        <v/>
      </c>
      <c r="J62" s="181"/>
      <c r="K62" s="180" t="str">
        <f t="shared" si="12"/>
        <v/>
      </c>
      <c r="L62" s="181"/>
      <c r="M62" s="180" t="str">
        <f t="shared" si="13"/>
        <v/>
      </c>
      <c r="N62" s="181"/>
      <c r="O62" s="180" t="e">
        <f t="shared" si="19"/>
        <v>#N/A</v>
      </c>
      <c r="P62" s="181"/>
      <c r="Q62" s="180" t="str">
        <f t="shared" si="14"/>
        <v/>
      </c>
      <c r="R62" s="181"/>
      <c r="S62" s="180" t="str">
        <f t="shared" si="15"/>
        <v/>
      </c>
      <c r="T62" s="479" t="str">
        <f t="shared" si="16"/>
        <v/>
      </c>
      <c r="U62" s="480" t="str">
        <f t="shared" si="17"/>
        <v/>
      </c>
    </row>
    <row r="63" spans="1:21" ht="15.75" x14ac:dyDescent="0.25">
      <c r="A63" s="178" t="s">
        <v>65</v>
      </c>
      <c r="B63" s="679"/>
      <c r="C63" s="105" t="str">
        <f>IF(B63="","",VLOOKUP(B63,'Списки участников'!A:K,3,FALSE))</f>
        <v/>
      </c>
      <c r="D63" s="102" t="str">
        <f>IF(B63="","",VLOOKUP(B63,'Списки участников'!A:K,6,FALSE))</f>
        <v/>
      </c>
      <c r="E63" s="104"/>
      <c r="F63" s="104"/>
      <c r="G63" s="104"/>
      <c r="H63" s="181"/>
      <c r="I63" s="180" t="str">
        <f t="shared" si="11"/>
        <v/>
      </c>
      <c r="J63" s="181"/>
      <c r="K63" s="180" t="str">
        <f t="shared" si="12"/>
        <v/>
      </c>
      <c r="L63" s="181"/>
      <c r="M63" s="180" t="str">
        <f t="shared" si="13"/>
        <v/>
      </c>
      <c r="N63" s="181"/>
      <c r="O63" s="180" t="e">
        <f t="shared" si="19"/>
        <v>#N/A</v>
      </c>
      <c r="P63" s="181"/>
      <c r="Q63" s="180" t="str">
        <f t="shared" si="14"/>
        <v/>
      </c>
      <c r="R63" s="181"/>
      <c r="S63" s="180" t="str">
        <f t="shared" si="15"/>
        <v/>
      </c>
      <c r="T63" s="479" t="str">
        <f t="shared" si="16"/>
        <v/>
      </c>
      <c r="U63" s="480" t="str">
        <f t="shared" si="17"/>
        <v/>
      </c>
    </row>
    <row r="64" spans="1:21" ht="15.75" x14ac:dyDescent="0.25">
      <c r="A64" s="178" t="s">
        <v>66</v>
      </c>
      <c r="B64" s="679"/>
      <c r="C64" s="105" t="str">
        <f>IF(B64="","",VLOOKUP(B64,'Списки участников'!A:K,3,FALSE))</f>
        <v/>
      </c>
      <c r="D64" s="102" t="str">
        <f>IF(B64="","",VLOOKUP(B64,'Списки участников'!A:K,6,FALSE))</f>
        <v/>
      </c>
      <c r="E64" s="104" t="e">
        <f>MID(C64,1,SEARCH(" ",C64)-1)</f>
        <v>#VALUE!</v>
      </c>
      <c r="F64" s="104" t="e">
        <f>MID(C64,SEARCH(" ",C64)+1,1)</f>
        <v>#VALUE!</v>
      </c>
      <c r="G64" s="104" t="e">
        <f>CONCATENATE(E64," ",F64,".")</f>
        <v>#VALUE!</v>
      </c>
      <c r="H64" s="181"/>
      <c r="I64" s="180" t="str">
        <f t="shared" si="11"/>
        <v/>
      </c>
      <c r="J64" s="181"/>
      <c r="K64" s="180" t="str">
        <f t="shared" si="12"/>
        <v/>
      </c>
      <c r="L64" s="181"/>
      <c r="M64" s="180" t="str">
        <f t="shared" si="13"/>
        <v/>
      </c>
      <c r="N64" s="181"/>
      <c r="O64" s="180" t="e">
        <f t="shared" si="19"/>
        <v>#N/A</v>
      </c>
      <c r="P64" s="181"/>
      <c r="Q64" s="180" t="str">
        <f t="shared" si="14"/>
        <v/>
      </c>
      <c r="R64" s="181"/>
      <c r="S64" s="180" t="str">
        <f t="shared" si="15"/>
        <v/>
      </c>
      <c r="T64" s="479" t="str">
        <f t="shared" si="16"/>
        <v/>
      </c>
      <c r="U64" s="480" t="str">
        <f t="shared" si="17"/>
        <v/>
      </c>
    </row>
    <row r="65" spans="1:21" ht="15.75" x14ac:dyDescent="0.25">
      <c r="A65" s="178" t="s">
        <v>67</v>
      </c>
      <c r="B65" s="679"/>
      <c r="C65" s="105" t="str">
        <f>IF(B65="","",VLOOKUP(B65,'Списки участников'!A:K,3,FALSE))</f>
        <v/>
      </c>
      <c r="D65" s="102" t="str">
        <f>IF(B65="","",VLOOKUP(B65,'Списки участников'!A:K,6,FALSE))</f>
        <v/>
      </c>
      <c r="E65" s="104" t="e">
        <f>MID(C65,1,SEARCH(" ",C65)-1)</f>
        <v>#VALUE!</v>
      </c>
      <c r="F65" s="104" t="e">
        <f>MID(C65,SEARCH(" ",C65)+1,1)</f>
        <v>#VALUE!</v>
      </c>
      <c r="G65" s="104" t="e">
        <f>CONCATENATE(E65," ",F65,".")</f>
        <v>#VALUE!</v>
      </c>
      <c r="H65" s="181"/>
      <c r="I65" s="180" t="str">
        <f t="shared" si="11"/>
        <v/>
      </c>
      <c r="J65" s="181"/>
      <c r="K65" s="180" t="str">
        <f t="shared" si="12"/>
        <v/>
      </c>
      <c r="L65" s="181"/>
      <c r="M65" s="180" t="str">
        <f t="shared" si="13"/>
        <v/>
      </c>
      <c r="N65" s="181"/>
      <c r="O65" s="180" t="e">
        <f t="shared" si="19"/>
        <v>#N/A</v>
      </c>
      <c r="P65" s="181"/>
      <c r="Q65" s="180" t="str">
        <f t="shared" si="14"/>
        <v/>
      </c>
      <c r="R65" s="181"/>
      <c r="S65" s="180" t="str">
        <f t="shared" si="15"/>
        <v/>
      </c>
      <c r="T65" s="479" t="str">
        <f t="shared" si="16"/>
        <v/>
      </c>
      <c r="U65" s="480" t="str">
        <f t="shared" si="17"/>
        <v/>
      </c>
    </row>
    <row r="66" spans="1:21" ht="15.75" x14ac:dyDescent="0.25">
      <c r="A66" s="178" t="s">
        <v>727</v>
      </c>
      <c r="B66" s="679"/>
      <c r="C66" s="105" t="str">
        <f>IF(B66="","",VLOOKUP(B66,'Списки участников'!A:K,3,FALSE))</f>
        <v/>
      </c>
      <c r="D66" s="102" t="str">
        <f>IF(B66="","",VLOOKUP(B66,'Списки участников'!A:K,6,FALSE))</f>
        <v/>
      </c>
      <c r="E66" s="104" t="e">
        <f>MID(C66,1,SEARCH(" ",C66)-1)</f>
        <v>#VALUE!</v>
      </c>
      <c r="F66" s="104" t="e">
        <f>MID(C66,SEARCH(" ",C66)+1,1)</f>
        <v>#VALUE!</v>
      </c>
      <c r="G66" s="104" t="e">
        <f>CONCATENATE(E66," ",F66,".")</f>
        <v>#VALUE!</v>
      </c>
      <c r="H66" s="181"/>
      <c r="I66" s="180" t="str">
        <f t="shared" si="11"/>
        <v/>
      </c>
      <c r="J66" s="181"/>
      <c r="K66" s="180" t="str">
        <f t="shared" si="12"/>
        <v/>
      </c>
      <c r="L66" s="181"/>
      <c r="M66" s="180" t="str">
        <f t="shared" si="13"/>
        <v/>
      </c>
      <c r="N66" s="181"/>
      <c r="O66" s="180" t="e">
        <f t="shared" si="19"/>
        <v>#N/A</v>
      </c>
      <c r="P66" s="181"/>
      <c r="Q66" s="180" t="str">
        <f t="shared" si="14"/>
        <v/>
      </c>
      <c r="R66" s="181"/>
      <c r="S66" s="180" t="str">
        <f t="shared" si="15"/>
        <v/>
      </c>
      <c r="T66" s="479" t="str">
        <f t="shared" si="16"/>
        <v/>
      </c>
      <c r="U66" s="480" t="str">
        <f t="shared" si="17"/>
        <v/>
      </c>
    </row>
    <row r="67" spans="1:21" ht="15.75" x14ac:dyDescent="0.25">
      <c r="A67" s="178" t="s">
        <v>728</v>
      </c>
      <c r="B67" s="679"/>
      <c r="C67" s="105" t="str">
        <f>IF(B67="","",VLOOKUP(B67,'Списки участников'!A:K,3,FALSE))</f>
        <v/>
      </c>
      <c r="D67" s="102" t="str">
        <f>IF(B67="","",VLOOKUP(B67,'Списки участников'!A:K,6,FALSE))</f>
        <v/>
      </c>
      <c r="E67" s="104"/>
      <c r="F67" s="104"/>
      <c r="G67" s="104"/>
      <c r="H67" s="181"/>
      <c r="I67" s="180" t="str">
        <f t="shared" si="11"/>
        <v/>
      </c>
      <c r="J67" s="181"/>
      <c r="K67" s="180" t="str">
        <f t="shared" si="12"/>
        <v/>
      </c>
      <c r="L67" s="181"/>
      <c r="M67" s="180" t="str">
        <f t="shared" si="13"/>
        <v/>
      </c>
      <c r="N67" s="181"/>
      <c r="O67" s="180" t="e">
        <f t="shared" si="19"/>
        <v>#N/A</v>
      </c>
      <c r="P67" s="181"/>
      <c r="Q67" s="180" t="str">
        <f t="shared" si="14"/>
        <v/>
      </c>
      <c r="R67" s="181"/>
      <c r="S67" s="180" t="str">
        <f t="shared" si="15"/>
        <v/>
      </c>
      <c r="T67" s="479" t="str">
        <f t="shared" si="16"/>
        <v/>
      </c>
      <c r="U67" s="480" t="str">
        <f t="shared" si="17"/>
        <v/>
      </c>
    </row>
    <row r="68" spans="1:21" ht="15.75" x14ac:dyDescent="0.25">
      <c r="A68" s="178" t="s">
        <v>729</v>
      </c>
      <c r="B68" s="679"/>
      <c r="C68" s="105" t="str">
        <f>IF(B68="","",VLOOKUP(B68,'Списки участников'!A:K,3,FALSE))</f>
        <v/>
      </c>
      <c r="D68" s="102" t="str">
        <f>IF(B68="","",VLOOKUP(B68,'Списки участников'!A:K,6,FALSE))</f>
        <v/>
      </c>
      <c r="E68" s="104" t="e">
        <f>MID(C68,1,SEARCH(" ",C68)-1)</f>
        <v>#VALUE!</v>
      </c>
      <c r="F68" s="104" t="e">
        <f>MID(C68,SEARCH(" ",C68)+1,1)</f>
        <v>#VALUE!</v>
      </c>
      <c r="G68" s="104" t="e">
        <f>CONCATENATE(E68," ",F68,".")</f>
        <v>#VALUE!</v>
      </c>
      <c r="H68" s="181"/>
      <c r="I68" s="180" t="str">
        <f t="shared" si="11"/>
        <v/>
      </c>
      <c r="J68" s="181"/>
      <c r="K68" s="180" t="str">
        <f t="shared" si="12"/>
        <v/>
      </c>
      <c r="L68" s="181"/>
      <c r="M68" s="180" t="str">
        <f t="shared" si="13"/>
        <v/>
      </c>
      <c r="N68" s="181"/>
      <c r="O68" s="180" t="e">
        <f t="shared" si="19"/>
        <v>#N/A</v>
      </c>
      <c r="P68" s="181"/>
      <c r="Q68" s="180" t="str">
        <f t="shared" si="14"/>
        <v/>
      </c>
      <c r="R68" s="181"/>
      <c r="S68" s="180" t="str">
        <f t="shared" si="15"/>
        <v/>
      </c>
      <c r="T68" s="479" t="str">
        <f t="shared" si="16"/>
        <v/>
      </c>
      <c r="U68" s="480" t="str">
        <f t="shared" si="17"/>
        <v/>
      </c>
    </row>
    <row r="69" spans="1:21" ht="15" customHeight="1" x14ac:dyDescent="0.25">
      <c r="A69" s="178" t="s">
        <v>730</v>
      </c>
      <c r="B69" s="679"/>
      <c r="C69" s="105" t="str">
        <f>IF(B69="","",VLOOKUP(B69,'Списки участников'!A:K,3,FALSE))</f>
        <v/>
      </c>
      <c r="D69" s="102" t="str">
        <f>IF(B69="","",VLOOKUP(B69,'Списки участников'!A:K,6,FALSE))</f>
        <v/>
      </c>
      <c r="E69" s="104" t="e">
        <f>MID(C69,1,SEARCH(" ",C69)-1)</f>
        <v>#VALUE!</v>
      </c>
      <c r="F69" s="104" t="e">
        <f>MID(C69,SEARCH(" ",C69)+1,1)</f>
        <v>#VALUE!</v>
      </c>
      <c r="G69" s="104" t="e">
        <f>CONCATENATE(E69," ",F69,".")</f>
        <v>#VALUE!</v>
      </c>
      <c r="H69" s="181"/>
      <c r="I69" s="180" t="str">
        <f t="shared" si="11"/>
        <v/>
      </c>
      <c r="J69" s="181"/>
      <c r="K69" s="180" t="str">
        <f t="shared" si="12"/>
        <v/>
      </c>
      <c r="L69" s="181"/>
      <c r="M69" s="180" t="str">
        <f t="shared" si="13"/>
        <v/>
      </c>
      <c r="N69" s="181"/>
      <c r="O69" s="180" t="e">
        <f t="shared" si="19"/>
        <v>#N/A</v>
      </c>
      <c r="P69" s="181"/>
      <c r="Q69" s="180" t="str">
        <f t="shared" si="14"/>
        <v/>
      </c>
      <c r="R69" s="181"/>
      <c r="S69" s="180" t="str">
        <f t="shared" si="15"/>
        <v/>
      </c>
      <c r="T69" s="479" t="str">
        <f t="shared" si="16"/>
        <v/>
      </c>
      <c r="U69" s="480" t="str">
        <f t="shared" si="17"/>
        <v/>
      </c>
    </row>
    <row r="70" spans="1:21" ht="15.75" x14ac:dyDescent="0.25">
      <c r="A70" s="178" t="s">
        <v>731</v>
      </c>
      <c r="B70" s="679"/>
      <c r="C70" s="105" t="str">
        <f>IF(B70="","",VLOOKUP(B70,'Списки участников'!A:K,3,FALSE))</f>
        <v/>
      </c>
      <c r="D70" s="102" t="str">
        <f>IF(B70="","",VLOOKUP(B70,'Списки участников'!A:K,6,FALSE))</f>
        <v/>
      </c>
      <c r="E70" s="104"/>
      <c r="F70" s="104"/>
      <c r="G70" s="104"/>
      <c r="H70" s="181"/>
      <c r="I70" s="180" t="str">
        <f t="shared" si="11"/>
        <v/>
      </c>
      <c r="J70" s="181"/>
      <c r="K70" s="180" t="str">
        <f t="shared" si="12"/>
        <v/>
      </c>
      <c r="L70" s="181"/>
      <c r="M70" s="180" t="str">
        <f t="shared" si="13"/>
        <v/>
      </c>
      <c r="N70" s="181"/>
      <c r="O70" s="180" t="e">
        <f t="shared" si="19"/>
        <v>#N/A</v>
      </c>
      <c r="P70" s="181"/>
      <c r="Q70" s="180" t="str">
        <f t="shared" si="14"/>
        <v/>
      </c>
      <c r="R70" s="181"/>
      <c r="S70" s="180" t="str">
        <f t="shared" si="15"/>
        <v/>
      </c>
      <c r="T70" s="479" t="str">
        <f t="shared" si="16"/>
        <v/>
      </c>
      <c r="U70" s="480" t="str">
        <f t="shared" si="17"/>
        <v/>
      </c>
    </row>
    <row r="71" spans="1:21" ht="15.75" x14ac:dyDescent="0.25">
      <c r="A71" s="178" t="s">
        <v>68</v>
      </c>
      <c r="B71" s="679"/>
      <c r="C71" s="105" t="str">
        <f>IF(B71="","",VLOOKUP(B71,'Списки участников'!A:K,3,FALSE))</f>
        <v/>
      </c>
      <c r="D71" s="102" t="str">
        <f>IF(B71="","",VLOOKUP(B71,'Списки участников'!A:K,6,FALSE))</f>
        <v/>
      </c>
      <c r="E71" s="104"/>
      <c r="F71" s="104"/>
      <c r="G71" s="104"/>
      <c r="H71" s="181"/>
      <c r="I71" s="180" t="str">
        <f t="shared" si="11"/>
        <v/>
      </c>
      <c r="J71" s="181"/>
      <c r="K71" s="180" t="str">
        <f t="shared" si="12"/>
        <v/>
      </c>
      <c r="L71" s="181"/>
      <c r="M71" s="180" t="str">
        <f t="shared" si="13"/>
        <v/>
      </c>
      <c r="N71" s="181"/>
      <c r="O71" s="180" t="e">
        <f t="shared" si="19"/>
        <v>#N/A</v>
      </c>
      <c r="P71" s="181"/>
      <c r="Q71" s="180" t="str">
        <f t="shared" si="14"/>
        <v/>
      </c>
      <c r="R71" s="181"/>
      <c r="S71" s="180" t="str">
        <f t="shared" si="15"/>
        <v/>
      </c>
      <c r="T71" s="479" t="str">
        <f t="shared" si="16"/>
        <v/>
      </c>
      <c r="U71" s="480" t="str">
        <f t="shared" si="17"/>
        <v/>
      </c>
    </row>
    <row r="72" spans="1:21" ht="15.75" x14ac:dyDescent="0.25">
      <c r="A72" s="178" t="s">
        <v>69</v>
      </c>
      <c r="B72" s="679"/>
      <c r="C72" s="105" t="str">
        <f>IF(B72="","",VLOOKUP(B72,'Списки участников'!A:K,3,FALSE))</f>
        <v/>
      </c>
      <c r="D72" s="102" t="str">
        <f>IF(B72="","",VLOOKUP(B72,'Списки участников'!A:K,6,FALSE))</f>
        <v/>
      </c>
      <c r="E72" s="104"/>
      <c r="F72" s="104"/>
      <c r="G72" s="104"/>
      <c r="H72" s="181"/>
      <c r="I72" s="180" t="str">
        <f t="shared" si="11"/>
        <v/>
      </c>
      <c r="J72" s="181"/>
      <c r="K72" s="180" t="str">
        <f t="shared" si="12"/>
        <v/>
      </c>
      <c r="L72" s="181"/>
      <c r="M72" s="180" t="str">
        <f t="shared" si="13"/>
        <v/>
      </c>
      <c r="N72" s="181"/>
      <c r="O72" s="180" t="e">
        <f t="shared" si="19"/>
        <v>#N/A</v>
      </c>
      <c r="P72" s="181"/>
      <c r="Q72" s="180" t="str">
        <f t="shared" si="14"/>
        <v/>
      </c>
      <c r="R72" s="181"/>
      <c r="S72" s="180" t="str">
        <f t="shared" si="15"/>
        <v/>
      </c>
      <c r="T72" s="479" t="str">
        <f t="shared" si="16"/>
        <v/>
      </c>
      <c r="U72" s="480" t="str">
        <f t="shared" si="17"/>
        <v/>
      </c>
    </row>
    <row r="73" spans="1:21" ht="15.75" x14ac:dyDescent="0.25">
      <c r="A73" s="178" t="s">
        <v>732</v>
      </c>
      <c r="B73" s="679"/>
      <c r="C73" s="105" t="str">
        <f>IF(B73="","",VLOOKUP(B73,'Списки участников'!A:K,3,FALSE))</f>
        <v/>
      </c>
      <c r="D73" s="102" t="str">
        <f>IF(B73="","",VLOOKUP(B73,'Списки участников'!A:K,6,FALSE))</f>
        <v/>
      </c>
      <c r="E73" s="104"/>
      <c r="F73" s="104"/>
      <c r="G73" s="104"/>
      <c r="H73" s="181"/>
      <c r="I73" s="180" t="str">
        <f t="shared" ref="I73:I104" si="20">IF(B73="","",RANK(H73,БЕГ,1))</f>
        <v/>
      </c>
      <c r="J73" s="181"/>
      <c r="K73" s="180" t="str">
        <f t="shared" ref="K73:K104" si="21">IF(B73="","",RANK(J73,ДЛИНА,))</f>
        <v/>
      </c>
      <c r="L73" s="181"/>
      <c r="M73" s="180" t="str">
        <f t="shared" ref="M73:M104" si="22">IF(B73="","",RANK(L73,СКАК,))</f>
        <v/>
      </c>
      <c r="N73" s="181"/>
      <c r="O73" s="180" t="e">
        <f t="shared" si="19"/>
        <v>#N/A</v>
      </c>
      <c r="P73" s="181"/>
      <c r="Q73" s="180" t="str">
        <f t="shared" ref="Q73:Q104" si="23">IF(B73="","",RANK(P73,ПРЕСС,))</f>
        <v/>
      </c>
      <c r="R73" s="181"/>
      <c r="S73" s="180" t="str">
        <f t="shared" ref="S73:S104" si="24">IF(B73="","",RANK(R73,КВАДР,))</f>
        <v/>
      </c>
      <c r="T73" s="479" t="str">
        <f t="shared" ref="T73:T104" si="25">IF(B73="","",I73+K73+M73+Q73+S73)</f>
        <v/>
      </c>
      <c r="U73" s="480" t="str">
        <f t="shared" ref="U73:U104" si="26">IF(B73="","",RANK(T73,Сумма_мест,1))</f>
        <v/>
      </c>
    </row>
    <row r="74" spans="1:21" ht="15.75" x14ac:dyDescent="0.25">
      <c r="A74" s="178" t="s">
        <v>77</v>
      </c>
      <c r="B74" s="679"/>
      <c r="C74" s="105" t="str">
        <f>IF(B74="","",VLOOKUP(B74,'Списки участников'!A:K,3,FALSE))</f>
        <v/>
      </c>
      <c r="D74" s="102" t="str">
        <f>IF(B74="","",VLOOKUP(B74,'Списки участников'!A:K,6,FALSE))</f>
        <v/>
      </c>
      <c r="E74" s="104" t="e">
        <f>MID(C74,1,SEARCH(" ",C74)-1)</f>
        <v>#VALUE!</v>
      </c>
      <c r="F74" s="104" t="e">
        <f>MID(C74,SEARCH(" ",C74)+1,1)</f>
        <v>#VALUE!</v>
      </c>
      <c r="G74" s="104" t="e">
        <f>CONCATENATE(E74," ",F74,".")</f>
        <v>#VALUE!</v>
      </c>
      <c r="H74" s="181"/>
      <c r="I74" s="180" t="str">
        <f t="shared" si="20"/>
        <v/>
      </c>
      <c r="J74" s="181"/>
      <c r="K74" s="180" t="str">
        <f t="shared" si="21"/>
        <v/>
      </c>
      <c r="L74" s="181"/>
      <c r="M74" s="180" t="str">
        <f t="shared" si="22"/>
        <v/>
      </c>
      <c r="N74" s="181"/>
      <c r="O74" s="180" t="e">
        <f t="shared" si="19"/>
        <v>#N/A</v>
      </c>
      <c r="P74" s="181"/>
      <c r="Q74" s="180" t="str">
        <f t="shared" si="23"/>
        <v/>
      </c>
      <c r="R74" s="181"/>
      <c r="S74" s="180" t="str">
        <f t="shared" si="24"/>
        <v/>
      </c>
      <c r="T74" s="479" t="str">
        <f t="shared" si="25"/>
        <v/>
      </c>
      <c r="U74" s="480" t="str">
        <f t="shared" si="26"/>
        <v/>
      </c>
    </row>
    <row r="75" spans="1:21" ht="15.75" x14ac:dyDescent="0.25">
      <c r="A75" s="178" t="s">
        <v>78</v>
      </c>
      <c r="B75" s="679"/>
      <c r="C75" s="105" t="str">
        <f>IF(B75="","",VLOOKUP(B75,'Списки участников'!A:K,3,FALSE))</f>
        <v/>
      </c>
      <c r="D75" s="102" t="str">
        <f>IF(B75="","",VLOOKUP(B75,'Списки участников'!A:K,6,FALSE))</f>
        <v/>
      </c>
      <c r="E75" s="104" t="e">
        <f>MID(C75,1,SEARCH(" ",C75)-1)</f>
        <v>#VALUE!</v>
      </c>
      <c r="F75" s="104" t="e">
        <f>MID(C75,SEARCH(" ",C75)+1,1)</f>
        <v>#VALUE!</v>
      </c>
      <c r="G75" s="104" t="e">
        <f>CONCATENATE(E75," ",F75,".")</f>
        <v>#VALUE!</v>
      </c>
      <c r="H75" s="181"/>
      <c r="I75" s="180" t="str">
        <f t="shared" si="20"/>
        <v/>
      </c>
      <c r="J75" s="181"/>
      <c r="K75" s="180" t="str">
        <f t="shared" si="21"/>
        <v/>
      </c>
      <c r="L75" s="181"/>
      <c r="M75" s="180" t="str">
        <f t="shared" si="22"/>
        <v/>
      </c>
      <c r="N75" s="181"/>
      <c r="O75" s="180" t="e">
        <f t="shared" si="19"/>
        <v>#N/A</v>
      </c>
      <c r="P75" s="181"/>
      <c r="Q75" s="180" t="str">
        <f t="shared" si="23"/>
        <v/>
      </c>
      <c r="R75" s="181"/>
      <c r="S75" s="180" t="str">
        <f t="shared" si="24"/>
        <v/>
      </c>
      <c r="T75" s="479" t="str">
        <f t="shared" si="25"/>
        <v/>
      </c>
      <c r="U75" s="480" t="str">
        <f t="shared" si="26"/>
        <v/>
      </c>
    </row>
    <row r="76" spans="1:21" ht="15.75" x14ac:dyDescent="0.25">
      <c r="A76" s="178" t="s">
        <v>79</v>
      </c>
      <c r="B76" s="679"/>
      <c r="C76" s="105" t="str">
        <f>IF(B76="","",VLOOKUP(B76,'Списки участников'!A:K,3,FALSE))</f>
        <v/>
      </c>
      <c r="D76" s="102" t="str">
        <f>IF(B76="","",VLOOKUP(B76,'Списки участников'!A:K,6,FALSE))</f>
        <v/>
      </c>
      <c r="E76" s="104"/>
      <c r="F76" s="104"/>
      <c r="G76" s="104"/>
      <c r="H76" s="181"/>
      <c r="I76" s="180" t="str">
        <f t="shared" si="20"/>
        <v/>
      </c>
      <c r="J76" s="181"/>
      <c r="K76" s="180" t="str">
        <f t="shared" si="21"/>
        <v/>
      </c>
      <c r="L76" s="181"/>
      <c r="M76" s="180" t="str">
        <f t="shared" si="22"/>
        <v/>
      </c>
      <c r="N76" s="181"/>
      <c r="O76" s="180" t="e">
        <f t="shared" si="19"/>
        <v>#N/A</v>
      </c>
      <c r="P76" s="181"/>
      <c r="Q76" s="180" t="str">
        <f t="shared" si="23"/>
        <v/>
      </c>
      <c r="R76" s="181"/>
      <c r="S76" s="180" t="str">
        <f t="shared" si="24"/>
        <v/>
      </c>
      <c r="T76" s="479" t="str">
        <f t="shared" si="25"/>
        <v/>
      </c>
      <c r="U76" s="480" t="str">
        <f t="shared" si="26"/>
        <v/>
      </c>
    </row>
    <row r="77" spans="1:21" ht="15.75" x14ac:dyDescent="0.25">
      <c r="A77" s="178" t="s">
        <v>733</v>
      </c>
      <c r="B77" s="679"/>
      <c r="C77" s="105" t="str">
        <f>IF(B77="","",VLOOKUP(B77,'Списки участников'!A:K,3,FALSE))</f>
        <v/>
      </c>
      <c r="D77" s="102" t="str">
        <f>IF(B77="","",VLOOKUP(B77,'Списки участников'!A:K,6,FALSE))</f>
        <v/>
      </c>
      <c r="E77" s="104" t="e">
        <f>MID(C77,1,SEARCH(" ",C77)-1)</f>
        <v>#VALUE!</v>
      </c>
      <c r="F77" s="104" t="e">
        <f>MID(C77,SEARCH(" ",C77)+1,1)</f>
        <v>#VALUE!</v>
      </c>
      <c r="G77" s="104" t="e">
        <f>CONCATENATE(E77," ",F77,".")</f>
        <v>#VALUE!</v>
      </c>
      <c r="H77" s="181"/>
      <c r="I77" s="180" t="str">
        <f t="shared" si="20"/>
        <v/>
      </c>
      <c r="J77" s="181"/>
      <c r="K77" s="180" t="str">
        <f t="shared" si="21"/>
        <v/>
      </c>
      <c r="L77" s="181"/>
      <c r="M77" s="180" t="str">
        <f t="shared" si="22"/>
        <v/>
      </c>
      <c r="N77" s="181"/>
      <c r="O77" s="180" t="e">
        <f t="shared" si="19"/>
        <v>#N/A</v>
      </c>
      <c r="P77" s="181"/>
      <c r="Q77" s="180" t="str">
        <f t="shared" si="23"/>
        <v/>
      </c>
      <c r="R77" s="181"/>
      <c r="S77" s="180" t="str">
        <f t="shared" si="24"/>
        <v/>
      </c>
      <c r="T77" s="479" t="str">
        <f t="shared" si="25"/>
        <v/>
      </c>
      <c r="U77" s="480" t="str">
        <f t="shared" si="26"/>
        <v/>
      </c>
    </row>
    <row r="78" spans="1:21" ht="15.75" x14ac:dyDescent="0.25">
      <c r="A78" s="178" t="s">
        <v>81</v>
      </c>
      <c r="B78" s="679"/>
      <c r="C78" s="105" t="str">
        <f>IF(B78="","",VLOOKUP(B78,'Списки участников'!A:K,3,FALSE))</f>
        <v/>
      </c>
      <c r="D78" s="102" t="str">
        <f>IF(B78="","",VLOOKUP(B78,'Списки участников'!A:K,6,FALSE))</f>
        <v/>
      </c>
      <c r="E78" s="104"/>
      <c r="F78" s="104"/>
      <c r="G78" s="104"/>
      <c r="H78" s="181"/>
      <c r="I78" s="180" t="str">
        <f t="shared" si="20"/>
        <v/>
      </c>
      <c r="J78" s="181"/>
      <c r="K78" s="180" t="str">
        <f t="shared" si="21"/>
        <v/>
      </c>
      <c r="L78" s="181"/>
      <c r="M78" s="180" t="str">
        <f t="shared" si="22"/>
        <v/>
      </c>
      <c r="N78" s="181"/>
      <c r="O78" s="180" t="e">
        <f t="shared" si="19"/>
        <v>#N/A</v>
      </c>
      <c r="P78" s="181"/>
      <c r="Q78" s="180" t="str">
        <f t="shared" si="23"/>
        <v/>
      </c>
      <c r="R78" s="181"/>
      <c r="S78" s="180" t="str">
        <f t="shared" si="24"/>
        <v/>
      </c>
      <c r="T78" s="479" t="str">
        <f t="shared" si="25"/>
        <v/>
      </c>
      <c r="U78" s="480" t="str">
        <f t="shared" si="26"/>
        <v/>
      </c>
    </row>
    <row r="79" spans="1:21" ht="15.75" x14ac:dyDescent="0.25">
      <c r="A79" s="178" t="s">
        <v>82</v>
      </c>
      <c r="B79" s="679"/>
      <c r="C79" s="105" t="str">
        <f>IF(B79="","",VLOOKUP(B79,'Списки участников'!A:K,3,FALSE))</f>
        <v/>
      </c>
      <c r="D79" s="102" t="str">
        <f>IF(B79="","",VLOOKUP(B79,'Списки участников'!A:K,6,FALSE))</f>
        <v/>
      </c>
      <c r="E79" s="104"/>
      <c r="F79" s="104"/>
      <c r="G79" s="104"/>
      <c r="H79" s="181"/>
      <c r="I79" s="180" t="str">
        <f t="shared" si="20"/>
        <v/>
      </c>
      <c r="J79" s="181"/>
      <c r="K79" s="180" t="str">
        <f t="shared" si="21"/>
        <v/>
      </c>
      <c r="L79" s="181"/>
      <c r="M79" s="180" t="str">
        <f t="shared" si="22"/>
        <v/>
      </c>
      <c r="N79" s="181"/>
      <c r="O79" s="180" t="e">
        <f t="shared" si="19"/>
        <v>#N/A</v>
      </c>
      <c r="P79" s="181"/>
      <c r="Q79" s="180" t="str">
        <f t="shared" si="23"/>
        <v/>
      </c>
      <c r="R79" s="181"/>
      <c r="S79" s="180" t="str">
        <f t="shared" si="24"/>
        <v/>
      </c>
      <c r="T79" s="479" t="str">
        <f t="shared" si="25"/>
        <v/>
      </c>
      <c r="U79" s="480" t="str">
        <f t="shared" si="26"/>
        <v/>
      </c>
    </row>
    <row r="80" spans="1:21" ht="15.75" x14ac:dyDescent="0.25">
      <c r="A80" s="178" t="s">
        <v>86</v>
      </c>
      <c r="B80" s="679"/>
      <c r="C80" s="105" t="str">
        <f>IF(B80="","",VLOOKUP(B80,'Списки участников'!A:K,3,FALSE))</f>
        <v/>
      </c>
      <c r="D80" s="102" t="str">
        <f>IF(B80="","",VLOOKUP(B80,'Списки участников'!A:K,6,FALSE))</f>
        <v/>
      </c>
      <c r="E80" s="104" t="e">
        <f>MID(C80,1,SEARCH(" ",C80)-1)</f>
        <v>#VALUE!</v>
      </c>
      <c r="F80" s="104" t="e">
        <f>MID(C80,SEARCH(" ",C80)+1,1)</f>
        <v>#VALUE!</v>
      </c>
      <c r="G80" s="104" t="e">
        <f>CONCATENATE(E80," ",F80,".")</f>
        <v>#VALUE!</v>
      </c>
      <c r="H80" s="181"/>
      <c r="I80" s="180" t="str">
        <f t="shared" si="20"/>
        <v/>
      </c>
      <c r="J80" s="181"/>
      <c r="K80" s="180" t="str">
        <f t="shared" si="21"/>
        <v/>
      </c>
      <c r="L80" s="181"/>
      <c r="M80" s="180" t="str">
        <f t="shared" si="22"/>
        <v/>
      </c>
      <c r="N80" s="181"/>
      <c r="O80" s="180" t="e">
        <f t="shared" si="19"/>
        <v>#N/A</v>
      </c>
      <c r="P80" s="181"/>
      <c r="Q80" s="180" t="str">
        <f t="shared" si="23"/>
        <v/>
      </c>
      <c r="R80" s="181"/>
      <c r="S80" s="180" t="str">
        <f t="shared" si="24"/>
        <v/>
      </c>
      <c r="T80" s="479" t="str">
        <f t="shared" si="25"/>
        <v/>
      </c>
      <c r="U80" s="480" t="str">
        <f t="shared" si="26"/>
        <v/>
      </c>
    </row>
    <row r="81" spans="1:21" ht="15.75" x14ac:dyDescent="0.25">
      <c r="A81" s="178" t="s">
        <v>87</v>
      </c>
      <c r="B81" s="679"/>
      <c r="C81" s="105" t="str">
        <f>IF(B81="","",VLOOKUP(B81,'Списки участников'!A:K,3,FALSE))</f>
        <v/>
      </c>
      <c r="D81" s="102" t="str">
        <f>IF(B81="","",VLOOKUP(B81,'Списки участников'!A:K,6,FALSE))</f>
        <v/>
      </c>
      <c r="E81" s="104" t="e">
        <f>MID(C81,1,SEARCH(" ",C81)-1)</f>
        <v>#VALUE!</v>
      </c>
      <c r="F81" s="104" t="e">
        <f>MID(C81,SEARCH(" ",C81)+1,1)</f>
        <v>#VALUE!</v>
      </c>
      <c r="G81" s="104" t="e">
        <f>CONCATENATE(E81," ",F81,".")</f>
        <v>#VALUE!</v>
      </c>
      <c r="H81" s="181"/>
      <c r="I81" s="180" t="str">
        <f t="shared" si="20"/>
        <v/>
      </c>
      <c r="J81" s="181"/>
      <c r="K81" s="180" t="str">
        <f t="shared" si="21"/>
        <v/>
      </c>
      <c r="L81" s="181"/>
      <c r="M81" s="180" t="str">
        <f t="shared" si="22"/>
        <v/>
      </c>
      <c r="N81" s="181"/>
      <c r="O81" s="180" t="e">
        <f t="shared" si="19"/>
        <v>#N/A</v>
      </c>
      <c r="P81" s="181"/>
      <c r="Q81" s="180" t="str">
        <f t="shared" si="23"/>
        <v/>
      </c>
      <c r="R81" s="181"/>
      <c r="S81" s="180" t="str">
        <f t="shared" si="24"/>
        <v/>
      </c>
      <c r="T81" s="479" t="str">
        <f t="shared" si="25"/>
        <v/>
      </c>
      <c r="U81" s="480" t="str">
        <f t="shared" si="26"/>
        <v/>
      </c>
    </row>
    <row r="82" spans="1:21" ht="15.75" x14ac:dyDescent="0.25">
      <c r="A82" s="178" t="s">
        <v>88</v>
      </c>
      <c r="B82" s="679"/>
      <c r="C82" s="105" t="str">
        <f>IF(B82="","",VLOOKUP(B82,'Списки участников'!A:K,3,FALSE))</f>
        <v/>
      </c>
      <c r="D82" s="102" t="str">
        <f>IF(B82="","",VLOOKUP(B82,'Списки участников'!A:K,6,FALSE))</f>
        <v/>
      </c>
      <c r="E82" s="104" t="e">
        <f>MID(C82,1,SEARCH(" ",C82)-1)</f>
        <v>#VALUE!</v>
      </c>
      <c r="F82" s="104" t="e">
        <f>MID(C82,SEARCH(" ",C82)+1,1)</f>
        <v>#VALUE!</v>
      </c>
      <c r="G82" s="104" t="e">
        <f>CONCATENATE(E82," ",F82,".")</f>
        <v>#VALUE!</v>
      </c>
      <c r="H82" s="181"/>
      <c r="I82" s="180" t="str">
        <f t="shared" si="20"/>
        <v/>
      </c>
      <c r="J82" s="181"/>
      <c r="K82" s="180" t="str">
        <f t="shared" si="21"/>
        <v/>
      </c>
      <c r="L82" s="181"/>
      <c r="M82" s="180" t="str">
        <f t="shared" si="22"/>
        <v/>
      </c>
      <c r="N82" s="181"/>
      <c r="O82" s="180" t="e">
        <f t="shared" si="19"/>
        <v>#N/A</v>
      </c>
      <c r="P82" s="181"/>
      <c r="Q82" s="180" t="str">
        <f t="shared" si="23"/>
        <v/>
      </c>
      <c r="R82" s="181"/>
      <c r="S82" s="180" t="str">
        <f t="shared" si="24"/>
        <v/>
      </c>
      <c r="T82" s="479" t="str">
        <f t="shared" si="25"/>
        <v/>
      </c>
      <c r="U82" s="480" t="str">
        <f t="shared" si="26"/>
        <v/>
      </c>
    </row>
    <row r="83" spans="1:21" ht="15.75" x14ac:dyDescent="0.25">
      <c r="A83" s="178" t="s">
        <v>861</v>
      </c>
      <c r="B83" s="679"/>
      <c r="C83" s="105" t="str">
        <f>IF(B83="","",VLOOKUP(B83,'Списки участников'!A:K,3,FALSE))</f>
        <v/>
      </c>
      <c r="D83" s="102" t="str">
        <f>IF(B83="","",VLOOKUP(B83,'Списки участников'!A:K,6,FALSE))</f>
        <v/>
      </c>
      <c r="E83" s="104"/>
      <c r="F83" s="104"/>
      <c r="G83" s="104"/>
      <c r="H83" s="181"/>
      <c r="I83" s="180" t="str">
        <f t="shared" si="20"/>
        <v/>
      </c>
      <c r="J83" s="181"/>
      <c r="K83" s="180" t="str">
        <f t="shared" si="21"/>
        <v/>
      </c>
      <c r="L83" s="181"/>
      <c r="M83" s="180" t="str">
        <f t="shared" si="22"/>
        <v/>
      </c>
      <c r="N83" s="181"/>
      <c r="O83" s="180" t="e">
        <f t="shared" si="19"/>
        <v>#N/A</v>
      </c>
      <c r="P83" s="181"/>
      <c r="Q83" s="180" t="str">
        <f t="shared" si="23"/>
        <v/>
      </c>
      <c r="R83" s="181"/>
      <c r="S83" s="180" t="str">
        <f t="shared" si="24"/>
        <v/>
      </c>
      <c r="T83" s="479" t="str">
        <f t="shared" si="25"/>
        <v/>
      </c>
      <c r="U83" s="480" t="str">
        <f t="shared" si="26"/>
        <v/>
      </c>
    </row>
    <row r="84" spans="1:21" ht="15.75" x14ac:dyDescent="0.25">
      <c r="A84" s="178" t="s">
        <v>862</v>
      </c>
      <c r="B84" s="679"/>
      <c r="C84" s="105" t="str">
        <f>IF(B84="","",VLOOKUP(B84,'Списки участников'!A:K,3,FALSE))</f>
        <v/>
      </c>
      <c r="D84" s="102" t="str">
        <f>IF(B84="","",VLOOKUP(B84,'Списки участников'!A:K,6,FALSE))</f>
        <v/>
      </c>
      <c r="E84" s="104" t="e">
        <f t="shared" ref="E84:E89" si="27">MID(C84,1,SEARCH(" ",C84)-1)</f>
        <v>#VALUE!</v>
      </c>
      <c r="F84" s="104" t="e">
        <f t="shared" ref="F84:F89" si="28">MID(C84,SEARCH(" ",C84)+1,1)</f>
        <v>#VALUE!</v>
      </c>
      <c r="G84" s="104" t="e">
        <f t="shared" ref="G84:G89" si="29">CONCATENATE(E84," ",F84,".")</f>
        <v>#VALUE!</v>
      </c>
      <c r="H84" s="181"/>
      <c r="I84" s="180" t="str">
        <f t="shared" si="20"/>
        <v/>
      </c>
      <c r="J84" s="181"/>
      <c r="K84" s="180" t="str">
        <f t="shared" si="21"/>
        <v/>
      </c>
      <c r="L84" s="181"/>
      <c r="M84" s="180" t="str">
        <f t="shared" si="22"/>
        <v/>
      </c>
      <c r="N84" s="181"/>
      <c r="O84" s="180" t="e">
        <f t="shared" si="19"/>
        <v>#N/A</v>
      </c>
      <c r="P84" s="181"/>
      <c r="Q84" s="180" t="str">
        <f t="shared" si="23"/>
        <v/>
      </c>
      <c r="R84" s="181"/>
      <c r="S84" s="180" t="str">
        <f t="shared" si="24"/>
        <v/>
      </c>
      <c r="T84" s="479" t="str">
        <f t="shared" si="25"/>
        <v/>
      </c>
      <c r="U84" s="480" t="str">
        <f t="shared" si="26"/>
        <v/>
      </c>
    </row>
    <row r="85" spans="1:21" ht="15.75" x14ac:dyDescent="0.25">
      <c r="A85" s="178" t="s">
        <v>863</v>
      </c>
      <c r="B85" s="679"/>
      <c r="C85" s="105" t="str">
        <f>IF(B85="","",VLOOKUP(B85,'Списки участников'!A:K,3,FALSE))</f>
        <v/>
      </c>
      <c r="D85" s="102" t="str">
        <f>IF(B85="","",VLOOKUP(B85,'Списки участников'!A:K,6,FALSE))</f>
        <v/>
      </c>
      <c r="E85" s="104" t="e">
        <f t="shared" si="27"/>
        <v>#VALUE!</v>
      </c>
      <c r="F85" s="104" t="e">
        <f t="shared" si="28"/>
        <v>#VALUE!</v>
      </c>
      <c r="G85" s="104" t="e">
        <f t="shared" si="29"/>
        <v>#VALUE!</v>
      </c>
      <c r="H85" s="181"/>
      <c r="I85" s="180" t="str">
        <f t="shared" si="20"/>
        <v/>
      </c>
      <c r="J85" s="181"/>
      <c r="K85" s="180" t="str">
        <f t="shared" si="21"/>
        <v/>
      </c>
      <c r="L85" s="181"/>
      <c r="M85" s="180" t="str">
        <f t="shared" si="22"/>
        <v/>
      </c>
      <c r="N85" s="181"/>
      <c r="O85" s="180" t="e">
        <f t="shared" si="19"/>
        <v>#N/A</v>
      </c>
      <c r="P85" s="181"/>
      <c r="Q85" s="180" t="str">
        <f t="shared" si="23"/>
        <v/>
      </c>
      <c r="R85" s="181"/>
      <c r="S85" s="180" t="str">
        <f t="shared" si="24"/>
        <v/>
      </c>
      <c r="T85" s="479" t="str">
        <f t="shared" si="25"/>
        <v/>
      </c>
      <c r="U85" s="480" t="str">
        <f t="shared" si="26"/>
        <v/>
      </c>
    </row>
    <row r="86" spans="1:21" ht="15.75" x14ac:dyDescent="0.25">
      <c r="A86" s="178" t="s">
        <v>864</v>
      </c>
      <c r="B86" s="679"/>
      <c r="C86" s="105" t="str">
        <f>IF(B86="","",VLOOKUP(B86,'Списки участников'!A:K,3,FALSE))</f>
        <v/>
      </c>
      <c r="D86" s="102" t="str">
        <f>IF(B86="","",VLOOKUP(B86,'Списки участников'!A:K,6,FALSE))</f>
        <v/>
      </c>
      <c r="E86" s="104" t="e">
        <f t="shared" si="27"/>
        <v>#VALUE!</v>
      </c>
      <c r="F86" s="104" t="e">
        <f t="shared" si="28"/>
        <v>#VALUE!</v>
      </c>
      <c r="G86" s="104" t="e">
        <f t="shared" si="29"/>
        <v>#VALUE!</v>
      </c>
      <c r="H86" s="181"/>
      <c r="I86" s="180" t="str">
        <f t="shared" si="20"/>
        <v/>
      </c>
      <c r="J86" s="181"/>
      <c r="K86" s="180" t="str">
        <f t="shared" si="21"/>
        <v/>
      </c>
      <c r="L86" s="181"/>
      <c r="M86" s="180" t="str">
        <f t="shared" si="22"/>
        <v/>
      </c>
      <c r="N86" s="181"/>
      <c r="O86" s="180" t="e">
        <f t="shared" si="19"/>
        <v>#N/A</v>
      </c>
      <c r="P86" s="181"/>
      <c r="Q86" s="180" t="str">
        <f t="shared" si="23"/>
        <v/>
      </c>
      <c r="R86" s="181"/>
      <c r="S86" s="180" t="str">
        <f t="shared" si="24"/>
        <v/>
      </c>
      <c r="T86" s="479" t="str">
        <f t="shared" si="25"/>
        <v/>
      </c>
      <c r="U86" s="480" t="str">
        <f t="shared" si="26"/>
        <v/>
      </c>
    </row>
    <row r="87" spans="1:21" ht="15.75" x14ac:dyDescent="0.25">
      <c r="A87" s="178" t="s">
        <v>865</v>
      </c>
      <c r="B87" s="679"/>
      <c r="C87" s="105" t="str">
        <f>IF(B87="","",VLOOKUP(B87,'Списки участников'!A:K,3,FALSE))</f>
        <v/>
      </c>
      <c r="D87" s="102" t="str">
        <f>IF(B87="","",VLOOKUP(B87,'Списки участников'!A:K,6,FALSE))</f>
        <v/>
      </c>
      <c r="E87" s="104" t="e">
        <f t="shared" si="27"/>
        <v>#VALUE!</v>
      </c>
      <c r="F87" s="104" t="e">
        <f t="shared" si="28"/>
        <v>#VALUE!</v>
      </c>
      <c r="G87" s="104" t="e">
        <f t="shared" si="29"/>
        <v>#VALUE!</v>
      </c>
      <c r="H87" s="181"/>
      <c r="I87" s="180" t="str">
        <f t="shared" si="20"/>
        <v/>
      </c>
      <c r="J87" s="181"/>
      <c r="K87" s="180" t="str">
        <f t="shared" si="21"/>
        <v/>
      </c>
      <c r="L87" s="181"/>
      <c r="M87" s="180" t="str">
        <f t="shared" si="22"/>
        <v/>
      </c>
      <c r="N87" s="181"/>
      <c r="O87" s="180" t="e">
        <f t="shared" si="19"/>
        <v>#N/A</v>
      </c>
      <c r="P87" s="181"/>
      <c r="Q87" s="180" t="str">
        <f t="shared" si="23"/>
        <v/>
      </c>
      <c r="R87" s="181"/>
      <c r="S87" s="180" t="str">
        <f t="shared" si="24"/>
        <v/>
      </c>
      <c r="T87" s="479" t="str">
        <f t="shared" si="25"/>
        <v/>
      </c>
      <c r="U87" s="480" t="str">
        <f t="shared" si="26"/>
        <v/>
      </c>
    </row>
    <row r="88" spans="1:21" ht="15.75" x14ac:dyDescent="0.25">
      <c r="A88" s="178" t="s">
        <v>866</v>
      </c>
      <c r="B88" s="679"/>
      <c r="C88" s="105" t="str">
        <f>IF(B88="","",VLOOKUP(B88,'Списки участников'!A:K,3,FALSE))</f>
        <v/>
      </c>
      <c r="D88" s="102" t="str">
        <f>IF(B88="","",VLOOKUP(B88,'Списки участников'!A:K,6,FALSE))</f>
        <v/>
      </c>
      <c r="E88" s="104" t="e">
        <f t="shared" si="27"/>
        <v>#VALUE!</v>
      </c>
      <c r="F88" s="104" t="e">
        <f t="shared" si="28"/>
        <v>#VALUE!</v>
      </c>
      <c r="G88" s="104" t="e">
        <f t="shared" si="29"/>
        <v>#VALUE!</v>
      </c>
      <c r="H88" s="181"/>
      <c r="I88" s="180" t="str">
        <f t="shared" si="20"/>
        <v/>
      </c>
      <c r="J88" s="181"/>
      <c r="K88" s="180" t="str">
        <f t="shared" si="21"/>
        <v/>
      </c>
      <c r="L88" s="181"/>
      <c r="M88" s="180" t="str">
        <f t="shared" si="22"/>
        <v/>
      </c>
      <c r="N88" s="181"/>
      <c r="O88" s="180" t="e">
        <f t="shared" ref="O88:O105" si="30">IF(C88=0,"",RANK(N88,ОТЖИМ,))</f>
        <v>#N/A</v>
      </c>
      <c r="P88" s="181"/>
      <c r="Q88" s="180" t="str">
        <f t="shared" si="23"/>
        <v/>
      </c>
      <c r="R88" s="181"/>
      <c r="S88" s="180" t="str">
        <f t="shared" si="24"/>
        <v/>
      </c>
      <c r="T88" s="479" t="str">
        <f t="shared" si="25"/>
        <v/>
      </c>
      <c r="U88" s="480" t="str">
        <f t="shared" si="26"/>
        <v/>
      </c>
    </row>
    <row r="89" spans="1:21" ht="15.75" x14ac:dyDescent="0.25">
      <c r="A89" s="178" t="s">
        <v>867</v>
      </c>
      <c r="B89" s="679"/>
      <c r="C89" s="105" t="str">
        <f>IF(B89="","",VLOOKUP(B89,'Списки участников'!A:K,3,FALSE))</f>
        <v/>
      </c>
      <c r="D89" s="102" t="str">
        <f>IF(B89="","",VLOOKUP(B89,'Списки участников'!A:K,6,FALSE))</f>
        <v/>
      </c>
      <c r="E89" s="104" t="e">
        <f t="shared" si="27"/>
        <v>#VALUE!</v>
      </c>
      <c r="F89" s="104" t="e">
        <f t="shared" si="28"/>
        <v>#VALUE!</v>
      </c>
      <c r="G89" s="104" t="e">
        <f t="shared" si="29"/>
        <v>#VALUE!</v>
      </c>
      <c r="H89" s="181"/>
      <c r="I89" s="180" t="str">
        <f t="shared" si="20"/>
        <v/>
      </c>
      <c r="J89" s="181"/>
      <c r="K89" s="180" t="str">
        <f t="shared" si="21"/>
        <v/>
      </c>
      <c r="L89" s="181"/>
      <c r="M89" s="180" t="str">
        <f t="shared" si="22"/>
        <v/>
      </c>
      <c r="N89" s="181"/>
      <c r="O89" s="180" t="e">
        <f t="shared" si="30"/>
        <v>#N/A</v>
      </c>
      <c r="P89" s="181"/>
      <c r="Q89" s="180" t="str">
        <f t="shared" si="23"/>
        <v/>
      </c>
      <c r="R89" s="181"/>
      <c r="S89" s="180" t="str">
        <f t="shared" si="24"/>
        <v/>
      </c>
      <c r="T89" s="479" t="str">
        <f t="shared" si="25"/>
        <v/>
      </c>
      <c r="U89" s="480" t="str">
        <f t="shared" si="26"/>
        <v/>
      </c>
    </row>
    <row r="90" spans="1:21" ht="15.75" x14ac:dyDescent="0.25">
      <c r="A90" s="178" t="s">
        <v>868</v>
      </c>
      <c r="B90" s="679"/>
      <c r="C90" s="105" t="str">
        <f>IF(B90="","",VLOOKUP(B90,'Списки участников'!A:K,3,FALSE))</f>
        <v/>
      </c>
      <c r="D90" s="102" t="str">
        <f>IF(B90="","",VLOOKUP(B90,'Списки участников'!A:K,6,FALSE))</f>
        <v/>
      </c>
      <c r="E90" s="104"/>
      <c r="F90" s="104"/>
      <c r="G90" s="104"/>
      <c r="H90" s="181"/>
      <c r="I90" s="180" t="str">
        <f t="shared" si="20"/>
        <v/>
      </c>
      <c r="J90" s="181"/>
      <c r="K90" s="180" t="str">
        <f t="shared" si="21"/>
        <v/>
      </c>
      <c r="L90" s="181"/>
      <c r="M90" s="180" t="str">
        <f t="shared" si="22"/>
        <v/>
      </c>
      <c r="N90" s="181"/>
      <c r="O90" s="180" t="e">
        <f t="shared" si="30"/>
        <v>#N/A</v>
      </c>
      <c r="P90" s="181"/>
      <c r="Q90" s="180" t="str">
        <f t="shared" si="23"/>
        <v/>
      </c>
      <c r="R90" s="181"/>
      <c r="S90" s="180" t="str">
        <f t="shared" si="24"/>
        <v/>
      </c>
      <c r="T90" s="479" t="str">
        <f t="shared" si="25"/>
        <v/>
      </c>
      <c r="U90" s="480" t="str">
        <f t="shared" si="26"/>
        <v/>
      </c>
    </row>
    <row r="91" spans="1:21" ht="15.75" x14ac:dyDescent="0.25">
      <c r="A91" s="178" t="s">
        <v>94</v>
      </c>
      <c r="B91" s="679"/>
      <c r="C91" s="105" t="str">
        <f>IF(B91="","",VLOOKUP(B91,'Списки участников'!A:K,3,FALSE))</f>
        <v/>
      </c>
      <c r="D91" s="102" t="str">
        <f>IF(B91="","",VLOOKUP(B91,'Списки участников'!A:K,6,FALSE))</f>
        <v/>
      </c>
      <c r="E91" s="104" t="e">
        <f t="shared" ref="E91:E96" si="31">MID(C91,1,SEARCH(" ",C91)-1)</f>
        <v>#VALUE!</v>
      </c>
      <c r="F91" s="104" t="e">
        <f t="shared" ref="F91:F96" si="32">MID(C91,SEARCH(" ",C91)+1,1)</f>
        <v>#VALUE!</v>
      </c>
      <c r="G91" s="104" t="e">
        <f t="shared" ref="G91:G96" si="33">CONCATENATE(E91," ",F91,".")</f>
        <v>#VALUE!</v>
      </c>
      <c r="H91" s="181"/>
      <c r="I91" s="180" t="str">
        <f t="shared" si="20"/>
        <v/>
      </c>
      <c r="J91" s="181"/>
      <c r="K91" s="180" t="str">
        <f t="shared" si="21"/>
        <v/>
      </c>
      <c r="L91" s="181"/>
      <c r="M91" s="180" t="str">
        <f t="shared" si="22"/>
        <v/>
      </c>
      <c r="N91" s="181"/>
      <c r="O91" s="180" t="e">
        <f t="shared" si="30"/>
        <v>#N/A</v>
      </c>
      <c r="P91" s="181"/>
      <c r="Q91" s="180" t="str">
        <f t="shared" si="23"/>
        <v/>
      </c>
      <c r="R91" s="181"/>
      <c r="S91" s="180" t="str">
        <f t="shared" si="24"/>
        <v/>
      </c>
      <c r="T91" s="479" t="str">
        <f t="shared" si="25"/>
        <v/>
      </c>
      <c r="U91" s="480" t="str">
        <f t="shared" si="26"/>
        <v/>
      </c>
    </row>
    <row r="92" spans="1:21" ht="15.75" x14ac:dyDescent="0.25">
      <c r="A92" s="178" t="s">
        <v>95</v>
      </c>
      <c r="B92" s="679"/>
      <c r="C92" s="105" t="str">
        <f>IF(B92="","",VLOOKUP(B92,'Списки участников'!A:K,3,FALSE))</f>
        <v/>
      </c>
      <c r="D92" s="102" t="str">
        <f>IF(B92="","",VLOOKUP(B92,'Списки участников'!A:K,6,FALSE))</f>
        <v/>
      </c>
      <c r="E92" s="104" t="e">
        <f t="shared" si="31"/>
        <v>#VALUE!</v>
      </c>
      <c r="F92" s="104" t="e">
        <f t="shared" si="32"/>
        <v>#VALUE!</v>
      </c>
      <c r="G92" s="104" t="e">
        <f t="shared" si="33"/>
        <v>#VALUE!</v>
      </c>
      <c r="H92" s="181"/>
      <c r="I92" s="180" t="str">
        <f t="shared" si="20"/>
        <v/>
      </c>
      <c r="J92" s="181"/>
      <c r="K92" s="180" t="str">
        <f t="shared" si="21"/>
        <v/>
      </c>
      <c r="L92" s="181"/>
      <c r="M92" s="180" t="str">
        <f t="shared" si="22"/>
        <v/>
      </c>
      <c r="N92" s="181"/>
      <c r="O92" s="180" t="e">
        <f t="shared" si="30"/>
        <v>#N/A</v>
      </c>
      <c r="P92" s="181"/>
      <c r="Q92" s="180" t="str">
        <f t="shared" si="23"/>
        <v/>
      </c>
      <c r="R92" s="181"/>
      <c r="S92" s="180" t="str">
        <f t="shared" si="24"/>
        <v/>
      </c>
      <c r="T92" s="479" t="str">
        <f t="shared" si="25"/>
        <v/>
      </c>
      <c r="U92" s="480" t="str">
        <f t="shared" si="26"/>
        <v/>
      </c>
    </row>
    <row r="93" spans="1:21" ht="15.75" x14ac:dyDescent="0.25">
      <c r="A93" s="178" t="s">
        <v>96</v>
      </c>
      <c r="B93" s="679"/>
      <c r="C93" s="105" t="str">
        <f>IF(B93="","",VLOOKUP(B93,'Списки участников'!A:K,3,FALSE))</f>
        <v/>
      </c>
      <c r="D93" s="102" t="str">
        <f>IF(B93="","",VLOOKUP(B93,'Списки участников'!A:K,6,FALSE))</f>
        <v/>
      </c>
      <c r="E93" s="104" t="e">
        <f t="shared" si="31"/>
        <v>#VALUE!</v>
      </c>
      <c r="F93" s="104" t="e">
        <f t="shared" si="32"/>
        <v>#VALUE!</v>
      </c>
      <c r="G93" s="104" t="e">
        <f t="shared" si="33"/>
        <v>#VALUE!</v>
      </c>
      <c r="H93" s="181"/>
      <c r="I93" s="180" t="str">
        <f t="shared" si="20"/>
        <v/>
      </c>
      <c r="J93" s="181"/>
      <c r="K93" s="180" t="str">
        <f t="shared" si="21"/>
        <v/>
      </c>
      <c r="L93" s="181"/>
      <c r="M93" s="180" t="str">
        <f t="shared" si="22"/>
        <v/>
      </c>
      <c r="N93" s="181"/>
      <c r="O93" s="180" t="e">
        <f t="shared" si="30"/>
        <v>#N/A</v>
      </c>
      <c r="P93" s="181"/>
      <c r="Q93" s="180" t="str">
        <f t="shared" si="23"/>
        <v/>
      </c>
      <c r="R93" s="181"/>
      <c r="S93" s="180" t="str">
        <f t="shared" si="24"/>
        <v/>
      </c>
      <c r="T93" s="479" t="str">
        <f t="shared" si="25"/>
        <v/>
      </c>
      <c r="U93" s="480" t="str">
        <f t="shared" si="26"/>
        <v/>
      </c>
    </row>
    <row r="94" spans="1:21" ht="15.75" x14ac:dyDescent="0.25">
      <c r="A94" s="178" t="s">
        <v>97</v>
      </c>
      <c r="B94" s="679"/>
      <c r="C94" s="105" t="str">
        <f>IF(B94="","",VLOOKUP(B94,'Списки участников'!A:K,3,FALSE))</f>
        <v/>
      </c>
      <c r="D94" s="102" t="str">
        <f>IF(B94="","",VLOOKUP(B94,'Списки участников'!A:K,6,FALSE))</f>
        <v/>
      </c>
      <c r="E94" s="104" t="e">
        <f t="shared" si="31"/>
        <v>#VALUE!</v>
      </c>
      <c r="F94" s="104" t="e">
        <f t="shared" si="32"/>
        <v>#VALUE!</v>
      </c>
      <c r="G94" s="104" t="e">
        <f t="shared" si="33"/>
        <v>#VALUE!</v>
      </c>
      <c r="H94" s="181"/>
      <c r="I94" s="180" t="str">
        <f t="shared" si="20"/>
        <v/>
      </c>
      <c r="J94" s="181"/>
      <c r="K94" s="180" t="str">
        <f t="shared" si="21"/>
        <v/>
      </c>
      <c r="L94" s="181"/>
      <c r="M94" s="180" t="str">
        <f t="shared" si="22"/>
        <v/>
      </c>
      <c r="N94" s="181"/>
      <c r="O94" s="180" t="e">
        <f t="shared" si="30"/>
        <v>#N/A</v>
      </c>
      <c r="P94" s="181"/>
      <c r="Q94" s="180" t="str">
        <f t="shared" si="23"/>
        <v/>
      </c>
      <c r="R94" s="181"/>
      <c r="S94" s="180" t="str">
        <f t="shared" si="24"/>
        <v/>
      </c>
      <c r="T94" s="479" t="str">
        <f t="shared" si="25"/>
        <v/>
      </c>
      <c r="U94" s="480" t="str">
        <f t="shared" si="26"/>
        <v/>
      </c>
    </row>
    <row r="95" spans="1:21" ht="15.75" x14ac:dyDescent="0.25">
      <c r="A95" s="178" t="s">
        <v>869</v>
      </c>
      <c r="B95" s="679"/>
      <c r="C95" s="105" t="str">
        <f>IF(B95="","",VLOOKUP(B95,'Списки участников'!A:K,3,FALSE))</f>
        <v/>
      </c>
      <c r="D95" s="102" t="str">
        <f>IF(B95="","",VLOOKUP(B95,'Списки участников'!A:K,6,FALSE))</f>
        <v/>
      </c>
      <c r="E95" s="104" t="e">
        <f t="shared" si="31"/>
        <v>#VALUE!</v>
      </c>
      <c r="F95" s="104" t="e">
        <f t="shared" si="32"/>
        <v>#VALUE!</v>
      </c>
      <c r="G95" s="104" t="e">
        <f t="shared" si="33"/>
        <v>#VALUE!</v>
      </c>
      <c r="H95" s="181"/>
      <c r="I95" s="180" t="str">
        <f t="shared" si="20"/>
        <v/>
      </c>
      <c r="J95" s="181"/>
      <c r="K95" s="180" t="str">
        <f t="shared" si="21"/>
        <v/>
      </c>
      <c r="L95" s="181"/>
      <c r="M95" s="180" t="str">
        <f t="shared" si="22"/>
        <v/>
      </c>
      <c r="N95" s="181"/>
      <c r="O95" s="180" t="e">
        <f t="shared" si="30"/>
        <v>#N/A</v>
      </c>
      <c r="P95" s="181"/>
      <c r="Q95" s="180" t="str">
        <f t="shared" si="23"/>
        <v/>
      </c>
      <c r="R95" s="181"/>
      <c r="S95" s="180" t="str">
        <f t="shared" si="24"/>
        <v/>
      </c>
      <c r="T95" s="479" t="str">
        <f t="shared" si="25"/>
        <v/>
      </c>
      <c r="U95" s="480" t="str">
        <f t="shared" si="26"/>
        <v/>
      </c>
    </row>
    <row r="96" spans="1:21" ht="15.75" x14ac:dyDescent="0.25">
      <c r="A96" s="178" t="s">
        <v>870</v>
      </c>
      <c r="B96" s="679"/>
      <c r="C96" s="105" t="str">
        <f>IF(B96="","",VLOOKUP(B96,'Списки участников'!A:K,3,FALSE))</f>
        <v/>
      </c>
      <c r="D96" s="102" t="str">
        <f>IF(B96="","",VLOOKUP(B96,'Списки участников'!A:K,6,FALSE))</f>
        <v/>
      </c>
      <c r="E96" s="104" t="e">
        <f t="shared" si="31"/>
        <v>#VALUE!</v>
      </c>
      <c r="F96" s="104" t="e">
        <f t="shared" si="32"/>
        <v>#VALUE!</v>
      </c>
      <c r="G96" s="104" t="e">
        <f t="shared" si="33"/>
        <v>#VALUE!</v>
      </c>
      <c r="H96" s="181"/>
      <c r="I96" s="180" t="str">
        <f t="shared" si="20"/>
        <v/>
      </c>
      <c r="J96" s="181"/>
      <c r="K96" s="180" t="str">
        <f t="shared" si="21"/>
        <v/>
      </c>
      <c r="L96" s="181"/>
      <c r="M96" s="180" t="str">
        <f t="shared" si="22"/>
        <v/>
      </c>
      <c r="N96" s="181"/>
      <c r="O96" s="180" t="e">
        <f t="shared" si="30"/>
        <v>#N/A</v>
      </c>
      <c r="P96" s="181"/>
      <c r="Q96" s="180" t="str">
        <f t="shared" si="23"/>
        <v/>
      </c>
      <c r="R96" s="181"/>
      <c r="S96" s="180" t="str">
        <f t="shared" si="24"/>
        <v/>
      </c>
      <c r="T96" s="479" t="str">
        <f t="shared" si="25"/>
        <v/>
      </c>
      <c r="U96" s="480" t="str">
        <f t="shared" si="26"/>
        <v/>
      </c>
    </row>
    <row r="97" spans="1:21" ht="15.75" x14ac:dyDescent="0.25">
      <c r="A97" s="178" t="s">
        <v>871</v>
      </c>
      <c r="B97" s="679"/>
      <c r="C97" s="105" t="str">
        <f>IF(B97="","",VLOOKUP(B97,'Списки участников'!A:K,3,FALSE))</f>
        <v/>
      </c>
      <c r="D97" s="102" t="str">
        <f>IF(B97="","",VLOOKUP(B97,'Списки участников'!A:K,6,FALSE))</f>
        <v/>
      </c>
      <c r="E97" s="104"/>
      <c r="F97" s="104"/>
      <c r="G97" s="104"/>
      <c r="H97" s="181"/>
      <c r="I97" s="180" t="str">
        <f t="shared" si="20"/>
        <v/>
      </c>
      <c r="J97" s="181"/>
      <c r="K97" s="180" t="str">
        <f t="shared" si="21"/>
        <v/>
      </c>
      <c r="L97" s="181"/>
      <c r="M97" s="180" t="str">
        <f t="shared" si="22"/>
        <v/>
      </c>
      <c r="N97" s="181"/>
      <c r="O97" s="180" t="e">
        <f t="shared" si="30"/>
        <v>#N/A</v>
      </c>
      <c r="P97" s="181"/>
      <c r="Q97" s="180" t="str">
        <f t="shared" si="23"/>
        <v/>
      </c>
      <c r="R97" s="181"/>
      <c r="S97" s="180" t="str">
        <f t="shared" si="24"/>
        <v/>
      </c>
      <c r="T97" s="479" t="str">
        <f t="shared" si="25"/>
        <v/>
      </c>
      <c r="U97" s="480" t="str">
        <f t="shared" si="26"/>
        <v/>
      </c>
    </row>
    <row r="98" spans="1:21" ht="15.75" x14ac:dyDescent="0.25">
      <c r="A98" s="178" t="s">
        <v>872</v>
      </c>
      <c r="B98" s="679"/>
      <c r="C98" s="105" t="str">
        <f>IF(B98="","",VLOOKUP(B98,'Списки участников'!A:K,3,FALSE))</f>
        <v/>
      </c>
      <c r="D98" s="102" t="str">
        <f>IF(B98="","",VLOOKUP(B98,'Списки участников'!A:K,6,FALSE))</f>
        <v/>
      </c>
      <c r="E98" s="104"/>
      <c r="F98" s="104"/>
      <c r="G98" s="104"/>
      <c r="H98" s="181"/>
      <c r="I98" s="180" t="str">
        <f t="shared" si="20"/>
        <v/>
      </c>
      <c r="J98" s="181"/>
      <c r="K98" s="180" t="str">
        <f t="shared" si="21"/>
        <v/>
      </c>
      <c r="L98" s="181"/>
      <c r="M98" s="180" t="str">
        <f t="shared" si="22"/>
        <v/>
      </c>
      <c r="N98" s="181"/>
      <c r="O98" s="180" t="e">
        <f t="shared" si="30"/>
        <v>#N/A</v>
      </c>
      <c r="P98" s="181"/>
      <c r="Q98" s="180" t="str">
        <f t="shared" si="23"/>
        <v/>
      </c>
      <c r="R98" s="181"/>
      <c r="S98" s="180" t="str">
        <f t="shared" si="24"/>
        <v/>
      </c>
      <c r="T98" s="479" t="str">
        <f t="shared" si="25"/>
        <v/>
      </c>
      <c r="U98" s="480" t="str">
        <f t="shared" si="26"/>
        <v/>
      </c>
    </row>
    <row r="99" spans="1:21" ht="15.75" x14ac:dyDescent="0.25">
      <c r="A99" s="178" t="s">
        <v>873</v>
      </c>
      <c r="B99" s="679"/>
      <c r="C99" s="105" t="str">
        <f>IF(B99="","",VLOOKUP(B99,'Списки участников'!A:K,3,FALSE))</f>
        <v/>
      </c>
      <c r="D99" s="102" t="str">
        <f>IF(B99="","",VLOOKUP(B99,'Списки участников'!A:K,6,FALSE))</f>
        <v/>
      </c>
      <c r="E99" s="104" t="e">
        <f>MID(C99,1,SEARCH(" ",C99)-1)</f>
        <v>#VALUE!</v>
      </c>
      <c r="F99" s="104" t="e">
        <f>MID(C99,SEARCH(" ",C99)+1,1)</f>
        <v>#VALUE!</v>
      </c>
      <c r="G99" s="104" t="e">
        <f>CONCATENATE(E99," ",F99,".")</f>
        <v>#VALUE!</v>
      </c>
      <c r="H99" s="181"/>
      <c r="I99" s="180" t="str">
        <f t="shared" si="20"/>
        <v/>
      </c>
      <c r="J99" s="181"/>
      <c r="K99" s="180" t="str">
        <f t="shared" si="21"/>
        <v/>
      </c>
      <c r="L99" s="181"/>
      <c r="M99" s="180" t="str">
        <f t="shared" si="22"/>
        <v/>
      </c>
      <c r="N99" s="181"/>
      <c r="O99" s="180" t="e">
        <f t="shared" si="30"/>
        <v>#N/A</v>
      </c>
      <c r="P99" s="181"/>
      <c r="Q99" s="180" t="str">
        <f t="shared" si="23"/>
        <v/>
      </c>
      <c r="R99" s="181"/>
      <c r="S99" s="180" t="str">
        <f t="shared" si="24"/>
        <v/>
      </c>
      <c r="T99" s="479" t="str">
        <f t="shared" si="25"/>
        <v/>
      </c>
      <c r="U99" s="480" t="str">
        <f t="shared" si="26"/>
        <v/>
      </c>
    </row>
    <row r="100" spans="1:21" ht="15" customHeight="1" x14ac:dyDescent="0.25">
      <c r="A100" s="178" t="s">
        <v>874</v>
      </c>
      <c r="B100" s="679"/>
      <c r="C100" s="105" t="str">
        <f>IF(B100="","",VLOOKUP(B100,'Списки участников'!A:K,3,FALSE))</f>
        <v/>
      </c>
      <c r="D100" s="102" t="str">
        <f>IF(B100="","",VLOOKUP(B100,'Списки участников'!A:K,6,FALSE))</f>
        <v/>
      </c>
      <c r="E100" s="104"/>
      <c r="F100" s="104"/>
      <c r="G100" s="104"/>
      <c r="H100" s="181"/>
      <c r="I100" s="180" t="str">
        <f t="shared" si="20"/>
        <v/>
      </c>
      <c r="J100" s="181"/>
      <c r="K100" s="180" t="str">
        <f t="shared" si="21"/>
        <v/>
      </c>
      <c r="L100" s="181"/>
      <c r="M100" s="180" t="str">
        <f t="shared" si="22"/>
        <v/>
      </c>
      <c r="N100" s="181"/>
      <c r="O100" s="180" t="e">
        <f t="shared" si="30"/>
        <v>#N/A</v>
      </c>
      <c r="P100" s="181"/>
      <c r="Q100" s="180" t="str">
        <f t="shared" si="23"/>
        <v/>
      </c>
      <c r="R100" s="181"/>
      <c r="S100" s="180" t="str">
        <f t="shared" si="24"/>
        <v/>
      </c>
      <c r="T100" s="479" t="str">
        <f t="shared" si="25"/>
        <v/>
      </c>
      <c r="U100" s="480" t="str">
        <f t="shared" si="26"/>
        <v/>
      </c>
    </row>
    <row r="101" spans="1:21" ht="15.75" x14ac:dyDescent="0.25">
      <c r="A101" s="178" t="s">
        <v>875</v>
      </c>
      <c r="B101" s="851"/>
      <c r="C101" s="105" t="str">
        <f>IF(B101="","",VLOOKUP(B101,'Списки участников'!A:K,3,FALSE))</f>
        <v/>
      </c>
      <c r="D101" s="848" t="str">
        <f>IF(B101="","",VLOOKUP(B101,'Списки участников'!A:K,6,FALSE))</f>
        <v/>
      </c>
      <c r="E101" s="104" t="e">
        <f>MID(C101,1,SEARCH(" ",C101)-1)</f>
        <v>#VALUE!</v>
      </c>
      <c r="F101" s="104" t="e">
        <f>MID(C101,SEARCH(" ",C101)+1,1)</f>
        <v>#VALUE!</v>
      </c>
      <c r="G101" s="104" t="e">
        <f>CONCATENATE(E101," ",F101,".")</f>
        <v>#VALUE!</v>
      </c>
      <c r="H101" s="852"/>
      <c r="I101" s="853" t="str">
        <f t="shared" si="20"/>
        <v/>
      </c>
      <c r="J101" s="852"/>
      <c r="K101" s="853" t="str">
        <f t="shared" si="21"/>
        <v/>
      </c>
      <c r="L101" s="852"/>
      <c r="M101" s="853" t="str">
        <f t="shared" si="22"/>
        <v/>
      </c>
      <c r="N101" s="852"/>
      <c r="O101" s="853" t="e">
        <f t="shared" si="30"/>
        <v>#N/A</v>
      </c>
      <c r="P101" s="852"/>
      <c r="Q101" s="853" t="str">
        <f t="shared" si="23"/>
        <v/>
      </c>
      <c r="R101" s="852"/>
      <c r="S101" s="853" t="str">
        <f t="shared" si="24"/>
        <v/>
      </c>
      <c r="T101" s="854" t="str">
        <f t="shared" si="25"/>
        <v/>
      </c>
      <c r="U101" s="855" t="str">
        <f t="shared" si="26"/>
        <v/>
      </c>
    </row>
    <row r="102" spans="1:21" ht="15.75" x14ac:dyDescent="0.25">
      <c r="A102" s="178" t="s">
        <v>876</v>
      </c>
      <c r="B102" s="860"/>
      <c r="C102" s="105" t="str">
        <f>IF(B102="","",VLOOKUP(B102,'Списки участников'!A:K,3,FALSE))</f>
        <v/>
      </c>
      <c r="D102" s="861" t="str">
        <f>IF(B102="","",VLOOKUP(B102,'Списки участников'!A:K,6,FALSE))</f>
        <v/>
      </c>
      <c r="E102" s="862" t="e">
        <f>MID(C102,1,SEARCH(" ",C102)-1)</f>
        <v>#VALUE!</v>
      </c>
      <c r="F102" s="862" t="e">
        <f>MID(C102,SEARCH(" ",C102)+1,1)</f>
        <v>#VALUE!</v>
      </c>
      <c r="G102" s="862" t="e">
        <f>CONCATENATE(E102," ",F102,".")</f>
        <v>#VALUE!</v>
      </c>
      <c r="H102" s="852"/>
      <c r="I102" s="863" t="str">
        <f t="shared" si="20"/>
        <v/>
      </c>
      <c r="J102" s="852"/>
      <c r="K102" s="863" t="str">
        <f t="shared" si="21"/>
        <v/>
      </c>
      <c r="L102" s="852"/>
      <c r="M102" s="863" t="str">
        <f t="shared" si="22"/>
        <v/>
      </c>
      <c r="N102" s="852"/>
      <c r="O102" s="863" t="e">
        <f t="shared" si="30"/>
        <v>#N/A</v>
      </c>
      <c r="P102" s="852"/>
      <c r="Q102" s="863" t="str">
        <f t="shared" si="23"/>
        <v/>
      </c>
      <c r="R102" s="852"/>
      <c r="S102" s="863" t="str">
        <f t="shared" si="24"/>
        <v/>
      </c>
      <c r="T102" s="864" t="str">
        <f t="shared" si="25"/>
        <v/>
      </c>
      <c r="U102" s="865" t="str">
        <f t="shared" si="26"/>
        <v/>
      </c>
    </row>
    <row r="103" spans="1:21" ht="15.75" x14ac:dyDescent="0.25">
      <c r="A103" s="178" t="s">
        <v>877</v>
      </c>
      <c r="B103" s="856"/>
      <c r="C103" s="105" t="str">
        <f>IF(B103="","",VLOOKUP(B103,'Списки участников'!A:K,3,FALSE))</f>
        <v/>
      </c>
      <c r="D103" s="849" t="str">
        <f>IF(B103="","",VLOOKUP(B103,'Списки участников'!A:K,6,FALSE))</f>
        <v/>
      </c>
      <c r="E103" s="850"/>
      <c r="F103" s="850"/>
      <c r="G103" s="850"/>
      <c r="H103" s="181"/>
      <c r="I103" s="857" t="str">
        <f t="shared" si="20"/>
        <v/>
      </c>
      <c r="J103" s="181"/>
      <c r="K103" s="857" t="str">
        <f t="shared" si="21"/>
        <v/>
      </c>
      <c r="L103" s="181"/>
      <c r="M103" s="857" t="str">
        <f t="shared" si="22"/>
        <v/>
      </c>
      <c r="N103" s="181"/>
      <c r="O103" s="857" t="e">
        <f t="shared" si="30"/>
        <v>#N/A</v>
      </c>
      <c r="P103" s="181"/>
      <c r="Q103" s="857" t="str">
        <f t="shared" si="23"/>
        <v/>
      </c>
      <c r="R103" s="181"/>
      <c r="S103" s="857" t="str">
        <f t="shared" si="24"/>
        <v/>
      </c>
      <c r="T103" s="858" t="str">
        <f t="shared" si="25"/>
        <v/>
      </c>
      <c r="U103" s="859" t="str">
        <f t="shared" si="26"/>
        <v/>
      </c>
    </row>
    <row r="104" spans="1:21" ht="15.75" x14ac:dyDescent="0.25">
      <c r="A104" s="178" t="s">
        <v>878</v>
      </c>
      <c r="B104" s="856"/>
      <c r="C104" s="105" t="str">
        <f>IF(B104="","",VLOOKUP(B104,'Списки участников'!A:K,3,FALSE))</f>
        <v/>
      </c>
      <c r="D104" s="849" t="str">
        <f>IF(B104="","",VLOOKUP(B104,'Списки участников'!A:K,6,FALSE))</f>
        <v/>
      </c>
      <c r="E104" s="850"/>
      <c r="F104" s="850"/>
      <c r="G104" s="850"/>
      <c r="H104" s="181"/>
      <c r="I104" s="857" t="str">
        <f t="shared" si="20"/>
        <v/>
      </c>
      <c r="J104" s="181"/>
      <c r="K104" s="857" t="str">
        <f t="shared" si="21"/>
        <v/>
      </c>
      <c r="L104" s="181"/>
      <c r="M104" s="857" t="str">
        <f t="shared" si="22"/>
        <v/>
      </c>
      <c r="N104" s="181"/>
      <c r="O104" s="857" t="e">
        <f t="shared" si="30"/>
        <v>#N/A</v>
      </c>
      <c r="P104" s="181"/>
      <c r="Q104" s="857" t="str">
        <f t="shared" si="23"/>
        <v/>
      </c>
      <c r="R104" s="181"/>
      <c r="S104" s="857" t="str">
        <f t="shared" si="24"/>
        <v/>
      </c>
      <c r="T104" s="858" t="str">
        <f t="shared" si="25"/>
        <v/>
      </c>
      <c r="U104" s="859" t="str">
        <f t="shared" si="26"/>
        <v/>
      </c>
    </row>
    <row r="105" spans="1:21" ht="15.75" x14ac:dyDescent="0.25">
      <c r="A105" s="178" t="s">
        <v>879</v>
      </c>
      <c r="B105" s="856"/>
      <c r="C105" s="105" t="str">
        <f>IF(B105="","",VLOOKUP(B105,'Списки участников'!A:K,3,FALSE))</f>
        <v/>
      </c>
      <c r="D105" s="849" t="str">
        <f>IF(B105="","",VLOOKUP(B105,'Списки участников'!A:K,6,FALSE))</f>
        <v/>
      </c>
      <c r="E105" s="850" t="e">
        <f>MID(C105,1,SEARCH(" ",C105)-1)</f>
        <v>#VALUE!</v>
      </c>
      <c r="F105" s="850" t="e">
        <f>MID(C105,SEARCH(" ",C105)+1,1)</f>
        <v>#VALUE!</v>
      </c>
      <c r="G105" s="850" t="e">
        <f>CONCATENATE(E105," ",F105,".")</f>
        <v>#VALUE!</v>
      </c>
      <c r="H105" s="181"/>
      <c r="I105" s="857" t="str">
        <f t="shared" ref="I105" si="34">IF(B105="","",RANK(H105,БЕГ,1))</f>
        <v/>
      </c>
      <c r="J105" s="181"/>
      <c r="K105" s="857" t="str">
        <f t="shared" ref="K105" si="35">IF(B105="","",RANK(J105,ДЛИНА,))</f>
        <v/>
      </c>
      <c r="L105" s="181"/>
      <c r="M105" s="857" t="str">
        <f t="shared" ref="M105" si="36">IF(B105="","",RANK(L105,СКАК,))</f>
        <v/>
      </c>
      <c r="N105" s="181"/>
      <c r="O105" s="857" t="e">
        <f t="shared" si="30"/>
        <v>#N/A</v>
      </c>
      <c r="P105" s="181"/>
      <c r="Q105" s="857" t="str">
        <f t="shared" ref="Q105" si="37">IF(B105="","",RANK(P105,ПРЕСС,))</f>
        <v/>
      </c>
      <c r="R105" s="181"/>
      <c r="S105" s="857" t="str">
        <f t="shared" ref="S105" si="38">IF(B105="","",RANK(R105,КВАДР,))</f>
        <v/>
      </c>
      <c r="T105" s="858" t="str">
        <f t="shared" ref="T105" si="39">IF(B105="","",I105+K105+M105+Q105+S105)</f>
        <v/>
      </c>
      <c r="U105" s="859" t="str">
        <f t="shared" ref="U105" si="40">IF(B105="","",RANK(T105,Сумма_мест,1))</f>
        <v/>
      </c>
    </row>
    <row r="106" spans="1:21" ht="19.5" x14ac:dyDescent="0.35">
      <c r="C106" s="481" t="s">
        <v>0</v>
      </c>
      <c r="D106" s="481"/>
      <c r="E106" s="481"/>
      <c r="F106" s="481"/>
      <c r="G106" s="481"/>
      <c r="H106" s="481"/>
      <c r="I106" s="481"/>
      <c r="J106" s="481" t="str">
        <f>'Списки участников'!H47</f>
        <v>Винокуров А.К</v>
      </c>
      <c r="K106" s="481"/>
    </row>
    <row r="107" spans="1:21" ht="19.5" x14ac:dyDescent="0.35">
      <c r="C107" s="481" t="s">
        <v>1</v>
      </c>
      <c r="D107" s="481"/>
      <c r="E107" s="481"/>
      <c r="F107" s="481" t="s">
        <v>880</v>
      </c>
      <c r="J107" s="481" t="str">
        <f>'Списки участников'!H48</f>
        <v>Брусин С.Б., Кашулина А.И.</v>
      </c>
    </row>
  </sheetData>
  <sortState ref="B9:U105">
    <sortCondition ref="U9:U105"/>
  </sortState>
  <mergeCells count="7">
    <mergeCell ref="A1:D1"/>
    <mergeCell ref="A2:T2"/>
    <mergeCell ref="A3:T3"/>
    <mergeCell ref="A5:D5"/>
    <mergeCell ref="N6:Q6"/>
    <mergeCell ref="R6:T6"/>
    <mergeCell ref="C4:I4"/>
  </mergeCells>
  <printOptions horizontalCentered="1"/>
  <pageMargins left="0.31496062992125984" right="0.11811023622047245" top="0.15748031496062992" bottom="0.15748031496062992" header="0.31496062992125984" footer="0.31496062992125984"/>
  <pageSetup paperSize="9" scale="6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S186"/>
  <sheetViews>
    <sheetView view="pageBreakPreview" zoomScale="90" zoomScaleNormal="100" zoomScaleSheetLayoutView="90" workbookViewId="0">
      <selection activeCell="I178" sqref="I178"/>
    </sheetView>
  </sheetViews>
  <sheetFormatPr defaultRowHeight="12.75" outlineLevelRow="1" outlineLevelCol="1" x14ac:dyDescent="0.2"/>
  <cols>
    <col min="1" max="1" width="14.5" style="91" customWidth="1"/>
    <col min="2" max="2" width="7.33203125" style="91" customWidth="1"/>
    <col min="3" max="3" width="8.83203125" style="91" customWidth="1" outlineLevel="1"/>
    <col min="4" max="4" width="32.6640625" style="91" customWidth="1"/>
    <col min="5" max="5" width="10.1640625" style="91" customWidth="1"/>
    <col min="6" max="6" width="27" style="91" customWidth="1"/>
    <col min="7" max="7" width="12.1640625" style="91" customWidth="1"/>
    <col min="8" max="8" width="12.33203125" style="91" customWidth="1"/>
    <col min="9" max="9" width="12" style="91" customWidth="1"/>
    <col min="10" max="10" width="11.33203125" style="91" customWidth="1"/>
    <col min="11" max="11" width="11" style="91" customWidth="1"/>
    <col min="12" max="13" width="12" style="91" customWidth="1"/>
    <col min="14" max="14" width="11.33203125" style="91" customWidth="1"/>
    <col min="15" max="15" width="12.6640625" style="91" customWidth="1"/>
    <col min="16" max="16" width="11" style="91" customWidth="1"/>
    <col min="17" max="17" width="11.6640625" style="91" customWidth="1"/>
    <col min="18" max="18" width="12.1640625" style="91" customWidth="1"/>
    <col min="19" max="16384" width="9.33203125" style="91"/>
  </cols>
  <sheetData>
    <row r="1" spans="1:19" ht="29.25" customHeight="1" x14ac:dyDescent="0.2">
      <c r="D1" s="786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</row>
    <row r="2" spans="1:19" ht="12.75" customHeight="1" x14ac:dyDescent="0.2">
      <c r="A2" s="1424" t="s">
        <v>734</v>
      </c>
      <c r="B2" s="1424"/>
      <c r="C2" s="1424"/>
      <c r="D2" s="1424"/>
      <c r="E2" s="1424"/>
      <c r="F2" s="1425"/>
      <c r="G2" s="1428"/>
      <c r="H2" s="842"/>
      <c r="I2" s="842"/>
      <c r="J2" s="1428"/>
      <c r="K2" s="842"/>
      <c r="L2" s="842"/>
      <c r="M2" s="1428"/>
      <c r="N2" s="842"/>
      <c r="O2" s="842"/>
      <c r="P2" s="1428"/>
      <c r="Q2" s="842"/>
      <c r="R2" s="842"/>
    </row>
    <row r="3" spans="1:19" ht="12.75" customHeight="1" x14ac:dyDescent="0.2">
      <c r="A3" s="1426" t="s">
        <v>735</v>
      </c>
      <c r="B3" s="1426"/>
      <c r="C3" s="1426"/>
      <c r="D3" s="1426"/>
      <c r="E3" s="1426"/>
      <c r="F3" s="1427"/>
      <c r="G3" s="1428"/>
      <c r="H3" s="289"/>
      <c r="I3" s="200"/>
      <c r="J3" s="1428"/>
      <c r="K3" s="289"/>
      <c r="L3" s="200"/>
      <c r="M3" s="1428"/>
      <c r="N3" s="289"/>
      <c r="O3" s="200"/>
      <c r="P3" s="1428"/>
      <c r="Q3" s="289"/>
      <c r="R3" s="200"/>
      <c r="S3" s="164"/>
    </row>
    <row r="4" spans="1:19" ht="15.75" x14ac:dyDescent="0.2">
      <c r="A4" s="118" t="s">
        <v>736</v>
      </c>
      <c r="B4" s="120">
        <v>1</v>
      </c>
      <c r="C4" s="724">
        <f>SUMIF(ГР1М,1,№ИГР1)</f>
        <v>36</v>
      </c>
      <c r="D4" s="119" t="str">
        <f>IF(C4="",C4,VLOOKUP(C4,'Списки участников'!A:H,3,FALSE))</f>
        <v>ТКАЧЕНКО Светлана</v>
      </c>
      <c r="E4" s="119">
        <f>IF(C4="",C4,VLOOKUP(C4,'Списки участников'!A:H,5,FALSE))</f>
        <v>8</v>
      </c>
      <c r="F4" s="119" t="str">
        <f>IF(C4="",C4,VLOOKUP(C4,'Списки участников'!A:H,6,FALSE))</f>
        <v>АО "ОКБМ"</v>
      </c>
      <c r="G4" s="1428"/>
      <c r="H4" s="289"/>
      <c r="I4" s="200"/>
      <c r="J4" s="1428"/>
      <c r="K4" s="289"/>
      <c r="L4" s="200"/>
      <c r="M4" s="1428"/>
      <c r="N4" s="289"/>
      <c r="O4" s="200"/>
      <c r="P4" s="1428"/>
      <c r="Q4" s="289"/>
      <c r="R4" s="200"/>
      <c r="S4" s="164"/>
    </row>
    <row r="5" spans="1:19" ht="15.75" x14ac:dyDescent="0.2">
      <c r="A5" s="118" t="s">
        <v>737</v>
      </c>
      <c r="B5" s="120">
        <v>1</v>
      </c>
      <c r="C5" s="724">
        <f>SUMIF(ГР2М,1,№ИГР2)</f>
        <v>32</v>
      </c>
      <c r="D5" s="119" t="str">
        <f>IF(C5="",C5,VLOOKUP(C5,'Списки участников'!A:H,3,FALSE))</f>
        <v>РОЖЕНКОВА Наталья</v>
      </c>
      <c r="E5" s="119">
        <f>IF(C5="",C5,VLOOKUP(C5,'Списки участников'!A:H,5,FALSE))</f>
        <v>4</v>
      </c>
      <c r="F5" s="119" t="str">
        <f>IF(C5="",C5,VLOOKUP(C5,'Списки участников'!A:H,6,FALSE))</f>
        <v>АО "НПП "Полет"</v>
      </c>
      <c r="G5" s="1428"/>
      <c r="H5" s="289"/>
      <c r="I5" s="200"/>
      <c r="J5" s="1428"/>
      <c r="K5" s="289"/>
      <c r="L5" s="200"/>
      <c r="M5" s="1428"/>
      <c r="N5" s="289"/>
      <c r="O5" s="200"/>
      <c r="P5" s="1428"/>
      <c r="Q5" s="289"/>
      <c r="R5" s="200"/>
      <c r="S5" s="164"/>
    </row>
    <row r="6" spans="1:19" ht="15.75" x14ac:dyDescent="0.2">
      <c r="A6" s="118" t="s">
        <v>738</v>
      </c>
      <c r="B6" s="120">
        <v>1</v>
      </c>
      <c r="C6" s="724">
        <f>SUMIF(ГР3М,1,№ИГР3)</f>
        <v>36</v>
      </c>
      <c r="D6" s="119" t="str">
        <f>IF(C6="",C6,VLOOKUP(C6,'Списки участников'!A:H,3,FALSE))</f>
        <v>ТКАЧЕНКО Светлана</v>
      </c>
      <c r="E6" s="119">
        <f>IF(C6="",C6,VLOOKUP(C6,'Списки участников'!A:H,5,FALSE))</f>
        <v>8</v>
      </c>
      <c r="F6" s="119" t="str">
        <f>IF(C6="",C6,VLOOKUP(C6,'Списки участников'!A:H,6,FALSE))</f>
        <v>АО "ОКБМ"</v>
      </c>
      <c r="G6" s="1428"/>
      <c r="H6" s="289"/>
      <c r="I6" s="200"/>
      <c r="J6" s="1428"/>
      <c r="K6" s="289"/>
      <c r="L6" s="200"/>
      <c r="M6" s="1428"/>
      <c r="N6" s="289"/>
      <c r="O6" s="200"/>
      <c r="P6" s="1428"/>
      <c r="Q6" s="289"/>
      <c r="R6" s="200"/>
      <c r="S6" s="164"/>
    </row>
    <row r="7" spans="1:19" ht="15.75" x14ac:dyDescent="0.2">
      <c r="A7" s="118" t="s">
        <v>739</v>
      </c>
      <c r="B7" s="120">
        <v>1</v>
      </c>
      <c r="C7" s="724">
        <f>SUMIF(ГР4М,1,№ИГР4)</f>
        <v>0</v>
      </c>
      <c r="D7" s="119" t="e">
        <f>IF(C7="",C7,VLOOKUP(C7,'Списки участников'!A:H,3,FALSE))</f>
        <v>#N/A</v>
      </c>
      <c r="E7" s="119" t="e">
        <f>IF(C7="",C7,VLOOKUP(C7,'Списки участников'!A:H,5,FALSE))</f>
        <v>#N/A</v>
      </c>
      <c r="F7" s="119" t="e">
        <f>IF(C7="",C7,VLOOKUP(C7,'Списки участников'!A:H,6,FALSE))</f>
        <v>#N/A</v>
      </c>
      <c r="G7" s="1428"/>
      <c r="H7" s="289"/>
      <c r="I7" s="200"/>
      <c r="J7" s="1428"/>
      <c r="K7" s="289"/>
      <c r="L7" s="200"/>
      <c r="M7" s="1428"/>
      <c r="N7" s="289"/>
      <c r="O7" s="200"/>
      <c r="P7" s="1428"/>
      <c r="Q7" s="289"/>
      <c r="R7" s="200"/>
      <c r="S7" s="164"/>
    </row>
    <row r="8" spans="1:19" ht="15.75" x14ac:dyDescent="0.2">
      <c r="A8" s="118" t="s">
        <v>740</v>
      </c>
      <c r="B8" s="120">
        <v>1</v>
      </c>
      <c r="C8" s="724">
        <f>SUMIF(ГР5М,1,№ИГР5)</f>
        <v>63</v>
      </c>
      <c r="D8" s="119" t="e">
        <f>IF(C8="",C8,VLOOKUP(C8,'Списки участников'!A:H,3,FALSE))</f>
        <v>#N/A</v>
      </c>
      <c r="E8" s="119" t="e">
        <f>IF(C8="",C8,VLOOKUP(C8,'Списки участников'!A:H,5,FALSE))</f>
        <v>#N/A</v>
      </c>
      <c r="F8" s="119" t="e">
        <f>IF(C8="",C8,VLOOKUP(C8,'Списки участников'!A:H,6,FALSE))</f>
        <v>#N/A</v>
      </c>
      <c r="G8" s="1428"/>
      <c r="H8" s="289"/>
      <c r="I8" s="200"/>
      <c r="J8" s="1428"/>
      <c r="K8" s="289"/>
      <c r="L8" s="200"/>
      <c r="M8" s="1428"/>
      <c r="N8" s="289"/>
      <c r="O8" s="200"/>
      <c r="P8" s="1428"/>
      <c r="Q8" s="289"/>
      <c r="R8" s="200"/>
      <c r="S8" s="164"/>
    </row>
    <row r="9" spans="1:19" ht="15.75" x14ac:dyDescent="0.2">
      <c r="A9" s="118" t="s">
        <v>741</v>
      </c>
      <c r="B9" s="120">
        <v>1</v>
      </c>
      <c r="C9" s="724">
        <f>SUMIF(ГР6М,1,№ИГР6)</f>
        <v>108</v>
      </c>
      <c r="D9" s="119" t="e">
        <f>IF(C9="",C9,VLOOKUP(C9,'Списки участников'!A:H,3,FALSE))</f>
        <v>#N/A</v>
      </c>
      <c r="E9" s="119" t="e">
        <f>IF(C9="",C9,VLOOKUP(C9,'Списки участников'!A:H,5,FALSE))</f>
        <v>#N/A</v>
      </c>
      <c r="F9" s="119" t="e">
        <f>IF(C9="",C9,VLOOKUP(C9,'Списки участников'!A:H,6,FALSE))</f>
        <v>#N/A</v>
      </c>
      <c r="G9" s="1428"/>
      <c r="H9" s="289"/>
      <c r="I9" s="200"/>
      <c r="J9" s="1428"/>
      <c r="K9" s="289"/>
      <c r="L9" s="200"/>
      <c r="M9" s="1428"/>
      <c r="N9" s="289"/>
      <c r="O9" s="200"/>
      <c r="P9" s="1428"/>
      <c r="Q9" s="289"/>
      <c r="R9" s="200"/>
      <c r="S9" s="164"/>
    </row>
    <row r="10" spans="1:19" ht="15.75" x14ac:dyDescent="0.2">
      <c r="A10" s="118" t="s">
        <v>742</v>
      </c>
      <c r="B10" s="120">
        <v>1</v>
      </c>
      <c r="C10" s="724">
        <f>SUMIF(ГР7М,1,№ИГР7)</f>
        <v>127</v>
      </c>
      <c r="D10" s="119" t="e">
        <f>IF(C10="",C10,VLOOKUP(C10,'Списки участников'!A:H,3,FALSE))</f>
        <v>#N/A</v>
      </c>
      <c r="E10" s="119" t="e">
        <f>IF(C10="",C10,VLOOKUP(C10,'Списки участников'!A:H,5,FALSE))</f>
        <v>#N/A</v>
      </c>
      <c r="F10" s="119" t="e">
        <f>IF(C10="",C10,VLOOKUP(C10,'Списки участников'!A:H,6,FALSE))</f>
        <v>#N/A</v>
      </c>
      <c r="G10" s="1428"/>
      <c r="H10" s="289"/>
      <c r="I10" s="200"/>
      <c r="J10" s="1428"/>
      <c r="K10" s="289"/>
      <c r="L10" s="200"/>
      <c r="M10" s="1428"/>
      <c r="N10" s="289"/>
      <c r="O10" s="200"/>
      <c r="P10" s="1428"/>
      <c r="Q10" s="289"/>
      <c r="R10" s="200"/>
      <c r="S10" s="164"/>
    </row>
    <row r="11" spans="1:19" ht="15.75" x14ac:dyDescent="0.2">
      <c r="A11" s="118" t="s">
        <v>743</v>
      </c>
      <c r="B11" s="120">
        <v>1</v>
      </c>
      <c r="C11" s="724">
        <f>SUMIF(ГР8М,1,№ИГР8)</f>
        <v>103</v>
      </c>
      <c r="D11" s="119" t="e">
        <f>IF(C11="",C11,VLOOKUP(C11,'Списки участников'!A:H,3,FALSE))</f>
        <v>#N/A</v>
      </c>
      <c r="E11" s="119" t="e">
        <f>IF(C11="",C11,VLOOKUP(C11,'Списки участников'!A:H,5,FALSE))</f>
        <v>#N/A</v>
      </c>
      <c r="F11" s="119" t="e">
        <f>IF(C11="",C11,VLOOKUP(C11,'Списки участников'!A:H,6,FALSE))</f>
        <v>#N/A</v>
      </c>
      <c r="G11" s="1428"/>
      <c r="H11" s="289"/>
      <c r="I11" s="200"/>
      <c r="J11" s="1428"/>
      <c r="K11" s="289"/>
      <c r="L11" s="200"/>
      <c r="M11" s="1428"/>
      <c r="N11" s="289"/>
      <c r="O11" s="200"/>
      <c r="P11" s="1428"/>
      <c r="Q11" s="289"/>
      <c r="R11" s="200"/>
      <c r="S11" s="164"/>
    </row>
    <row r="12" spans="1:19" ht="15.75" hidden="1" outlineLevel="1" x14ac:dyDescent="0.2">
      <c r="A12" s="118" t="s">
        <v>744</v>
      </c>
      <c r="B12" s="120">
        <v>1</v>
      </c>
      <c r="C12" s="724">
        <f>SUMIF(ГР9М,1,№ИГР9)</f>
        <v>0</v>
      </c>
      <c r="D12" s="119" t="e">
        <f>IF(C12="",C12,VLOOKUP(C12,'Списки участников'!A:H,3,FALSE))</f>
        <v>#N/A</v>
      </c>
      <c r="E12" s="119" t="e">
        <f>IF(C12="",C12,VLOOKUP(C12,'Списки участников'!A:H,5,FALSE))</f>
        <v>#N/A</v>
      </c>
      <c r="F12" s="725" t="e">
        <f>IF(C12="",C12,VLOOKUP(C12,'Списки участников'!A:H,6,FALSE))</f>
        <v>#N/A</v>
      </c>
      <c r="G12" s="782"/>
      <c r="H12" s="289"/>
      <c r="I12" s="164"/>
      <c r="J12" s="289"/>
      <c r="K12" s="289"/>
      <c r="L12" s="164"/>
      <c r="M12" s="164"/>
      <c r="N12" s="164"/>
      <c r="O12" s="164"/>
      <c r="P12" s="164"/>
      <c r="Q12" s="164"/>
      <c r="R12" s="164"/>
      <c r="S12" s="164"/>
    </row>
    <row r="13" spans="1:19" ht="15.75" hidden="1" outlineLevel="1" x14ac:dyDescent="0.2">
      <c r="A13" s="118" t="s">
        <v>745</v>
      </c>
      <c r="B13" s="120">
        <v>1</v>
      </c>
      <c r="C13" s="724">
        <f>SUMIF(ГР10М,1,№ИГР10)</f>
        <v>0</v>
      </c>
      <c r="D13" s="119" t="e">
        <f>IF(C13="",C13,VLOOKUP(C13,'Списки участников'!A:H,3,FALSE))</f>
        <v>#N/A</v>
      </c>
      <c r="E13" s="119" t="e">
        <f>IF(C13="",C13,VLOOKUP(C13,'Списки участников'!A:H,5,FALSE))</f>
        <v>#N/A</v>
      </c>
      <c r="F13" s="725" t="e">
        <f>IF(C13="",C13,VLOOKUP(C13,'Списки участников'!A:H,6,FALSE))</f>
        <v>#N/A</v>
      </c>
      <c r="G13" s="289"/>
      <c r="H13" s="289"/>
      <c r="I13" s="164"/>
      <c r="J13" s="289"/>
      <c r="K13" s="783"/>
      <c r="L13" s="164"/>
      <c r="M13" s="164"/>
      <c r="N13" s="784"/>
      <c r="O13" s="164"/>
      <c r="P13" s="164"/>
      <c r="Q13" s="164"/>
      <c r="R13" s="164"/>
      <c r="S13" s="164"/>
    </row>
    <row r="14" spans="1:19" ht="15.75" hidden="1" outlineLevel="1" x14ac:dyDescent="0.2">
      <c r="A14" s="118" t="s">
        <v>746</v>
      </c>
      <c r="B14" s="120">
        <v>1</v>
      </c>
      <c r="C14" s="724">
        <f>SUMIF(ГР11М,1,№ИГР11)</f>
        <v>0</v>
      </c>
      <c r="D14" s="119" t="e">
        <f>IF(C14="",C14,VLOOKUP(C14,'Списки участников'!A:H,3,FALSE))</f>
        <v>#N/A</v>
      </c>
      <c r="E14" s="119" t="e">
        <f>IF(C14="",C14,VLOOKUP(C14,'Списки участников'!A:H,5,FALSE))</f>
        <v>#N/A</v>
      </c>
      <c r="F14" s="725" t="e">
        <f>IF(C14="",C14,VLOOKUP(C14,'Списки участников'!A:H,6,FALSE))</f>
        <v>#N/A</v>
      </c>
      <c r="G14" s="289"/>
      <c r="H14" s="289"/>
      <c r="I14" s="164"/>
      <c r="J14" s="289"/>
      <c r="K14" s="289"/>
      <c r="L14" s="164"/>
      <c r="M14" s="164"/>
      <c r="N14" s="164"/>
      <c r="O14" s="164"/>
      <c r="P14" s="164"/>
      <c r="Q14" s="164"/>
      <c r="R14" s="164"/>
      <c r="S14" s="164"/>
    </row>
    <row r="15" spans="1:19" ht="15.75" hidden="1" outlineLevel="1" x14ac:dyDescent="0.2">
      <c r="A15" s="118" t="s">
        <v>747</v>
      </c>
      <c r="B15" s="120">
        <v>1</v>
      </c>
      <c r="C15" s="724">
        <f>SUMIF(ГР12М,1,№ИГР12)</f>
        <v>0</v>
      </c>
      <c r="D15" s="119" t="e">
        <f>IF(C15="",C15,VLOOKUP(C15,'Списки участников'!A:H,3,FALSE))</f>
        <v>#N/A</v>
      </c>
      <c r="E15" s="119" t="e">
        <f>IF(C15="",C15,VLOOKUP(C15,'Списки участников'!A:H,5,FALSE))</f>
        <v>#N/A</v>
      </c>
      <c r="F15" s="725" t="e">
        <f>IF(C15="",C15,VLOOKUP(C15,'Списки участников'!A:H,6,FALSE))</f>
        <v>#N/A</v>
      </c>
      <c r="G15" s="289"/>
      <c r="H15" s="289"/>
      <c r="I15" s="164"/>
      <c r="J15" s="289"/>
      <c r="K15" s="783"/>
      <c r="L15" s="164"/>
      <c r="M15" s="164"/>
      <c r="N15" s="784"/>
      <c r="O15" s="164"/>
      <c r="P15" s="164"/>
      <c r="Q15" s="164"/>
      <c r="R15" s="164"/>
      <c r="S15" s="164"/>
    </row>
    <row r="16" spans="1:19" ht="15.75" hidden="1" outlineLevel="1" x14ac:dyDescent="0.2">
      <c r="A16" s="118" t="s">
        <v>748</v>
      </c>
      <c r="B16" s="120">
        <v>1</v>
      </c>
      <c r="C16" s="724">
        <f>SUMIF(ГР13М,1,№ИГР13)</f>
        <v>0</v>
      </c>
      <c r="D16" s="119" t="e">
        <f>IF(C16="",C16,VLOOKUP(C16,'Списки участников'!A:H,3,FALSE))</f>
        <v>#N/A</v>
      </c>
      <c r="E16" s="119" t="e">
        <f>IF(C16="",C16,VLOOKUP(C16,'Списки участников'!A:H,5,FALSE))</f>
        <v>#N/A</v>
      </c>
      <c r="F16" s="725" t="e">
        <f>IF(C16="",C16,VLOOKUP(C16,'Списки участников'!A:H,6,FALSE))</f>
        <v>#N/A</v>
      </c>
      <c r="G16" s="289"/>
      <c r="H16" s="289"/>
      <c r="I16" s="164"/>
      <c r="J16" s="289"/>
      <c r="K16" s="289"/>
      <c r="L16" s="164"/>
      <c r="M16" s="164"/>
      <c r="N16" s="164"/>
      <c r="O16" s="164"/>
      <c r="P16" s="164"/>
      <c r="Q16" s="164"/>
      <c r="R16" s="164"/>
      <c r="S16" s="164"/>
    </row>
    <row r="17" spans="1:19" ht="15.75" hidden="1" outlineLevel="1" x14ac:dyDescent="0.2">
      <c r="A17" s="118" t="s">
        <v>749</v>
      </c>
      <c r="B17" s="120">
        <v>1</v>
      </c>
      <c r="C17" s="724">
        <f>SUMIF(ГР14М,1,№ИГР14)</f>
        <v>0</v>
      </c>
      <c r="D17" s="119" t="e">
        <f>IF(C17="",C17,VLOOKUP(C17,'Списки участников'!A:H,3,FALSE))</f>
        <v>#N/A</v>
      </c>
      <c r="E17" s="119" t="e">
        <f>IF(C17="",C17,VLOOKUP(C17,'Списки участников'!A:H,5,FALSE))</f>
        <v>#N/A</v>
      </c>
      <c r="F17" s="725" t="e">
        <f>IF(C17="",C17,VLOOKUP(C17,'Списки участников'!A:H,6,FALSE))</f>
        <v>#N/A</v>
      </c>
      <c r="G17" s="289"/>
      <c r="H17" s="289"/>
      <c r="I17" s="164"/>
      <c r="J17" s="289"/>
      <c r="K17" s="783"/>
      <c r="L17" s="164"/>
      <c r="M17" s="164"/>
      <c r="N17" s="784"/>
      <c r="O17" s="164"/>
      <c r="P17" s="164"/>
      <c r="Q17" s="164"/>
      <c r="R17" s="164"/>
      <c r="S17" s="164"/>
    </row>
    <row r="18" spans="1:19" ht="15.75" hidden="1" outlineLevel="1" x14ac:dyDescent="0.2">
      <c r="A18" s="118" t="s">
        <v>750</v>
      </c>
      <c r="B18" s="120">
        <v>1</v>
      </c>
      <c r="C18" s="724">
        <f>SUMIF(ГР15М,1,№ИГР15)</f>
        <v>0</v>
      </c>
      <c r="D18" s="119" t="e">
        <f>IF(C18="",C18,VLOOKUP(C18,'Списки участников'!A:H,3,FALSE))</f>
        <v>#N/A</v>
      </c>
      <c r="E18" s="119" t="e">
        <f>IF(C18="",C18,VLOOKUP(C18,'Списки участников'!A:H,5,FALSE))</f>
        <v>#N/A</v>
      </c>
      <c r="F18" s="725" t="e">
        <f>IF(C18="",C18,VLOOKUP(C18,'Списки участников'!A:H,6,FALSE))</f>
        <v>#N/A</v>
      </c>
      <c r="G18" s="289"/>
      <c r="H18" s="289"/>
      <c r="I18" s="164"/>
      <c r="J18" s="289"/>
      <c r="K18" s="289"/>
      <c r="L18" s="164"/>
      <c r="M18" s="164"/>
      <c r="N18" s="164"/>
      <c r="O18" s="164"/>
      <c r="P18" s="164"/>
      <c r="Q18" s="164"/>
      <c r="R18" s="164"/>
      <c r="S18" s="164"/>
    </row>
    <row r="19" spans="1:19" ht="15.75" hidden="1" outlineLevel="1" x14ac:dyDescent="0.2">
      <c r="A19" s="118" t="s">
        <v>751</v>
      </c>
      <c r="B19" s="120">
        <v>1</v>
      </c>
      <c r="C19" s="724">
        <f>SUMIF(ГР16М,1,№ИГР16)</f>
        <v>0</v>
      </c>
      <c r="D19" s="119" t="e">
        <f>IF(C19="",C19,VLOOKUP(C19,'Списки участников'!A:H,3,FALSE))</f>
        <v>#N/A</v>
      </c>
      <c r="E19" s="119" t="e">
        <f>IF(C19="",C19,VLOOKUP(C19,'Списки участников'!A:H,5,FALSE))</f>
        <v>#N/A</v>
      </c>
      <c r="F19" s="725" t="e">
        <f>IF(C19="",C19,VLOOKUP(C19,'Списки участников'!A:H,6,FALSE))</f>
        <v>#N/A</v>
      </c>
      <c r="G19" s="289"/>
      <c r="H19" s="289"/>
      <c r="I19" s="164"/>
      <c r="J19" s="289"/>
      <c r="K19" s="783"/>
      <c r="L19" s="164"/>
      <c r="M19" s="164"/>
      <c r="N19" s="784"/>
      <c r="O19" s="164"/>
      <c r="P19" s="164"/>
      <c r="Q19" s="164"/>
      <c r="R19" s="164"/>
      <c r="S19" s="164"/>
    </row>
    <row r="20" spans="1:19" collapsed="1" x14ac:dyDescent="0.2">
      <c r="A20" s="2"/>
      <c r="B20" s="2"/>
      <c r="C20" s="121"/>
      <c r="D20" s="122"/>
      <c r="E20" s="123"/>
      <c r="F20" s="124"/>
      <c r="G20" s="289"/>
      <c r="H20" s="289"/>
      <c r="I20" s="164"/>
      <c r="J20" s="289"/>
      <c r="K20" s="289"/>
      <c r="L20" s="164"/>
      <c r="M20" s="164"/>
      <c r="N20" s="164"/>
      <c r="O20" s="164"/>
      <c r="P20" s="164"/>
      <c r="Q20" s="164"/>
      <c r="R20" s="164"/>
      <c r="S20" s="164"/>
    </row>
    <row r="21" spans="1:19" ht="12.75" customHeight="1" x14ac:dyDescent="0.2">
      <c r="A21" s="1424" t="s">
        <v>734</v>
      </c>
      <c r="B21" s="1424"/>
      <c r="C21" s="1424"/>
      <c r="D21" s="1424"/>
      <c r="E21" s="1424"/>
      <c r="F21" s="1425"/>
      <c r="G21" s="1428"/>
      <c r="H21" s="842"/>
      <c r="I21" s="842"/>
      <c r="J21" s="1428"/>
      <c r="K21" s="842"/>
      <c r="L21" s="842"/>
      <c r="M21" s="1428"/>
      <c r="N21" s="842"/>
      <c r="O21" s="842"/>
      <c r="P21" s="1428"/>
      <c r="Q21" s="842"/>
      <c r="R21" s="842"/>
    </row>
    <row r="22" spans="1:19" x14ac:dyDescent="0.2">
      <c r="A22" s="1426" t="s">
        <v>752</v>
      </c>
      <c r="B22" s="1426"/>
      <c r="C22" s="1426"/>
      <c r="D22" s="1426"/>
      <c r="E22" s="1426"/>
      <c r="F22" s="1427"/>
      <c r="G22" s="1428"/>
      <c r="H22" s="289"/>
      <c r="I22" s="200"/>
      <c r="J22" s="1428"/>
      <c r="K22" s="289"/>
      <c r="L22" s="200"/>
      <c r="M22" s="1428"/>
      <c r="N22" s="289"/>
      <c r="O22" s="200"/>
      <c r="P22" s="1428"/>
      <c r="Q22" s="289"/>
      <c r="R22" s="200"/>
    </row>
    <row r="23" spans="1:19" ht="15.75" x14ac:dyDescent="0.2">
      <c r="A23" s="118" t="s">
        <v>736</v>
      </c>
      <c r="B23" s="120">
        <v>2</v>
      </c>
      <c r="C23" s="724">
        <f>SUMIF(ГР1М,2,№ИГР1)</f>
        <v>12</v>
      </c>
      <c r="D23" s="119" t="str">
        <f>IF(C23="",C23,VLOOKUP(C23,'Списки участников'!A:H,3,FALSE))</f>
        <v>АКИМОВА Марина</v>
      </c>
      <c r="E23" s="119">
        <f>IF(C23="",C23,VLOOKUP(C23,'Списки участников'!A:H,5,FALSE))</f>
        <v>6</v>
      </c>
      <c r="F23" s="119" t="str">
        <f>IF(C23="",C23,VLOOKUP(C23,'Списки участников'!A:H,6,FALSE))</f>
        <v>ОАО "НИАЭП"</v>
      </c>
      <c r="G23" s="1428"/>
      <c r="H23" s="289"/>
      <c r="I23" s="200"/>
      <c r="J23" s="1428"/>
      <c r="K23" s="289"/>
      <c r="L23" s="200"/>
      <c r="M23" s="1428"/>
      <c r="N23" s="289"/>
      <c r="O23" s="200"/>
      <c r="P23" s="1428"/>
      <c r="Q23" s="289"/>
      <c r="R23" s="200"/>
    </row>
    <row r="24" spans="1:19" ht="15.75" x14ac:dyDescent="0.2">
      <c r="A24" s="118" t="s">
        <v>737</v>
      </c>
      <c r="B24" s="120">
        <v>2</v>
      </c>
      <c r="C24" s="724">
        <f>SUMIF(ГР2М,2,№ИГР2)</f>
        <v>40</v>
      </c>
      <c r="D24" s="119" t="str">
        <f>IF(C24="",C24,VLOOKUP(C24,'Списки участников'!A:H,3,FALSE))</f>
        <v>МАНЗЕНКОВА Наталья</v>
      </c>
      <c r="E24" s="119">
        <f>IF(C24="",C24,VLOOKUP(C24,'Списки участников'!A:H,5,FALSE))</f>
        <v>73</v>
      </c>
      <c r="F24" s="119" t="str">
        <f>IF(C24="",C24,VLOOKUP(C24,'Списки участников'!A:H,6,FALSE))</f>
        <v>"ГЖД"</v>
      </c>
      <c r="G24" s="1428"/>
      <c r="H24" s="289"/>
      <c r="I24" s="200"/>
      <c r="J24" s="1428"/>
      <c r="K24" s="289"/>
      <c r="L24" s="200"/>
      <c r="M24" s="1428"/>
      <c r="N24" s="289"/>
      <c r="O24" s="200"/>
      <c r="P24" s="1428"/>
      <c r="Q24" s="289"/>
      <c r="R24" s="200"/>
    </row>
    <row r="25" spans="1:19" ht="15.75" x14ac:dyDescent="0.2">
      <c r="A25" s="118" t="s">
        <v>738</v>
      </c>
      <c r="B25" s="120">
        <v>2</v>
      </c>
      <c r="C25" s="724">
        <f>SUMIF(ГР3М,2,№ИГР3)</f>
        <v>32</v>
      </c>
      <c r="D25" s="119" t="str">
        <f>IF(C25="",C25,VLOOKUP(C25,'Списки участников'!A:H,3,FALSE))</f>
        <v>РОЖЕНКОВА Наталья</v>
      </c>
      <c r="E25" s="119">
        <f>IF(C25="",C25,VLOOKUP(C25,'Списки участников'!A:H,5,FALSE))</f>
        <v>4</v>
      </c>
      <c r="F25" s="119" t="str">
        <f>IF(C25="",C25,VLOOKUP(C25,'Списки участников'!A:H,6,FALSE))</f>
        <v>АО "НПП "Полет"</v>
      </c>
      <c r="G25" s="1428"/>
      <c r="H25" s="289"/>
      <c r="I25" s="200"/>
      <c r="J25" s="1428"/>
      <c r="K25" s="289"/>
      <c r="L25" s="200"/>
      <c r="M25" s="1428"/>
      <c r="N25" s="289"/>
      <c r="O25" s="200"/>
      <c r="P25" s="1428"/>
      <c r="Q25" s="289"/>
      <c r="R25" s="200"/>
    </row>
    <row r="26" spans="1:19" ht="15.75" x14ac:dyDescent="0.2">
      <c r="A26" s="118" t="s">
        <v>739</v>
      </c>
      <c r="B26" s="120">
        <v>2</v>
      </c>
      <c r="C26" s="724">
        <f>SUMIF(ГР4М,2,№ИГР4)</f>
        <v>0</v>
      </c>
      <c r="D26" s="119" t="e">
        <f>IF(C26="",C26,VLOOKUP(C26,'Списки участников'!A:H,3,FALSE))</f>
        <v>#N/A</v>
      </c>
      <c r="E26" s="119" t="e">
        <f>IF(C26="",C26,VLOOKUP(C26,'Списки участников'!A:H,5,FALSE))</f>
        <v>#N/A</v>
      </c>
      <c r="F26" s="119" t="e">
        <f>IF(C26="",C26,VLOOKUP(C26,'Списки участников'!A:H,6,FALSE))</f>
        <v>#N/A</v>
      </c>
      <c r="G26" s="1428"/>
      <c r="H26" s="289"/>
      <c r="I26" s="200"/>
      <c r="J26" s="1428"/>
      <c r="K26" s="289"/>
      <c r="L26" s="200"/>
      <c r="M26" s="1428"/>
      <c r="N26" s="289"/>
      <c r="O26" s="200"/>
      <c r="P26" s="1428"/>
      <c r="Q26" s="289"/>
      <c r="R26" s="200"/>
    </row>
    <row r="27" spans="1:19" ht="15.75" x14ac:dyDescent="0.2">
      <c r="A27" s="118" t="s">
        <v>740</v>
      </c>
      <c r="B27" s="120">
        <v>2</v>
      </c>
      <c r="C27" s="724">
        <f>SUMIF(ГР5М,2,№ИГР5)</f>
        <v>0</v>
      </c>
      <c r="D27" s="119" t="e">
        <f>IF(C27="",C27,VLOOKUP(C27,'Списки участников'!A:H,3,FALSE))</f>
        <v>#N/A</v>
      </c>
      <c r="E27" s="119" t="e">
        <f>IF(C27="",C27,VLOOKUP(C27,'Списки участников'!A:H,5,FALSE))</f>
        <v>#N/A</v>
      </c>
      <c r="F27" s="119" t="e">
        <f>IF(C27="",C27,VLOOKUP(C27,'Списки участников'!A:H,6,FALSE))</f>
        <v>#N/A</v>
      </c>
      <c r="G27" s="1428"/>
      <c r="H27" s="289"/>
      <c r="I27" s="200"/>
      <c r="J27" s="1428"/>
      <c r="K27" s="289"/>
      <c r="L27" s="200"/>
      <c r="M27" s="1428"/>
      <c r="N27" s="289"/>
      <c r="O27" s="200"/>
      <c r="P27" s="1428"/>
      <c r="Q27" s="289"/>
      <c r="R27" s="200"/>
    </row>
    <row r="28" spans="1:19" ht="15.75" x14ac:dyDescent="0.2">
      <c r="A28" s="118" t="s">
        <v>741</v>
      </c>
      <c r="B28" s="120">
        <v>2</v>
      </c>
      <c r="C28" s="724">
        <f>SUMIF(ГР6М,2,№ИГР6)</f>
        <v>0</v>
      </c>
      <c r="D28" s="119" t="e">
        <f>IF(C28="",C28,VLOOKUP(C28,'Списки участников'!A:H,3,FALSE))</f>
        <v>#N/A</v>
      </c>
      <c r="E28" s="119" t="e">
        <f>IF(C28="",C28,VLOOKUP(C28,'Списки участников'!A:H,5,FALSE))</f>
        <v>#N/A</v>
      </c>
      <c r="F28" s="119" t="e">
        <f>IF(C28="",C28,VLOOKUP(C28,'Списки участников'!A:H,6,FALSE))</f>
        <v>#N/A</v>
      </c>
      <c r="G28" s="1428"/>
      <c r="H28" s="289"/>
      <c r="I28" s="200"/>
      <c r="J28" s="1428"/>
      <c r="K28" s="289"/>
      <c r="L28" s="200"/>
      <c r="M28" s="1428"/>
      <c r="N28" s="289"/>
      <c r="O28" s="200"/>
      <c r="P28" s="1428"/>
      <c r="Q28" s="289"/>
      <c r="R28" s="200"/>
    </row>
    <row r="29" spans="1:19" ht="15.75" x14ac:dyDescent="0.2">
      <c r="A29" s="118" t="s">
        <v>742</v>
      </c>
      <c r="B29" s="120">
        <v>2</v>
      </c>
      <c r="C29" s="724">
        <f>SUMIF(ГР7М,2,№ИГР7)</f>
        <v>0</v>
      </c>
      <c r="D29" s="119" t="e">
        <f>IF(C29="",C29,VLOOKUP(C29,'Списки участников'!A:H,3,FALSE))</f>
        <v>#N/A</v>
      </c>
      <c r="E29" s="119" t="e">
        <f>IF(C29="",C29,VLOOKUP(C29,'Списки участников'!A:H,5,FALSE))</f>
        <v>#N/A</v>
      </c>
      <c r="F29" s="119" t="e">
        <f>IF(C29="",C29,VLOOKUP(C29,'Списки участников'!A:H,6,FALSE))</f>
        <v>#N/A</v>
      </c>
      <c r="G29" s="1428"/>
      <c r="H29" s="289"/>
      <c r="I29" s="200"/>
      <c r="J29" s="1428"/>
      <c r="K29" s="289"/>
      <c r="L29" s="200"/>
      <c r="M29" s="1428"/>
      <c r="N29" s="289"/>
      <c r="O29" s="200"/>
      <c r="P29" s="1428"/>
      <c r="Q29" s="289"/>
      <c r="R29" s="200"/>
    </row>
    <row r="30" spans="1:19" ht="15.75" x14ac:dyDescent="0.2">
      <c r="A30" s="118" t="s">
        <v>743</v>
      </c>
      <c r="B30" s="120">
        <v>2</v>
      </c>
      <c r="C30" s="724">
        <f>SUMIF(ГР8М,2,№ИГР8)</f>
        <v>0</v>
      </c>
      <c r="D30" s="119" t="e">
        <f>IF(C30="",C30,VLOOKUP(C30,'Списки участников'!A:H,3,FALSE))</f>
        <v>#N/A</v>
      </c>
      <c r="E30" s="119" t="e">
        <f>IF(C30="",C30,VLOOKUP(C30,'Списки участников'!A:H,5,FALSE))</f>
        <v>#N/A</v>
      </c>
      <c r="F30" s="119" t="e">
        <f>IF(C30="",C30,VLOOKUP(C30,'Списки участников'!A:H,6,FALSE))</f>
        <v>#N/A</v>
      </c>
      <c r="G30" s="1428"/>
      <c r="H30" s="289"/>
      <c r="I30" s="200"/>
      <c r="J30" s="1428"/>
      <c r="K30" s="289"/>
      <c r="L30" s="200"/>
      <c r="M30" s="1428"/>
      <c r="N30" s="289"/>
      <c r="O30" s="200"/>
      <c r="P30" s="1428"/>
      <c r="Q30" s="289"/>
      <c r="R30" s="200"/>
    </row>
    <row r="31" spans="1:19" ht="15.75" hidden="1" outlineLevel="1" x14ac:dyDescent="0.2">
      <c r="A31" s="118" t="s">
        <v>744</v>
      </c>
      <c r="B31" s="120">
        <v>2</v>
      </c>
      <c r="C31" s="724">
        <f>SUMIF(ГР9М,2,№ИГР9)</f>
        <v>0</v>
      </c>
      <c r="D31" s="119" t="e">
        <f>IF(C31="",C31,VLOOKUP(C31,'Списки участников'!A:H,3,FALSE))</f>
        <v>#N/A</v>
      </c>
      <c r="E31" s="119" t="e">
        <f>IF(C31="",C31,VLOOKUP(C31,'Списки участников'!A:H,5,FALSE))</f>
        <v>#N/A</v>
      </c>
      <c r="F31" s="725" t="e">
        <f>IF(C31="",C31,VLOOKUP(C31,'Списки участников'!A:H,6,FALSE))</f>
        <v>#N/A</v>
      </c>
      <c r="G31" s="164"/>
      <c r="H31" s="784"/>
      <c r="I31" s="164"/>
      <c r="J31" s="164"/>
      <c r="K31" s="784"/>
      <c r="L31" s="164"/>
      <c r="M31" s="164"/>
      <c r="N31" s="164"/>
      <c r="O31" s="164"/>
      <c r="P31" s="164"/>
      <c r="Q31" s="164"/>
      <c r="R31" s="164"/>
    </row>
    <row r="32" spans="1:19" ht="15.75" hidden="1" outlineLevel="1" x14ac:dyDescent="0.2">
      <c r="A32" s="118" t="s">
        <v>745</v>
      </c>
      <c r="B32" s="120">
        <v>2</v>
      </c>
      <c r="C32" s="724">
        <f>SUMIF(ГР10М,2,№ИГР10)</f>
        <v>0</v>
      </c>
      <c r="D32" s="119" t="e">
        <f>IF(C32="",C32,VLOOKUP(C32,'Списки участников'!A:H,3,FALSE))</f>
        <v>#N/A</v>
      </c>
      <c r="E32" s="119" t="e">
        <f>IF(C32="",C32,VLOOKUP(C32,'Списки участников'!A:H,5,FALSE))</f>
        <v>#N/A</v>
      </c>
      <c r="F32" s="725" t="e">
        <f>IF(C32="",C32,VLOOKUP(C32,'Списки участников'!A:H,6,FALSE))</f>
        <v>#N/A</v>
      </c>
      <c r="G32" s="164"/>
      <c r="H32" s="784"/>
      <c r="I32" s="164"/>
      <c r="J32" s="164"/>
      <c r="K32" s="784"/>
      <c r="L32" s="164"/>
      <c r="M32" s="164"/>
      <c r="N32" s="164"/>
      <c r="O32" s="164"/>
      <c r="P32" s="164"/>
      <c r="Q32" s="164"/>
      <c r="R32" s="164"/>
    </row>
    <row r="33" spans="1:18" ht="15.75" hidden="1" outlineLevel="1" x14ac:dyDescent="0.2">
      <c r="A33" s="118" t="s">
        <v>746</v>
      </c>
      <c r="B33" s="120">
        <v>2</v>
      </c>
      <c r="C33" s="724">
        <f>SUMIF(ГР11М,2,№ИГР11)</f>
        <v>0</v>
      </c>
      <c r="D33" s="119" t="e">
        <f>IF(C33="",C33,VLOOKUP(C33,'Списки участников'!A:H,3,FALSE))</f>
        <v>#N/A</v>
      </c>
      <c r="E33" s="119" t="e">
        <f>IF(C33="",C33,VLOOKUP(C33,'Списки участников'!A:H,5,FALSE))</f>
        <v>#N/A</v>
      </c>
      <c r="F33" s="725" t="e">
        <f>IF(C33="",C33,VLOOKUP(C33,'Списки участников'!A:H,6,FALSE))</f>
        <v>#N/A</v>
      </c>
      <c r="G33" s="164"/>
      <c r="H33" s="785"/>
      <c r="I33" s="164"/>
      <c r="J33" s="164"/>
      <c r="K33" s="784"/>
      <c r="L33" s="164"/>
      <c r="M33" s="164"/>
      <c r="N33" s="784"/>
      <c r="O33" s="164"/>
      <c r="P33" s="164"/>
      <c r="Q33" s="164"/>
      <c r="R33" s="164"/>
    </row>
    <row r="34" spans="1:18" ht="15.75" hidden="1" outlineLevel="1" x14ac:dyDescent="0.2">
      <c r="A34" s="118" t="s">
        <v>747</v>
      </c>
      <c r="B34" s="120">
        <v>2</v>
      </c>
      <c r="C34" s="724">
        <f>SUMIF(ГР12М,2,№ИГР12)</f>
        <v>0</v>
      </c>
      <c r="D34" s="119" t="e">
        <f>IF(C34="",C34,VLOOKUP(C34,'Списки участников'!A:H,3,FALSE))</f>
        <v>#N/A</v>
      </c>
      <c r="E34" s="119" t="e">
        <f>IF(C34="",C34,VLOOKUP(C34,'Списки участников'!A:H,5,FALSE))</f>
        <v>#N/A</v>
      </c>
      <c r="F34" s="725" t="e">
        <f>IF(C34="",C34,VLOOKUP(C34,'Списки участников'!A:H,6,FALSE))</f>
        <v>#N/A</v>
      </c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</row>
    <row r="35" spans="1:18" ht="15.75" hidden="1" outlineLevel="1" x14ac:dyDescent="0.2">
      <c r="A35" s="118" t="s">
        <v>748</v>
      </c>
      <c r="B35" s="120">
        <v>2</v>
      </c>
      <c r="C35" s="724">
        <f>SUMIF(ГР13М,2,№ИГР13)</f>
        <v>0</v>
      </c>
      <c r="D35" s="119" t="e">
        <f>IF(C35="",C35,VLOOKUP(C35,'Списки участников'!A:H,3,FALSE))</f>
        <v>#N/A</v>
      </c>
      <c r="E35" s="119" t="e">
        <f>IF(C35="",C35,VLOOKUP(C35,'Списки участников'!A:H,5,FALSE))</f>
        <v>#N/A</v>
      </c>
      <c r="F35" s="725" t="e">
        <f>IF(C35="",C35,VLOOKUP(C35,'Списки участников'!A:H,6,FALSE))</f>
        <v>#N/A</v>
      </c>
      <c r="G35" s="164"/>
      <c r="H35" s="784"/>
      <c r="I35" s="164"/>
      <c r="J35" s="164"/>
      <c r="K35" s="784"/>
      <c r="L35" s="164"/>
      <c r="M35" s="164"/>
      <c r="N35" s="784"/>
      <c r="O35" s="164"/>
      <c r="P35" s="164"/>
      <c r="Q35" s="164"/>
      <c r="R35" s="164"/>
    </row>
    <row r="36" spans="1:18" ht="15.75" hidden="1" outlineLevel="1" x14ac:dyDescent="0.2">
      <c r="A36" s="118" t="s">
        <v>749</v>
      </c>
      <c r="B36" s="120">
        <v>2</v>
      </c>
      <c r="C36" s="724">
        <f>SUMIF(ГР14М,2,№ИГР14)</f>
        <v>0</v>
      </c>
      <c r="D36" s="119" t="e">
        <f>IF(C36="",C36,VLOOKUP(C36,'Списки участников'!A:H,3,FALSE))</f>
        <v>#N/A</v>
      </c>
      <c r="E36" s="119" t="e">
        <f>IF(C36="",C36,VLOOKUP(C36,'Списки участников'!A:H,5,FALSE))</f>
        <v>#N/A</v>
      </c>
      <c r="F36" s="725" t="e">
        <f>IF(C36="",C36,VLOOKUP(C36,'Списки участников'!A:H,6,FALSE))</f>
        <v>#N/A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</row>
    <row r="37" spans="1:18" ht="15.75" hidden="1" outlineLevel="1" x14ac:dyDescent="0.2">
      <c r="A37" s="118" t="s">
        <v>750</v>
      </c>
      <c r="B37" s="120">
        <v>2</v>
      </c>
      <c r="C37" s="724">
        <f>SUMIF(ГР15М,2,№ИГР15)</f>
        <v>0</v>
      </c>
      <c r="D37" s="119" t="e">
        <f>IF(C37="",C37,VLOOKUP(C37,'Списки участников'!A:H,3,FALSE))</f>
        <v>#N/A</v>
      </c>
      <c r="E37" s="119" t="e">
        <f>IF(C37="",C37,VLOOKUP(C37,'Списки участников'!A:H,5,FALSE))</f>
        <v>#N/A</v>
      </c>
      <c r="F37" s="725" t="e">
        <f>IF(C37="",C37,VLOOKUP(C37,'Списки участников'!A:H,6,FALSE))</f>
        <v>#N/A</v>
      </c>
      <c r="G37" s="164"/>
      <c r="H37" s="784"/>
      <c r="I37" s="164"/>
      <c r="J37" s="164"/>
      <c r="K37" s="784"/>
      <c r="L37" s="164"/>
      <c r="M37" s="164"/>
      <c r="N37" s="784"/>
      <c r="O37" s="164"/>
      <c r="P37" s="164"/>
      <c r="Q37" s="164"/>
      <c r="R37" s="164"/>
    </row>
    <row r="38" spans="1:18" ht="15.75" hidden="1" outlineLevel="1" x14ac:dyDescent="0.2">
      <c r="A38" s="118" t="s">
        <v>751</v>
      </c>
      <c r="B38" s="120">
        <v>2</v>
      </c>
      <c r="C38" s="724">
        <f>SUMIF(ГР16М,2,№ИГР16)</f>
        <v>0</v>
      </c>
      <c r="D38" s="119" t="e">
        <f>IF(C38="",C38,VLOOKUP(C38,'Списки участников'!A:H,3,FALSE))</f>
        <v>#N/A</v>
      </c>
      <c r="E38" s="119" t="e">
        <f>IF(C38="",C38,VLOOKUP(C38,'Списки участников'!A:H,5,FALSE))</f>
        <v>#N/A</v>
      </c>
      <c r="F38" s="725" t="e">
        <f>IF(C38="",C38,VLOOKUP(C38,'Списки участников'!A:H,6,FALSE))</f>
        <v>#N/A</v>
      </c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</row>
    <row r="39" spans="1:18" collapsed="1" x14ac:dyDescent="0.2">
      <c r="A39" s="125"/>
      <c r="B39" s="125"/>
      <c r="C39" s="126"/>
      <c r="D39" s="125"/>
      <c r="E39" s="127"/>
      <c r="F39" s="125"/>
      <c r="G39" s="164"/>
      <c r="H39" s="164"/>
      <c r="I39" s="164"/>
      <c r="J39" s="164"/>
      <c r="K39" s="784"/>
      <c r="L39" s="164"/>
      <c r="M39" s="164"/>
      <c r="N39" s="784"/>
      <c r="O39" s="164"/>
      <c r="P39" s="164"/>
      <c r="Q39" s="164"/>
      <c r="R39" s="164"/>
    </row>
    <row r="40" spans="1:18" x14ac:dyDescent="0.2">
      <c r="A40" s="125"/>
      <c r="B40" s="125"/>
      <c r="C40" s="126"/>
      <c r="D40" s="125"/>
      <c r="E40" s="127"/>
      <c r="F40" s="125"/>
      <c r="G40" s="164"/>
      <c r="H40" s="784"/>
      <c r="I40" s="164"/>
      <c r="J40" s="164"/>
      <c r="K40" s="164"/>
      <c r="L40" s="164"/>
      <c r="M40" s="164"/>
      <c r="N40" s="164"/>
      <c r="O40" s="164"/>
      <c r="P40" s="164"/>
      <c r="Q40" s="164"/>
      <c r="R40" s="164"/>
    </row>
    <row r="41" spans="1:18" ht="12.75" customHeight="1" x14ac:dyDescent="0.2">
      <c r="A41" s="1424" t="s">
        <v>734</v>
      </c>
      <c r="B41" s="1424"/>
      <c r="C41" s="1424"/>
      <c r="D41" s="1424"/>
      <c r="E41" s="1424"/>
      <c r="F41" s="1425"/>
      <c r="G41" s="1428"/>
      <c r="H41" s="842"/>
      <c r="I41" s="842"/>
      <c r="J41" s="1428"/>
      <c r="K41" s="842"/>
      <c r="L41" s="842"/>
      <c r="M41" s="1428"/>
      <c r="N41" s="842"/>
      <c r="O41" s="842"/>
      <c r="P41" s="1428"/>
      <c r="Q41" s="842"/>
      <c r="R41" s="842"/>
    </row>
    <row r="42" spans="1:18" x14ac:dyDescent="0.2">
      <c r="A42" s="1426" t="s">
        <v>753</v>
      </c>
      <c r="B42" s="1426"/>
      <c r="C42" s="1426"/>
      <c r="D42" s="1426"/>
      <c r="E42" s="1426"/>
      <c r="F42" s="1427"/>
      <c r="G42" s="1428"/>
      <c r="H42" s="289"/>
      <c r="I42" s="200"/>
      <c r="J42" s="1428"/>
      <c r="K42" s="289"/>
      <c r="L42" s="200"/>
      <c r="M42" s="1428"/>
      <c r="N42" s="289"/>
      <c r="O42" s="200"/>
      <c r="P42" s="1428"/>
      <c r="Q42" s="289"/>
      <c r="R42" s="200"/>
    </row>
    <row r="43" spans="1:18" ht="15.75" x14ac:dyDescent="0.2">
      <c r="A43" s="118" t="s">
        <v>736</v>
      </c>
      <c r="B43" s="120">
        <v>3</v>
      </c>
      <c r="C43" s="724">
        <f>SUMIF(ГР1М,3,№ИГР1)</f>
        <v>48</v>
      </c>
      <c r="D43" s="119" t="str">
        <f>IF(C43="",C43,VLOOKUP(C43,'Списки участников'!A:H,3,FALSE))</f>
        <v>КАЗАРИНА Светлана</v>
      </c>
      <c r="E43" s="119">
        <f>IF(C43="",C43,VLOOKUP(C43,'Списки участников'!A:H,5,FALSE))</f>
        <v>0</v>
      </c>
      <c r="F43" s="119" t="str">
        <f>IF(C43="",C43,VLOOKUP(C43,'Списки участников'!A:H,6,FALSE))</f>
        <v>ПАО НАЗ "СОКОЛ"</v>
      </c>
      <c r="G43" s="1428"/>
      <c r="H43" s="289"/>
      <c r="I43" s="200"/>
      <c r="J43" s="1428"/>
      <c r="K43" s="289"/>
      <c r="L43" s="200"/>
      <c r="M43" s="1428"/>
      <c r="N43" s="289"/>
      <c r="O43" s="200"/>
      <c r="P43" s="1428"/>
      <c r="Q43" s="289"/>
      <c r="R43" s="200"/>
    </row>
    <row r="44" spans="1:18" ht="15.75" customHeight="1" x14ac:dyDescent="0.2">
      <c r="A44" s="118" t="s">
        <v>737</v>
      </c>
      <c r="B44" s="120">
        <v>3</v>
      </c>
      <c r="C44" s="724">
        <f>SUMIF(ГР2М,3,№ИГР2)</f>
        <v>28</v>
      </c>
      <c r="D44" s="119" t="str">
        <f>IF(C44="",C44,VLOOKUP(C44,'Списки участников'!A:H,3,FALSE))</f>
        <v>КОТОВА Наталья</v>
      </c>
      <c r="E44" s="119">
        <f>IF(C44="",C44,VLOOKUP(C44,'Списки участников'!A:H,5,FALSE))</f>
        <v>20</v>
      </c>
      <c r="F44" s="119" t="str">
        <f>IF(C44="",C44,VLOOKUP(C44,'Списки участников'!A:H,6,FALSE))</f>
        <v>"КРАСНОЕ СОРМОВО"</v>
      </c>
      <c r="G44" s="1428"/>
      <c r="H44" s="289"/>
      <c r="I44" s="200"/>
      <c r="J44" s="1428"/>
      <c r="K44" s="289"/>
      <c r="L44" s="200"/>
      <c r="M44" s="1428"/>
      <c r="N44" s="289"/>
      <c r="O44" s="200"/>
      <c r="P44" s="1428"/>
      <c r="Q44" s="289"/>
      <c r="R44" s="200"/>
    </row>
    <row r="45" spans="1:18" ht="15.75" x14ac:dyDescent="0.2">
      <c r="A45" s="118" t="s">
        <v>738</v>
      </c>
      <c r="B45" s="120">
        <v>3</v>
      </c>
      <c r="C45" s="724">
        <f>SUMIF(ГР3М,3,№ИГР3)</f>
        <v>48</v>
      </c>
      <c r="D45" s="119" t="str">
        <f>IF(C45="",C45,VLOOKUP(C45,'Списки участников'!A:H,3,FALSE))</f>
        <v>КАЗАРИНА Светлана</v>
      </c>
      <c r="E45" s="119">
        <f>IF(C45="",C45,VLOOKUP(C45,'Списки участников'!A:H,5,FALSE))</f>
        <v>0</v>
      </c>
      <c r="F45" s="119" t="str">
        <f>IF(C45="",C45,VLOOKUP(C45,'Списки участников'!A:H,6,FALSE))</f>
        <v>ПАО НАЗ "СОКОЛ"</v>
      </c>
      <c r="G45" s="1428"/>
      <c r="H45" s="289"/>
      <c r="I45" s="200"/>
      <c r="J45" s="1428"/>
      <c r="K45" s="289"/>
      <c r="L45" s="200"/>
      <c r="M45" s="1428"/>
      <c r="N45" s="289"/>
      <c r="O45" s="200"/>
      <c r="P45" s="1428"/>
      <c r="Q45" s="289"/>
      <c r="R45" s="200"/>
    </row>
    <row r="46" spans="1:18" ht="15.75" x14ac:dyDescent="0.2">
      <c r="A46" s="118" t="s">
        <v>739</v>
      </c>
      <c r="B46" s="120">
        <v>3</v>
      </c>
      <c r="C46" s="724">
        <f>SUMIF(ГР4М,3,№ИГР4)</f>
        <v>0</v>
      </c>
      <c r="D46" s="119" t="e">
        <f>IF(C46="",C46,VLOOKUP(C46,'Списки участников'!A:H,3,FALSE))</f>
        <v>#N/A</v>
      </c>
      <c r="E46" s="119" t="e">
        <f>IF(C46="",C46,VLOOKUP(C46,'Списки участников'!A:H,5,FALSE))</f>
        <v>#N/A</v>
      </c>
      <c r="F46" s="119" t="e">
        <f>IF(C46="",C46,VLOOKUP(C46,'Списки участников'!A:H,6,FALSE))</f>
        <v>#N/A</v>
      </c>
      <c r="G46" s="1428"/>
      <c r="H46" s="289"/>
      <c r="I46" s="200"/>
      <c r="J46" s="1428"/>
      <c r="K46" s="289"/>
      <c r="L46" s="200"/>
      <c r="M46" s="1428"/>
      <c r="N46" s="289"/>
      <c r="O46" s="200"/>
      <c r="P46" s="1428"/>
      <c r="Q46" s="289"/>
      <c r="R46" s="200"/>
    </row>
    <row r="47" spans="1:18" ht="15.75" customHeight="1" x14ac:dyDescent="0.2">
      <c r="A47" s="118" t="s">
        <v>740</v>
      </c>
      <c r="B47" s="120">
        <v>3</v>
      </c>
      <c r="C47" s="724">
        <f>SUMIF(ГР5М,3,№ИГР5)</f>
        <v>0</v>
      </c>
      <c r="D47" s="119" t="e">
        <f>IF(C47="",C47,VLOOKUP(C47,'Списки участников'!A:H,3,FALSE))</f>
        <v>#N/A</v>
      </c>
      <c r="E47" s="119" t="e">
        <f>IF(C47="",C47,VLOOKUP(C47,'Списки участников'!A:H,5,FALSE))</f>
        <v>#N/A</v>
      </c>
      <c r="F47" s="119" t="e">
        <f>IF(C47="",C47,VLOOKUP(C47,'Списки участников'!A:H,6,FALSE))</f>
        <v>#N/A</v>
      </c>
      <c r="G47" s="1428"/>
      <c r="H47" s="289"/>
      <c r="I47" s="200"/>
      <c r="J47" s="1428"/>
      <c r="K47" s="289"/>
      <c r="L47" s="200"/>
      <c r="M47" s="1428"/>
      <c r="N47" s="289"/>
      <c r="O47" s="200"/>
      <c r="P47" s="1428"/>
      <c r="Q47" s="289"/>
      <c r="R47" s="200"/>
    </row>
    <row r="48" spans="1:18" ht="15.75" x14ac:dyDescent="0.2">
      <c r="A48" s="118" t="s">
        <v>741</v>
      </c>
      <c r="B48" s="120">
        <v>3</v>
      </c>
      <c r="C48" s="724">
        <f>SUMIF(ГР6М,3,№ИГР6)</f>
        <v>0</v>
      </c>
      <c r="D48" s="119" t="e">
        <f>IF(C48="",C48,VLOOKUP(C48,'Списки участников'!A:H,3,FALSE))</f>
        <v>#N/A</v>
      </c>
      <c r="E48" s="119" t="e">
        <f>IF(C48="",C48,VLOOKUP(C48,'Списки участников'!A:H,5,FALSE))</f>
        <v>#N/A</v>
      </c>
      <c r="F48" s="119" t="e">
        <f>IF(C48="",C48,VLOOKUP(C48,'Списки участников'!A:H,6,FALSE))</f>
        <v>#N/A</v>
      </c>
      <c r="G48" s="1428"/>
      <c r="H48" s="289"/>
      <c r="I48" s="200"/>
      <c r="J48" s="1428"/>
      <c r="K48" s="289"/>
      <c r="L48" s="200"/>
      <c r="M48" s="1428"/>
      <c r="N48" s="289"/>
      <c r="O48" s="200"/>
      <c r="P48" s="1428"/>
      <c r="Q48" s="289"/>
      <c r="R48" s="200"/>
    </row>
    <row r="49" spans="1:18" ht="15.75" x14ac:dyDescent="0.2">
      <c r="A49" s="118" t="s">
        <v>742</v>
      </c>
      <c r="B49" s="120">
        <v>3</v>
      </c>
      <c r="C49" s="724">
        <f>SUMIF(ГР7М,3,№ИГР7)</f>
        <v>0</v>
      </c>
      <c r="D49" s="119" t="e">
        <f>IF(C49="",C49,VLOOKUP(C49,'Списки участников'!A:H,3,FALSE))</f>
        <v>#N/A</v>
      </c>
      <c r="E49" s="119" t="e">
        <f>IF(C49="",C49,VLOOKUP(C49,'Списки участников'!A:H,5,FALSE))</f>
        <v>#N/A</v>
      </c>
      <c r="F49" s="119" t="e">
        <f>IF(C49="",C49,VLOOKUP(C49,'Списки участников'!A:H,6,FALSE))</f>
        <v>#N/A</v>
      </c>
      <c r="G49" s="1428"/>
      <c r="H49" s="289"/>
      <c r="I49" s="200"/>
      <c r="J49" s="1428"/>
      <c r="K49" s="289"/>
      <c r="L49" s="200"/>
      <c r="M49" s="1428"/>
      <c r="N49" s="289"/>
      <c r="O49" s="200"/>
      <c r="P49" s="1428"/>
      <c r="Q49" s="289"/>
      <c r="R49" s="200"/>
    </row>
    <row r="50" spans="1:18" ht="15.75" customHeight="1" x14ac:dyDescent="0.2">
      <c r="A50" s="118" t="s">
        <v>743</v>
      </c>
      <c r="B50" s="120">
        <v>3</v>
      </c>
      <c r="C50" s="724">
        <f>SUMIF(ГР8М,3,№ИГР8)</f>
        <v>0</v>
      </c>
      <c r="D50" s="119" t="e">
        <f>IF(C50="",C50,VLOOKUP(C50,'Списки участников'!A:H,3,FALSE))</f>
        <v>#N/A</v>
      </c>
      <c r="E50" s="119" t="e">
        <f>IF(C50="",C50,VLOOKUP(C50,'Списки участников'!A:H,5,FALSE))</f>
        <v>#N/A</v>
      </c>
      <c r="F50" s="119" t="e">
        <f>IF(C50="",C50,VLOOKUP(C50,'Списки участников'!A:H,6,FALSE))</f>
        <v>#N/A</v>
      </c>
      <c r="G50" s="1428"/>
      <c r="H50" s="289"/>
      <c r="I50" s="200"/>
      <c r="J50" s="1428"/>
      <c r="K50" s="289"/>
      <c r="L50" s="200"/>
      <c r="M50" s="1428"/>
      <c r="N50" s="289"/>
      <c r="O50" s="200"/>
      <c r="P50" s="1428"/>
      <c r="Q50" s="289"/>
      <c r="R50" s="200"/>
    </row>
    <row r="51" spans="1:18" ht="15.75" hidden="1" customHeight="1" outlineLevel="1" x14ac:dyDescent="0.2">
      <c r="A51" s="118" t="s">
        <v>744</v>
      </c>
      <c r="B51" s="120">
        <v>3</v>
      </c>
      <c r="C51" s="724">
        <f>SUMIF(ГР9М,3,№ИГР9)</f>
        <v>0</v>
      </c>
      <c r="D51" s="119" t="e">
        <f>IF(C51="",C51,VLOOKUP(C51,'Списки участников'!A:H,3,FALSE))</f>
        <v>#N/A</v>
      </c>
      <c r="E51" s="119" t="e">
        <f>IF(C51="",C51,VLOOKUP(C51,'Списки участников'!A:H,5,FALSE))</f>
        <v>#N/A</v>
      </c>
      <c r="F51" s="725" t="e">
        <f>IF(C51="",C51,VLOOKUP(C51,'Списки участников'!A:H,6,FALSE))</f>
        <v>#N/A</v>
      </c>
      <c r="G51" s="782"/>
      <c r="H51" s="289"/>
      <c r="I51" s="164"/>
      <c r="J51" s="289"/>
      <c r="K51" s="289"/>
      <c r="L51" s="164"/>
      <c r="M51" s="164"/>
      <c r="N51" s="164"/>
      <c r="O51" s="164"/>
      <c r="P51" s="164"/>
      <c r="Q51" s="164"/>
      <c r="R51" s="164"/>
    </row>
    <row r="52" spans="1:18" ht="15.75" hidden="1" customHeight="1" outlineLevel="1" x14ac:dyDescent="0.2">
      <c r="A52" s="118" t="s">
        <v>745</v>
      </c>
      <c r="B52" s="120">
        <v>3</v>
      </c>
      <c r="C52" s="724">
        <f>SUMIF(ГР10М,3,№ИГР10)</f>
        <v>0</v>
      </c>
      <c r="D52" s="119" t="e">
        <f>IF(C52="",C52,VLOOKUP(C52,'Списки участников'!A:H,3,FALSE))</f>
        <v>#N/A</v>
      </c>
      <c r="E52" s="119" t="e">
        <f>IF(C52="",C52,VLOOKUP(C52,'Списки участников'!A:H,5,FALSE))</f>
        <v>#N/A</v>
      </c>
      <c r="F52" s="725" t="e">
        <f>IF(C52="",C52,VLOOKUP(C52,'Списки участников'!A:H,6,FALSE))</f>
        <v>#N/A</v>
      </c>
      <c r="G52" s="289"/>
      <c r="H52" s="289"/>
      <c r="I52" s="164"/>
      <c r="J52" s="289"/>
      <c r="K52" s="783"/>
      <c r="L52" s="164"/>
      <c r="M52" s="164"/>
      <c r="N52" s="784"/>
      <c r="O52" s="164"/>
      <c r="P52" s="164"/>
      <c r="Q52" s="164"/>
      <c r="R52" s="164"/>
    </row>
    <row r="53" spans="1:18" ht="15.75" hidden="1" customHeight="1" outlineLevel="1" x14ac:dyDescent="0.2">
      <c r="A53" s="118" t="s">
        <v>746</v>
      </c>
      <c r="B53" s="120">
        <v>3</v>
      </c>
      <c r="C53" s="724">
        <f>SUMIF(ГР11М,3,№ИГР11)</f>
        <v>0</v>
      </c>
      <c r="D53" s="119" t="e">
        <f>IF(C53="",C53,VLOOKUP(C53,'Списки участников'!A:H,3,FALSE))</f>
        <v>#N/A</v>
      </c>
      <c r="E53" s="119" t="e">
        <f>IF(C53="",C53,VLOOKUP(C53,'Списки участников'!A:H,5,FALSE))</f>
        <v>#N/A</v>
      </c>
      <c r="F53" s="725" t="e">
        <f>IF(C53="",C53,VLOOKUP(C53,'Списки участников'!A:H,6,FALSE))</f>
        <v>#N/A</v>
      </c>
      <c r="G53" s="289"/>
      <c r="H53" s="289"/>
      <c r="I53" s="164"/>
      <c r="J53" s="289"/>
      <c r="K53" s="289"/>
      <c r="L53" s="164"/>
      <c r="M53" s="164"/>
      <c r="N53" s="164"/>
      <c r="O53" s="164"/>
      <c r="P53" s="164"/>
      <c r="Q53" s="164"/>
      <c r="R53" s="164"/>
    </row>
    <row r="54" spans="1:18" ht="15.75" hidden="1" customHeight="1" outlineLevel="1" x14ac:dyDescent="0.2">
      <c r="A54" s="118" t="s">
        <v>747</v>
      </c>
      <c r="B54" s="120">
        <v>3</v>
      </c>
      <c r="C54" s="724">
        <f>SUMIF(ГР12М,3,№ИГР12)</f>
        <v>0</v>
      </c>
      <c r="D54" s="119" t="e">
        <f>IF(C54="",C54,VLOOKUP(C54,'Списки участников'!A:H,3,FALSE))</f>
        <v>#N/A</v>
      </c>
      <c r="E54" s="119" t="e">
        <f>IF(C54="",C54,VLOOKUP(C54,'Списки участников'!A:H,5,FALSE))</f>
        <v>#N/A</v>
      </c>
      <c r="F54" s="725" t="e">
        <f>IF(C54="",C54,VLOOKUP(C54,'Списки участников'!A:H,6,FALSE))</f>
        <v>#N/A</v>
      </c>
      <c r="G54" s="289"/>
      <c r="H54" s="289"/>
      <c r="I54" s="164"/>
      <c r="J54" s="289"/>
      <c r="K54" s="783"/>
      <c r="L54" s="164"/>
      <c r="M54" s="164"/>
      <c r="N54" s="784"/>
      <c r="O54" s="164"/>
      <c r="P54" s="164"/>
      <c r="Q54" s="164"/>
      <c r="R54" s="164"/>
    </row>
    <row r="55" spans="1:18" ht="15.75" hidden="1" customHeight="1" outlineLevel="1" x14ac:dyDescent="0.2">
      <c r="A55" s="118" t="s">
        <v>748</v>
      </c>
      <c r="B55" s="120">
        <v>3</v>
      </c>
      <c r="C55" s="724">
        <f>SUMIF(ГР13М,3,№ИГР13)</f>
        <v>0</v>
      </c>
      <c r="D55" s="119" t="e">
        <f>IF(C55="",C55,VLOOKUP(C55,'Списки участников'!A:H,3,FALSE))</f>
        <v>#N/A</v>
      </c>
      <c r="E55" s="119" t="e">
        <f>IF(C55="",C55,VLOOKUP(C55,'Списки участников'!A:H,5,FALSE))</f>
        <v>#N/A</v>
      </c>
      <c r="F55" s="725" t="e">
        <f>IF(C55="",C55,VLOOKUP(C55,'Списки участников'!A:H,6,FALSE))</f>
        <v>#N/A</v>
      </c>
      <c r="G55" s="289"/>
      <c r="H55" s="289"/>
      <c r="I55" s="164"/>
      <c r="J55" s="289"/>
      <c r="K55" s="289"/>
      <c r="L55" s="164"/>
      <c r="M55" s="164"/>
      <c r="N55" s="164"/>
      <c r="O55" s="164"/>
      <c r="P55" s="164"/>
      <c r="Q55" s="164"/>
      <c r="R55" s="164"/>
    </row>
    <row r="56" spans="1:18" ht="15.75" hidden="1" customHeight="1" outlineLevel="1" x14ac:dyDescent="0.2">
      <c r="A56" s="118" t="s">
        <v>749</v>
      </c>
      <c r="B56" s="120">
        <v>3</v>
      </c>
      <c r="C56" s="724">
        <f>SUMIF(ГР14М,3,№ИГР14)</f>
        <v>0</v>
      </c>
      <c r="D56" s="119" t="e">
        <f>IF(C56="",C56,VLOOKUP(C56,'Списки участников'!A:H,3,FALSE))</f>
        <v>#N/A</v>
      </c>
      <c r="E56" s="119" t="e">
        <f>IF(C56="",C56,VLOOKUP(C56,'Списки участников'!A:H,5,FALSE))</f>
        <v>#N/A</v>
      </c>
      <c r="F56" s="725" t="e">
        <f>IF(C56="",C56,VLOOKUP(C56,'Списки участников'!A:H,6,FALSE))</f>
        <v>#N/A</v>
      </c>
      <c r="G56" s="289"/>
      <c r="H56" s="289"/>
      <c r="I56" s="164"/>
      <c r="J56" s="289"/>
      <c r="K56" s="783"/>
      <c r="L56" s="164"/>
      <c r="M56" s="164"/>
      <c r="N56" s="784"/>
      <c r="O56" s="164"/>
      <c r="P56" s="164"/>
      <c r="Q56" s="164"/>
      <c r="R56" s="164"/>
    </row>
    <row r="57" spans="1:18" ht="15.75" hidden="1" customHeight="1" outlineLevel="1" x14ac:dyDescent="0.2">
      <c r="A57" s="118" t="s">
        <v>750</v>
      </c>
      <c r="B57" s="120">
        <v>3</v>
      </c>
      <c r="C57" s="724">
        <f>SUMIF(ГР15М,3,№ИГР15)</f>
        <v>0</v>
      </c>
      <c r="D57" s="119" t="e">
        <f>IF(C57="",C57,VLOOKUP(C57,'Списки участников'!A:H,3,FALSE))</f>
        <v>#N/A</v>
      </c>
      <c r="E57" s="119" t="e">
        <f>IF(C57="",C57,VLOOKUP(C57,'Списки участников'!A:H,5,FALSE))</f>
        <v>#N/A</v>
      </c>
      <c r="F57" s="725" t="e">
        <f>IF(C57="",C57,VLOOKUP(C57,'Списки участников'!A:H,6,FALSE))</f>
        <v>#N/A</v>
      </c>
      <c r="G57" s="289"/>
      <c r="H57" s="289"/>
      <c r="I57" s="164"/>
      <c r="J57" s="289"/>
      <c r="K57" s="289"/>
      <c r="L57" s="164"/>
      <c r="M57" s="164"/>
      <c r="N57" s="164"/>
      <c r="O57" s="164"/>
      <c r="P57" s="164"/>
      <c r="Q57" s="164"/>
      <c r="R57" s="164"/>
    </row>
    <row r="58" spans="1:18" ht="15.75" hidden="1" customHeight="1" outlineLevel="1" x14ac:dyDescent="0.2">
      <c r="A58" s="118" t="s">
        <v>751</v>
      </c>
      <c r="B58" s="120">
        <v>3</v>
      </c>
      <c r="C58" s="724">
        <f>SUMIF(ГР16М,3,№ИГР16)</f>
        <v>0</v>
      </c>
      <c r="D58" s="119" t="e">
        <f>IF(C58="",C58,VLOOKUP(C58,'Списки участников'!A:H,3,FALSE))</f>
        <v>#N/A</v>
      </c>
      <c r="E58" s="119" t="e">
        <f>IF(C58="",C58,VLOOKUP(C58,'Списки участников'!A:H,5,FALSE))</f>
        <v>#N/A</v>
      </c>
      <c r="F58" s="725" t="e">
        <f>IF(C58="",C58,VLOOKUP(C58,'Списки участников'!A:H,6,FALSE))</f>
        <v>#N/A</v>
      </c>
      <c r="G58" s="289"/>
      <c r="H58" s="289"/>
      <c r="I58" s="164"/>
      <c r="J58" s="289"/>
      <c r="K58" s="783"/>
      <c r="L58" s="164"/>
      <c r="M58" s="164"/>
      <c r="N58" s="784"/>
      <c r="O58" s="164"/>
      <c r="P58" s="164"/>
      <c r="Q58" s="164"/>
      <c r="R58" s="164"/>
    </row>
    <row r="59" spans="1:18" collapsed="1" x14ac:dyDescent="0.2">
      <c r="A59" s="2"/>
      <c r="B59" s="2"/>
      <c r="C59" s="121"/>
      <c r="D59" s="122"/>
      <c r="E59" s="123"/>
      <c r="F59" s="124"/>
      <c r="G59" s="289"/>
      <c r="H59" s="289"/>
      <c r="I59" s="164"/>
      <c r="J59" s="289"/>
      <c r="K59" s="289"/>
      <c r="L59" s="164"/>
      <c r="M59" s="164"/>
      <c r="N59" s="164"/>
      <c r="O59" s="164"/>
      <c r="P59" s="164"/>
      <c r="Q59" s="164"/>
      <c r="R59" s="164"/>
    </row>
    <row r="60" spans="1:18" ht="12.75" customHeight="1" x14ac:dyDescent="0.2">
      <c r="A60" s="1424" t="s">
        <v>734</v>
      </c>
      <c r="B60" s="1424"/>
      <c r="C60" s="1424"/>
      <c r="D60" s="1424"/>
      <c r="E60" s="1424"/>
      <c r="F60" s="1425"/>
      <c r="G60" s="1428"/>
      <c r="H60" s="842"/>
      <c r="I60" s="842"/>
      <c r="J60" s="1428"/>
      <c r="K60" s="842"/>
      <c r="L60" s="842"/>
      <c r="M60" s="1428"/>
      <c r="N60" s="842"/>
      <c r="O60" s="842"/>
      <c r="P60" s="1428"/>
      <c r="Q60" s="842"/>
      <c r="R60" s="842"/>
    </row>
    <row r="61" spans="1:18" x14ac:dyDescent="0.2">
      <c r="A61" s="1426" t="s">
        <v>754</v>
      </c>
      <c r="B61" s="1426"/>
      <c r="C61" s="1426"/>
      <c r="D61" s="1426"/>
      <c r="E61" s="1426"/>
      <c r="F61" s="1427"/>
      <c r="G61" s="1428"/>
      <c r="H61" s="289"/>
      <c r="I61" s="200"/>
      <c r="J61" s="1428"/>
      <c r="K61" s="289"/>
      <c r="L61" s="200"/>
      <c r="M61" s="1428"/>
      <c r="N61" s="289"/>
      <c r="O61" s="200"/>
      <c r="P61" s="1428"/>
      <c r="Q61" s="289"/>
      <c r="R61" s="200"/>
    </row>
    <row r="62" spans="1:18" ht="15.75" x14ac:dyDescent="0.2">
      <c r="A62" s="118" t="s">
        <v>736</v>
      </c>
      <c r="B62" s="120">
        <v>4</v>
      </c>
      <c r="C62" s="724">
        <f>SUMIF(ГР1М,4,№ИГР1)</f>
        <v>24</v>
      </c>
      <c r="D62" s="119" t="str">
        <f>IF(C62="",C62,VLOOKUP(C62,'Списки участников'!A:H,3,FALSE))</f>
        <v>КРЫЛОВА Ольга</v>
      </c>
      <c r="E62" s="119">
        <f>IF(C62="",C62,VLOOKUP(C62,'Списки участников'!A:H,5,FALSE))</f>
        <v>19</v>
      </c>
      <c r="F62" s="119" t="str">
        <f>IF(C62="",C62,VLOOKUP(C62,'Списки участников'!A:H,6,FALSE))</f>
        <v>НИИИС</v>
      </c>
      <c r="G62" s="1428"/>
      <c r="H62" s="289"/>
      <c r="I62" s="200"/>
      <c r="J62" s="1428"/>
      <c r="K62" s="289"/>
      <c r="L62" s="200"/>
      <c r="M62" s="1428"/>
      <c r="N62" s="289"/>
      <c r="O62" s="200"/>
      <c r="P62" s="1428"/>
      <c r="Q62" s="289"/>
      <c r="R62" s="200"/>
    </row>
    <row r="63" spans="1:18" ht="15.75" x14ac:dyDescent="0.2">
      <c r="A63" s="118" t="s">
        <v>737</v>
      </c>
      <c r="B63" s="120">
        <v>4</v>
      </c>
      <c r="C63" s="724">
        <f>SUMIF(ГР2М,4,№ИГР2)</f>
        <v>44</v>
      </c>
      <c r="D63" s="119" t="str">
        <f>IF(C63="",C63,VLOOKUP(C63,'Списки участников'!A:H,3,FALSE))</f>
        <v>ЦАРЕВА Анна</v>
      </c>
      <c r="E63" s="119">
        <f>IF(C63="",C63,VLOOKUP(C63,'Списки участников'!A:H,5,FALSE))</f>
        <v>0</v>
      </c>
      <c r="F63" s="119" t="str">
        <f>IF(C63="",C63,VLOOKUP(C63,'Списки участников'!A:H,6,FALSE))</f>
        <v>ЗАО "НПП "Салют-27"</v>
      </c>
      <c r="G63" s="1428"/>
      <c r="H63" s="289"/>
      <c r="I63" s="200"/>
      <c r="J63" s="1428"/>
      <c r="K63" s="289"/>
      <c r="L63" s="200"/>
      <c r="M63" s="1428"/>
      <c r="N63" s="289"/>
      <c r="O63" s="200"/>
      <c r="P63" s="1428"/>
      <c r="Q63" s="289"/>
      <c r="R63" s="200"/>
    </row>
    <row r="64" spans="1:18" ht="15.75" x14ac:dyDescent="0.2">
      <c r="A64" s="118" t="s">
        <v>738</v>
      </c>
      <c r="B64" s="120">
        <v>4</v>
      </c>
      <c r="C64" s="724">
        <f>SUMIF(ГР3М,4,№ИГР3)</f>
        <v>12</v>
      </c>
      <c r="D64" s="119" t="str">
        <f>IF(C64="",C64,VLOOKUP(C64,'Списки участников'!A:H,3,FALSE))</f>
        <v>АКИМОВА Марина</v>
      </c>
      <c r="E64" s="119">
        <f>IF(C64="",C64,VLOOKUP(C64,'Списки участников'!A:H,5,FALSE))</f>
        <v>6</v>
      </c>
      <c r="F64" s="119" t="str">
        <f>IF(C64="",C64,VLOOKUP(C64,'Списки участников'!A:H,6,FALSE))</f>
        <v>ОАО "НИАЭП"</v>
      </c>
      <c r="G64" s="1428"/>
      <c r="H64" s="289"/>
      <c r="I64" s="200"/>
      <c r="J64" s="1428"/>
      <c r="K64" s="289"/>
      <c r="L64" s="200"/>
      <c r="M64" s="1428"/>
      <c r="N64" s="289"/>
      <c r="O64" s="200"/>
      <c r="P64" s="1428"/>
      <c r="Q64" s="289"/>
      <c r="R64" s="200"/>
    </row>
    <row r="65" spans="1:18" ht="15.75" x14ac:dyDescent="0.2">
      <c r="A65" s="118" t="s">
        <v>739</v>
      </c>
      <c r="B65" s="120">
        <v>4</v>
      </c>
      <c r="C65" s="724">
        <f>SUMIF(ГР4М,4,№ИГР4)</f>
        <v>0</v>
      </c>
      <c r="D65" s="119" t="e">
        <f>IF(C65="",C65,VLOOKUP(C65,'Списки участников'!A:H,3,FALSE))</f>
        <v>#N/A</v>
      </c>
      <c r="E65" s="119" t="e">
        <f>IF(C65="",C65,VLOOKUP(C65,'Списки участников'!A:H,5,FALSE))</f>
        <v>#N/A</v>
      </c>
      <c r="F65" s="119" t="e">
        <f>IF(C65="",C65,VLOOKUP(C65,'Списки участников'!A:H,6,FALSE))</f>
        <v>#N/A</v>
      </c>
      <c r="G65" s="1428"/>
      <c r="H65" s="289"/>
      <c r="I65" s="200"/>
      <c r="J65" s="1428"/>
      <c r="K65" s="289"/>
      <c r="L65" s="200"/>
      <c r="M65" s="1428"/>
      <c r="N65" s="289"/>
      <c r="O65" s="200"/>
      <c r="P65" s="1428"/>
      <c r="Q65" s="289"/>
      <c r="R65" s="200"/>
    </row>
    <row r="66" spans="1:18" ht="15.75" x14ac:dyDescent="0.2">
      <c r="A66" s="118" t="s">
        <v>740</v>
      </c>
      <c r="B66" s="120">
        <v>4</v>
      </c>
      <c r="C66" s="724">
        <f>SUMIF(ГР5М,4,№ИГР5)</f>
        <v>0</v>
      </c>
      <c r="D66" s="119" t="e">
        <f>IF(C66="",C66,VLOOKUP(C66,'Списки участников'!A:H,3,FALSE))</f>
        <v>#N/A</v>
      </c>
      <c r="E66" s="119" t="e">
        <f>IF(C66="",C66,VLOOKUP(C66,'Списки участников'!A:H,5,FALSE))</f>
        <v>#N/A</v>
      </c>
      <c r="F66" s="119" t="e">
        <f>IF(C66="",C66,VLOOKUP(C66,'Списки участников'!A:H,6,FALSE))</f>
        <v>#N/A</v>
      </c>
      <c r="G66" s="1428"/>
      <c r="H66" s="289"/>
      <c r="I66" s="200"/>
      <c r="J66" s="1428"/>
      <c r="K66" s="289"/>
      <c r="L66" s="200"/>
      <c r="M66" s="1428"/>
      <c r="N66" s="289"/>
      <c r="O66" s="200"/>
      <c r="P66" s="1428"/>
      <c r="Q66" s="289"/>
      <c r="R66" s="200"/>
    </row>
    <row r="67" spans="1:18" ht="15.75" x14ac:dyDescent="0.2">
      <c r="A67" s="118" t="s">
        <v>741</v>
      </c>
      <c r="B67" s="120">
        <v>4</v>
      </c>
      <c r="C67" s="724">
        <f>SUMIF(ГР6М,4,№ИГР6)</f>
        <v>0</v>
      </c>
      <c r="D67" s="119" t="e">
        <f>IF(C67="",C67,VLOOKUP(C67,'Списки участников'!A:H,3,FALSE))</f>
        <v>#N/A</v>
      </c>
      <c r="E67" s="119" t="e">
        <f>IF(C67="",C67,VLOOKUP(C67,'Списки участников'!A:H,5,FALSE))</f>
        <v>#N/A</v>
      </c>
      <c r="F67" s="119" t="e">
        <f>IF(C67="",C67,VLOOKUP(C67,'Списки участников'!A:H,6,FALSE))</f>
        <v>#N/A</v>
      </c>
      <c r="G67" s="1428"/>
      <c r="H67" s="289"/>
      <c r="I67" s="200"/>
      <c r="J67" s="1428"/>
      <c r="K67" s="289"/>
      <c r="L67" s="200"/>
      <c r="M67" s="1428"/>
      <c r="N67" s="289"/>
      <c r="O67" s="200"/>
      <c r="P67" s="1428"/>
      <c r="Q67" s="289"/>
      <c r="R67" s="200"/>
    </row>
    <row r="68" spans="1:18" ht="15.75" x14ac:dyDescent="0.2">
      <c r="A68" s="118" t="s">
        <v>742</v>
      </c>
      <c r="B68" s="120">
        <v>4</v>
      </c>
      <c r="C68" s="724">
        <f>SUMIF(ГР7М,4,№ИГР7)</f>
        <v>0</v>
      </c>
      <c r="D68" s="119" t="e">
        <f>IF(C68="",C68,VLOOKUP(C68,'Списки участников'!A:H,3,FALSE))</f>
        <v>#N/A</v>
      </c>
      <c r="E68" s="119" t="e">
        <f>IF(C68="",C68,VLOOKUP(C68,'Списки участников'!A:H,5,FALSE))</f>
        <v>#N/A</v>
      </c>
      <c r="F68" s="119" t="e">
        <f>IF(C68="",C68,VLOOKUP(C68,'Списки участников'!A:H,6,FALSE))</f>
        <v>#N/A</v>
      </c>
      <c r="G68" s="1428"/>
      <c r="H68" s="289"/>
      <c r="I68" s="200"/>
      <c r="J68" s="1428"/>
      <c r="K68" s="289"/>
      <c r="L68" s="200"/>
      <c r="M68" s="1428"/>
      <c r="N68" s="289"/>
      <c r="O68" s="200"/>
      <c r="P68" s="1428"/>
      <c r="Q68" s="289"/>
      <c r="R68" s="200"/>
    </row>
    <row r="69" spans="1:18" ht="15.75" x14ac:dyDescent="0.2">
      <c r="A69" s="118" t="s">
        <v>743</v>
      </c>
      <c r="B69" s="120">
        <v>4</v>
      </c>
      <c r="C69" s="724">
        <f>SUMIF(ГР8М,4,№ИГР8)</f>
        <v>0</v>
      </c>
      <c r="D69" s="119" t="e">
        <f>IF(C69="",C69,VLOOKUP(C69,'Списки участников'!A:H,3,FALSE))</f>
        <v>#N/A</v>
      </c>
      <c r="E69" s="119" t="e">
        <f>IF(C69="",C69,VLOOKUP(C69,'Списки участников'!A:H,5,FALSE))</f>
        <v>#N/A</v>
      </c>
      <c r="F69" s="119" t="e">
        <f>IF(C69="",C69,VLOOKUP(C69,'Списки участников'!A:H,6,FALSE))</f>
        <v>#N/A</v>
      </c>
      <c r="G69" s="1428"/>
      <c r="H69" s="289"/>
      <c r="I69" s="200"/>
      <c r="J69" s="1428"/>
      <c r="K69" s="289"/>
      <c r="L69" s="200"/>
      <c r="M69" s="1428"/>
      <c r="N69" s="289"/>
      <c r="O69" s="200"/>
      <c r="P69" s="1428"/>
      <c r="Q69" s="289"/>
      <c r="R69" s="200"/>
    </row>
    <row r="70" spans="1:18" ht="15.75" hidden="1" outlineLevel="1" x14ac:dyDescent="0.2">
      <c r="A70" s="118" t="s">
        <v>744</v>
      </c>
      <c r="B70" s="120">
        <v>4</v>
      </c>
      <c r="C70" s="724">
        <f>SUMIF(ГР9М,4,№ИГР9)</f>
        <v>0</v>
      </c>
      <c r="D70" s="119" t="e">
        <f>IF(C70="",C70,VLOOKUP(C70,'Списки участников'!A:H,3,FALSE))</f>
        <v>#N/A</v>
      </c>
      <c r="E70" s="119" t="e">
        <f>IF(C70="",C70,VLOOKUP(C70,'Списки участников'!A:H,5,FALSE))</f>
        <v>#N/A</v>
      </c>
      <c r="F70" s="725" t="e">
        <f>IF(C70="",C70,VLOOKUP(C70,'Списки участников'!A:H,6,FALSE))</f>
        <v>#N/A</v>
      </c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</row>
    <row r="71" spans="1:18" ht="15.75" hidden="1" outlineLevel="1" x14ac:dyDescent="0.2">
      <c r="A71" s="118" t="s">
        <v>745</v>
      </c>
      <c r="B71" s="120">
        <v>4</v>
      </c>
      <c r="C71" s="724">
        <f>SUMIF(ГР10М,4,№ИГР10)</f>
        <v>0</v>
      </c>
      <c r="D71" s="119" t="e">
        <f>IF(C71="",C71,VLOOKUP(C71,'Списки участников'!A:H,3,FALSE))</f>
        <v>#N/A</v>
      </c>
      <c r="E71" s="119" t="e">
        <f>IF(C71="",C71,VLOOKUP(C71,'Списки участников'!A:H,5,FALSE))</f>
        <v>#N/A</v>
      </c>
      <c r="F71" s="725" t="e">
        <f>IF(C71="",C71,VLOOKUP(C71,'Списки участников'!A:H,6,FALSE))</f>
        <v>#N/A</v>
      </c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</row>
    <row r="72" spans="1:18" ht="15.75" hidden="1" outlineLevel="1" x14ac:dyDescent="0.2">
      <c r="A72" s="118" t="s">
        <v>746</v>
      </c>
      <c r="B72" s="120">
        <v>4</v>
      </c>
      <c r="C72" s="724">
        <f>SUMIF(ГР11М,4,№ИГР11)</f>
        <v>0</v>
      </c>
      <c r="D72" s="119" t="e">
        <f>IF(C72="",C72,VLOOKUP(C72,'Списки участников'!A:H,3,FALSE))</f>
        <v>#N/A</v>
      </c>
      <c r="E72" s="119" t="e">
        <f>IF(C72="",C72,VLOOKUP(C72,'Списки участников'!A:H,5,FALSE))</f>
        <v>#N/A</v>
      </c>
      <c r="F72" s="725" t="e">
        <f>IF(C72="",C72,VLOOKUP(C72,'Списки участников'!A:H,6,FALSE))</f>
        <v>#N/A</v>
      </c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</row>
    <row r="73" spans="1:18" ht="15.75" hidden="1" outlineLevel="1" x14ac:dyDescent="0.2">
      <c r="A73" s="118" t="s">
        <v>747</v>
      </c>
      <c r="B73" s="120">
        <v>4</v>
      </c>
      <c r="C73" s="724">
        <f>SUMIF(ГР12М,4,№ИГР12)</f>
        <v>0</v>
      </c>
      <c r="D73" s="119" t="e">
        <f>IF(C73="",C73,VLOOKUP(C73,'Списки участников'!A:H,3,FALSE))</f>
        <v>#N/A</v>
      </c>
      <c r="E73" s="119" t="e">
        <f>IF(C73="",C73,VLOOKUP(C73,'Списки участников'!A:H,5,FALSE))</f>
        <v>#N/A</v>
      </c>
      <c r="F73" s="725" t="e">
        <f>IF(C73="",C73,VLOOKUP(C73,'Списки участников'!A:H,6,FALSE))</f>
        <v>#N/A</v>
      </c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</row>
    <row r="74" spans="1:18" ht="15.75" hidden="1" outlineLevel="1" x14ac:dyDescent="0.2">
      <c r="A74" s="118" t="s">
        <v>748</v>
      </c>
      <c r="B74" s="120">
        <v>4</v>
      </c>
      <c r="C74" s="724">
        <f>SUMIF(ГР13М,4,№ИГР13)</f>
        <v>0</v>
      </c>
      <c r="D74" s="119" t="e">
        <f>IF(C74="",C74,VLOOKUP(C74,'Списки участников'!A:H,3,FALSE))</f>
        <v>#N/A</v>
      </c>
      <c r="E74" s="119" t="e">
        <f>IF(C74="",C74,VLOOKUP(C74,'Списки участников'!A:H,5,FALSE))</f>
        <v>#N/A</v>
      </c>
      <c r="F74" s="725" t="e">
        <f>IF(C74="",C74,VLOOKUP(C74,'Списки участников'!A:H,6,FALSE))</f>
        <v>#N/A</v>
      </c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</row>
    <row r="75" spans="1:18" ht="15.75" hidden="1" outlineLevel="1" x14ac:dyDescent="0.2">
      <c r="A75" s="118" t="s">
        <v>749</v>
      </c>
      <c r="B75" s="120">
        <v>4</v>
      </c>
      <c r="C75" s="724">
        <f>SUMIF(ГР14М,4,№ИГР14)</f>
        <v>0</v>
      </c>
      <c r="D75" s="119" t="e">
        <f>IF(C75="",C75,VLOOKUP(C75,'Списки участников'!A:H,3,FALSE))</f>
        <v>#N/A</v>
      </c>
      <c r="E75" s="119" t="e">
        <f>IF(C75="",C75,VLOOKUP(C75,'Списки участников'!A:H,5,FALSE))</f>
        <v>#N/A</v>
      </c>
      <c r="F75" s="725" t="e">
        <f>IF(C75="",C75,VLOOKUP(C75,'Списки участников'!A:H,6,FALSE))</f>
        <v>#N/A</v>
      </c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</row>
    <row r="76" spans="1:18" ht="15.75" hidden="1" outlineLevel="1" x14ac:dyDescent="0.2">
      <c r="A76" s="118" t="s">
        <v>750</v>
      </c>
      <c r="B76" s="120">
        <v>4</v>
      </c>
      <c r="C76" s="724">
        <f>SUMIF(ГР15М,4,№ИГР15)</f>
        <v>0</v>
      </c>
      <c r="D76" s="119" t="e">
        <f>IF(C76="",C76,VLOOKUP(C76,'Списки участников'!A:H,3,FALSE))</f>
        <v>#N/A</v>
      </c>
      <c r="E76" s="119" t="e">
        <f>IF(C76="",C76,VLOOKUP(C76,'Списки участников'!A:H,5,FALSE))</f>
        <v>#N/A</v>
      </c>
      <c r="F76" s="725" t="e">
        <f>IF(C76="",C76,VLOOKUP(C76,'Списки участников'!A:H,6,FALSE))</f>
        <v>#N/A</v>
      </c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</row>
    <row r="77" spans="1:18" ht="15.75" hidden="1" outlineLevel="1" x14ac:dyDescent="0.2">
      <c r="A77" s="118" t="s">
        <v>751</v>
      </c>
      <c r="B77" s="120">
        <v>4</v>
      </c>
      <c r="C77" s="724">
        <f>SUMIF(ГР16М,4,№ИГР16)</f>
        <v>0</v>
      </c>
      <c r="D77" s="119" t="e">
        <f>IF(C77="",C77,VLOOKUP(C77,'Списки участников'!A:H,3,FALSE))</f>
        <v>#N/A</v>
      </c>
      <c r="E77" s="119" t="e">
        <f>IF(C77="",C77,VLOOKUP(C77,'Списки участников'!A:H,5,FALSE))</f>
        <v>#N/A</v>
      </c>
      <c r="F77" s="725" t="e">
        <f>IF(C77="",C77,VLOOKUP(C77,'Списки участников'!A:H,6,FALSE))</f>
        <v>#N/A</v>
      </c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</row>
    <row r="78" spans="1:18" collapsed="1" x14ac:dyDescent="0.2"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</row>
    <row r="79" spans="1:18" x14ac:dyDescent="0.2"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</row>
    <row r="80" spans="1:18" x14ac:dyDescent="0.2">
      <c r="A80" s="1424" t="s">
        <v>734</v>
      </c>
      <c r="B80" s="1424"/>
      <c r="C80" s="1424"/>
      <c r="D80" s="1424"/>
      <c r="E80" s="1424"/>
      <c r="F80" s="1425"/>
      <c r="G80" s="164"/>
      <c r="H80" s="164"/>
    </row>
    <row r="81" spans="1:8" x14ac:dyDescent="0.2">
      <c r="A81" s="1426" t="s">
        <v>755</v>
      </c>
      <c r="B81" s="1426"/>
      <c r="C81" s="1426"/>
      <c r="D81" s="1426"/>
      <c r="E81" s="1426"/>
      <c r="F81" s="1427"/>
      <c r="G81" s="164"/>
      <c r="H81" s="164"/>
    </row>
    <row r="82" spans="1:8" ht="15.75" x14ac:dyDescent="0.2">
      <c r="A82" s="118" t="s">
        <v>736</v>
      </c>
      <c r="B82" s="120">
        <v>5</v>
      </c>
      <c r="C82" s="724">
        <f>SUMIF(ГР1М,5,№ИГР1)</f>
        <v>4</v>
      </c>
      <c r="D82" s="119" t="str">
        <f>IF(C82="",C82,VLOOKUP(C82,'Списки участников'!A:H,3,FALSE))</f>
        <v>АЛЕКСЕЕВА Елена</v>
      </c>
      <c r="E82" s="119">
        <f>IF(C82="",C82,VLOOKUP(C82,'Списки участников'!A:H,5,FALSE))</f>
        <v>0</v>
      </c>
      <c r="F82" s="119" t="str">
        <f>IF(C82="",C82,VLOOKUP(C82,'Списки участников'!A:H,6,FALSE))</f>
        <v>АО ФНПЦ НИИРТ</v>
      </c>
      <c r="G82" s="164"/>
      <c r="H82" s="164"/>
    </row>
    <row r="83" spans="1:8" ht="15.75" x14ac:dyDescent="0.2">
      <c r="A83" s="118" t="s">
        <v>737</v>
      </c>
      <c r="B83" s="120">
        <v>5</v>
      </c>
      <c r="C83" s="724">
        <f>SUMIF(ГР2М,5,№ИГР2)</f>
        <v>20</v>
      </c>
      <c r="D83" s="119" t="str">
        <f>IF(C83="",C83,VLOOKUP(C83,'Списки участников'!A:H,3,FALSE))</f>
        <v>КАРПОВА Юлия</v>
      </c>
      <c r="E83" s="119">
        <f>IF(C83="",C83,VLOOKUP(C83,'Списки участников'!A:H,5,FALSE))</f>
        <v>0</v>
      </c>
      <c r="F83" s="119" t="str">
        <f>IF(C83="",C83,VLOOKUP(C83,'Списки участников'!A:H,6,FALSE))</f>
        <v>НПАП №1</v>
      </c>
    </row>
    <row r="84" spans="1:8" ht="15.75" x14ac:dyDescent="0.2">
      <c r="A84" s="118" t="s">
        <v>738</v>
      </c>
      <c r="B84" s="120">
        <v>5</v>
      </c>
      <c r="C84" s="724">
        <f>SUMIF(ГР3М,5,№ИГР3)</f>
        <v>40</v>
      </c>
      <c r="D84" s="119" t="str">
        <f>IF(C84="",C84,VLOOKUP(C84,'Списки участников'!A:H,3,FALSE))</f>
        <v>МАНЗЕНКОВА Наталья</v>
      </c>
      <c r="E84" s="119">
        <f>IF(C84="",C84,VLOOKUP(C84,'Списки участников'!A:H,5,FALSE))</f>
        <v>73</v>
      </c>
      <c r="F84" s="119" t="str">
        <f>IF(C84="",C84,VLOOKUP(C84,'Списки участников'!A:H,6,FALSE))</f>
        <v>"ГЖД"</v>
      </c>
    </row>
    <row r="85" spans="1:8" ht="15.75" x14ac:dyDescent="0.2">
      <c r="A85" s="118" t="s">
        <v>739</v>
      </c>
      <c r="B85" s="120">
        <v>5</v>
      </c>
      <c r="C85" s="724">
        <f>SUMIF(ГР4М,5,№ИГР4)</f>
        <v>0</v>
      </c>
      <c r="D85" s="119" t="e">
        <f>IF(C85="",C85,VLOOKUP(C85,'Списки участников'!A:H,3,FALSE))</f>
        <v>#N/A</v>
      </c>
      <c r="E85" s="119" t="e">
        <f>IF(C85="",C85,VLOOKUP(C85,'Списки участников'!A:H,5,FALSE))</f>
        <v>#N/A</v>
      </c>
      <c r="F85" s="119" t="e">
        <f>IF(C85="",C85,VLOOKUP(C85,'Списки участников'!A:H,6,FALSE))</f>
        <v>#N/A</v>
      </c>
    </row>
    <row r="86" spans="1:8" ht="15.75" x14ac:dyDescent="0.2">
      <c r="A86" s="118" t="s">
        <v>740</v>
      </c>
      <c r="B86" s="120">
        <v>5</v>
      </c>
      <c r="C86" s="724">
        <f>SUMIF(ГР5М,5,№ИГР5)</f>
        <v>0</v>
      </c>
      <c r="D86" s="119" t="e">
        <f>IF(C86="",C86,VLOOKUP(C86,'Списки участников'!A:H,3,FALSE))</f>
        <v>#N/A</v>
      </c>
      <c r="E86" s="119" t="e">
        <f>IF(C86="",C86,VLOOKUP(C86,'Списки участников'!A:H,5,FALSE))</f>
        <v>#N/A</v>
      </c>
      <c r="F86" s="119" t="e">
        <f>IF(C86="",C86,VLOOKUP(C86,'Списки участников'!A:H,6,FALSE))</f>
        <v>#N/A</v>
      </c>
    </row>
    <row r="87" spans="1:8" ht="15.75" x14ac:dyDescent="0.2">
      <c r="A87" s="118" t="s">
        <v>741</v>
      </c>
      <c r="B87" s="120">
        <v>5</v>
      </c>
      <c r="C87" s="724">
        <f>SUMIF(ГР6М,5,№ИГР6)</f>
        <v>0</v>
      </c>
      <c r="D87" s="119" t="e">
        <f>IF(C87="",C87,VLOOKUP(C87,'Списки участников'!A:H,3,FALSE))</f>
        <v>#N/A</v>
      </c>
      <c r="E87" s="119" t="e">
        <f>IF(C87="",C87,VLOOKUP(C87,'Списки участников'!A:H,5,FALSE))</f>
        <v>#N/A</v>
      </c>
      <c r="F87" s="119" t="e">
        <f>IF(C87="",C87,VLOOKUP(C87,'Списки участников'!A:H,6,FALSE))</f>
        <v>#N/A</v>
      </c>
    </row>
    <row r="88" spans="1:8" ht="15.75" x14ac:dyDescent="0.2">
      <c r="A88" s="118" t="s">
        <v>742</v>
      </c>
      <c r="B88" s="120">
        <v>5</v>
      </c>
      <c r="C88" s="724">
        <f>SUMIF(ГР7М,5,№ИГР7)</f>
        <v>0</v>
      </c>
      <c r="D88" s="119" t="e">
        <f>IF(C88="",C88,VLOOKUP(C88,'Списки участников'!A:H,3,FALSE))</f>
        <v>#N/A</v>
      </c>
      <c r="E88" s="119" t="e">
        <f>IF(C88="",C88,VLOOKUP(C88,'Списки участников'!A:H,5,FALSE))</f>
        <v>#N/A</v>
      </c>
      <c r="F88" s="119" t="e">
        <f>IF(C88="",C88,VLOOKUP(C88,'Списки участников'!A:H,6,FALSE))</f>
        <v>#N/A</v>
      </c>
    </row>
    <row r="89" spans="1:8" ht="15.75" x14ac:dyDescent="0.2">
      <c r="A89" s="118" t="s">
        <v>743</v>
      </c>
      <c r="B89" s="120">
        <v>5</v>
      </c>
      <c r="C89" s="724">
        <f>SUMIF(ГР8М,5,№ИГР8)</f>
        <v>0</v>
      </c>
      <c r="D89" s="119" t="e">
        <f>IF(C89="",C89,VLOOKUP(C89,'Списки участников'!A:H,3,FALSE))</f>
        <v>#N/A</v>
      </c>
      <c r="E89" s="119" t="e">
        <f>IF(C89="",C89,VLOOKUP(C89,'Списки участников'!A:H,5,FALSE))</f>
        <v>#N/A</v>
      </c>
      <c r="F89" s="119" t="e">
        <f>IF(C89="",C89,VLOOKUP(C89,'Списки участников'!A:H,6,FALSE))</f>
        <v>#N/A</v>
      </c>
    </row>
    <row r="90" spans="1:8" ht="15.75" hidden="1" outlineLevel="1" x14ac:dyDescent="0.2">
      <c r="A90" s="118" t="s">
        <v>744</v>
      </c>
      <c r="B90" s="120">
        <v>5</v>
      </c>
      <c r="C90" s="724">
        <f>SUMIF(ГР9М,5,№ИГР9)</f>
        <v>0</v>
      </c>
      <c r="D90" s="119" t="e">
        <f>IF(C90="",C90,VLOOKUP(C90,'Списки участников'!A:H,3,FALSE))</f>
        <v>#N/A</v>
      </c>
      <c r="E90" s="119" t="e">
        <f>IF(C90="",C90,VLOOKUP(C90,'Списки участников'!A:H,5,FALSE))</f>
        <v>#N/A</v>
      </c>
      <c r="F90" s="119" t="e">
        <f>IF(C90="",C90,VLOOKUP(C90,'Списки участников'!A:H,6,FALSE))</f>
        <v>#N/A</v>
      </c>
    </row>
    <row r="91" spans="1:8" ht="15.75" hidden="1" outlineLevel="1" x14ac:dyDescent="0.2">
      <c r="A91" s="118" t="s">
        <v>745</v>
      </c>
      <c r="B91" s="120">
        <v>5</v>
      </c>
      <c r="C91" s="724">
        <f>SUMIF(ГР10М,5,№ИГР10)</f>
        <v>0</v>
      </c>
      <c r="D91" s="119" t="e">
        <f>IF(C91="",C91,VLOOKUP(C91,'Списки участников'!A:H,3,FALSE))</f>
        <v>#N/A</v>
      </c>
      <c r="E91" s="119" t="e">
        <f>IF(C91="",C91,VLOOKUP(C91,'Списки участников'!A:H,5,FALSE))</f>
        <v>#N/A</v>
      </c>
      <c r="F91" s="119" t="e">
        <f>IF(C91="",C91,VLOOKUP(C91,'Списки участников'!A:H,6,FALSE))</f>
        <v>#N/A</v>
      </c>
    </row>
    <row r="92" spans="1:8" ht="15.75" hidden="1" outlineLevel="1" x14ac:dyDescent="0.2">
      <c r="A92" s="118" t="s">
        <v>746</v>
      </c>
      <c r="B92" s="120">
        <v>5</v>
      </c>
      <c r="C92" s="724">
        <f>SUMIF(ГР11М,5,№ИГР11)</f>
        <v>0</v>
      </c>
      <c r="D92" s="119" t="e">
        <f>IF(C92="",C92,VLOOKUP(C92,'Списки участников'!A:H,3,FALSE))</f>
        <v>#N/A</v>
      </c>
      <c r="E92" s="119" t="e">
        <f>IF(C92="",C92,VLOOKUP(C92,'Списки участников'!A:H,5,FALSE))</f>
        <v>#N/A</v>
      </c>
      <c r="F92" s="119" t="e">
        <f>IF(C92="",C92,VLOOKUP(C92,'Списки участников'!A:H,6,FALSE))</f>
        <v>#N/A</v>
      </c>
    </row>
    <row r="93" spans="1:8" ht="15.75" hidden="1" outlineLevel="1" x14ac:dyDescent="0.2">
      <c r="A93" s="118" t="s">
        <v>747</v>
      </c>
      <c r="B93" s="120">
        <v>5</v>
      </c>
      <c r="C93" s="724">
        <f>SUMIF(ГР12М,5,№ИГР12)</f>
        <v>0</v>
      </c>
      <c r="D93" s="119" t="e">
        <f>IF(C93="",C93,VLOOKUP(C93,'Списки участников'!A:H,3,FALSE))</f>
        <v>#N/A</v>
      </c>
      <c r="E93" s="119" t="e">
        <f>IF(C93="",C93,VLOOKUP(C93,'Списки участников'!A:H,5,FALSE))</f>
        <v>#N/A</v>
      </c>
      <c r="F93" s="119" t="e">
        <f>IF(C93="",C93,VLOOKUP(C93,'Списки участников'!A:H,6,FALSE))</f>
        <v>#N/A</v>
      </c>
    </row>
    <row r="94" spans="1:8" ht="15.75" hidden="1" outlineLevel="1" x14ac:dyDescent="0.2">
      <c r="A94" s="118" t="s">
        <v>748</v>
      </c>
      <c r="B94" s="120">
        <v>5</v>
      </c>
      <c r="C94" s="724">
        <f>SUMIF(ГР13М,5,№ИГР13)</f>
        <v>0</v>
      </c>
      <c r="D94" s="119" t="e">
        <f>IF(C94="",C94,VLOOKUP(C94,'Списки участников'!A:H,3,FALSE))</f>
        <v>#N/A</v>
      </c>
      <c r="E94" s="119" t="e">
        <f>IF(C94="",C94,VLOOKUP(C94,'Списки участников'!A:H,5,FALSE))</f>
        <v>#N/A</v>
      </c>
      <c r="F94" s="119" t="e">
        <f>IF(C94="",C94,VLOOKUP(C94,'Списки участников'!A:H,6,FALSE))</f>
        <v>#N/A</v>
      </c>
    </row>
    <row r="95" spans="1:8" ht="15.75" hidden="1" outlineLevel="1" x14ac:dyDescent="0.2">
      <c r="A95" s="118" t="s">
        <v>749</v>
      </c>
      <c r="B95" s="120">
        <v>5</v>
      </c>
      <c r="C95" s="724">
        <f>SUMIF(ГР14М,5,№ИГР14)</f>
        <v>0</v>
      </c>
      <c r="D95" s="119" t="e">
        <f>IF(C95="",C95,VLOOKUP(C95,'Списки участников'!A:H,3,FALSE))</f>
        <v>#N/A</v>
      </c>
      <c r="E95" s="119" t="e">
        <f>IF(C95="",C95,VLOOKUP(C95,'Списки участников'!A:H,5,FALSE))</f>
        <v>#N/A</v>
      </c>
      <c r="F95" s="119" t="e">
        <f>IF(C95="",C95,VLOOKUP(C95,'Списки участников'!A:H,6,FALSE))</f>
        <v>#N/A</v>
      </c>
    </row>
    <row r="96" spans="1:8" ht="15.75" hidden="1" outlineLevel="1" x14ac:dyDescent="0.2">
      <c r="A96" s="118" t="s">
        <v>750</v>
      </c>
      <c r="B96" s="120">
        <v>5</v>
      </c>
      <c r="C96" s="724">
        <f>SUMIF(ГР15М,5,№ИГР15)</f>
        <v>0</v>
      </c>
      <c r="D96" s="119" t="e">
        <f>IF(C96="",C96,VLOOKUP(C96,'Списки участников'!A:H,3,FALSE))</f>
        <v>#N/A</v>
      </c>
      <c r="E96" s="119" t="e">
        <f>IF(C96="",C96,VLOOKUP(C96,'Списки участников'!A:H,5,FALSE))</f>
        <v>#N/A</v>
      </c>
      <c r="F96" s="119" t="e">
        <f>IF(C96="",C96,VLOOKUP(C96,'Списки участников'!A:H,6,FALSE))</f>
        <v>#N/A</v>
      </c>
    </row>
    <row r="97" spans="1:6" ht="15.75" hidden="1" outlineLevel="1" x14ac:dyDescent="0.2">
      <c r="A97" s="118" t="s">
        <v>751</v>
      </c>
      <c r="B97" s="120">
        <v>5</v>
      </c>
      <c r="C97" s="724">
        <f>SUMIF(ГР16М,5,№ИГР16)</f>
        <v>0</v>
      </c>
      <c r="D97" s="119" t="e">
        <f>IF(C97="",C97,VLOOKUP(C97,'Списки участников'!A:H,3,FALSE))</f>
        <v>#N/A</v>
      </c>
      <c r="E97" s="119" t="e">
        <f>IF(C97="",C97,VLOOKUP(C97,'Списки участников'!A:H,5,FALSE))</f>
        <v>#N/A</v>
      </c>
      <c r="F97" s="119" t="e">
        <f>IF(C97="",C97,VLOOKUP(C97,'Списки участников'!A:H,6,FALSE))</f>
        <v>#N/A</v>
      </c>
    </row>
    <row r="98" spans="1:6" collapsed="1" x14ac:dyDescent="0.2">
      <c r="A98" s="2"/>
      <c r="B98" s="2"/>
      <c r="C98" s="121"/>
      <c r="D98" s="122"/>
      <c r="E98" s="123"/>
      <c r="F98" s="124"/>
    </row>
    <row r="99" spans="1:6" x14ac:dyDescent="0.2">
      <c r="A99" s="1424" t="s">
        <v>734</v>
      </c>
      <c r="B99" s="1424"/>
      <c r="C99" s="1424"/>
      <c r="D99" s="1424"/>
      <c r="E99" s="1424"/>
      <c r="F99" s="1425"/>
    </row>
    <row r="100" spans="1:6" x14ac:dyDescent="0.2">
      <c r="A100" s="1426" t="s">
        <v>756</v>
      </c>
      <c r="B100" s="1426"/>
      <c r="C100" s="1426"/>
      <c r="D100" s="1426"/>
      <c r="E100" s="1426"/>
      <c r="F100" s="1427"/>
    </row>
    <row r="101" spans="1:6" ht="15.75" x14ac:dyDescent="0.2">
      <c r="A101" s="118" t="s">
        <v>736</v>
      </c>
      <c r="B101" s="120">
        <v>6</v>
      </c>
      <c r="C101" s="724">
        <f>SUMIF(ГР1М,6,№ИГР1)</f>
        <v>8</v>
      </c>
      <c r="D101" s="119" t="str">
        <f>IF(C101="",C101,VLOOKUP(C101,'Списки участников'!A:H,3,FALSE))</f>
        <v>ЧЕРТОВА Ольга</v>
      </c>
      <c r="E101" s="119">
        <f>IF(C101="",C101,VLOOKUP(C101,'Списки участников'!A:H,5,FALSE))</f>
        <v>36</v>
      </c>
      <c r="F101" s="119" t="str">
        <f>IF(C101="",C101,VLOOKUP(C101,'Списки участников'!A:H,6,FALSE))</f>
        <v>ОАО АНПП "ТЕМП-АВИА"</v>
      </c>
    </row>
    <row r="102" spans="1:6" ht="15.75" x14ac:dyDescent="0.2">
      <c r="A102" s="118" t="s">
        <v>737</v>
      </c>
      <c r="B102" s="120">
        <v>6</v>
      </c>
      <c r="C102" s="724">
        <f>SUMIF(ГР2М,6,№ИГР2)</f>
        <v>16</v>
      </c>
      <c r="D102" s="119" t="str">
        <f>IF(C102="",C102,VLOOKUP(C102,'Списки участников'!A:H,3,FALSE))</f>
        <v>ВАХРОМОВА Ирина</v>
      </c>
      <c r="E102" s="119">
        <f>IF(C102="",C102,VLOOKUP(C102,'Списки участников'!A:H,5,FALSE))</f>
        <v>15</v>
      </c>
      <c r="F102" s="119" t="str">
        <f>IF(C102="",C102,VLOOKUP(C102,'Списки участников'!A:H,6,FALSE))</f>
        <v>ТПП</v>
      </c>
    </row>
    <row r="103" spans="1:6" ht="15.75" x14ac:dyDescent="0.2">
      <c r="A103" s="118" t="s">
        <v>738</v>
      </c>
      <c r="B103" s="120">
        <v>6</v>
      </c>
      <c r="C103" s="724">
        <f>SUMIF(ГР3М,6,№ИГР3)</f>
        <v>28</v>
      </c>
      <c r="D103" s="119" t="str">
        <f>IF(C103="",C103,VLOOKUP(C103,'Списки участников'!A:H,3,FALSE))</f>
        <v>КОТОВА Наталья</v>
      </c>
      <c r="E103" s="119">
        <f>IF(C103="",C103,VLOOKUP(C103,'Списки участников'!A:H,5,FALSE))</f>
        <v>20</v>
      </c>
      <c r="F103" s="119" t="str">
        <f>IF(C103="",C103,VLOOKUP(C103,'Списки участников'!A:H,6,FALSE))</f>
        <v>"КРАСНОЕ СОРМОВО"</v>
      </c>
    </row>
    <row r="104" spans="1:6" ht="15.75" x14ac:dyDescent="0.2">
      <c r="A104" s="118" t="s">
        <v>739</v>
      </c>
      <c r="B104" s="120">
        <v>6</v>
      </c>
      <c r="C104" s="724">
        <f>SUMIF(ГР4М,6,№ИГР4)</f>
        <v>0</v>
      </c>
      <c r="D104" s="119" t="e">
        <f>IF(C104="",C104,VLOOKUP(C104,'Списки участников'!A:H,3,FALSE))</f>
        <v>#N/A</v>
      </c>
      <c r="E104" s="119" t="e">
        <f>IF(C104="",C104,VLOOKUP(C104,'Списки участников'!A:H,5,FALSE))</f>
        <v>#N/A</v>
      </c>
      <c r="F104" s="119" t="e">
        <f>IF(C104="",C104,VLOOKUP(C104,'Списки участников'!A:H,6,FALSE))</f>
        <v>#N/A</v>
      </c>
    </row>
    <row r="105" spans="1:6" ht="15.75" x14ac:dyDescent="0.2">
      <c r="A105" s="118" t="s">
        <v>740</v>
      </c>
      <c r="B105" s="120">
        <v>6</v>
      </c>
      <c r="C105" s="724">
        <f>SUMIF(ГР5М,6,№ИГР5)</f>
        <v>0</v>
      </c>
      <c r="D105" s="119" t="e">
        <f>IF(C105="",C105,VLOOKUP(C105,'Списки участников'!A:H,3,FALSE))</f>
        <v>#N/A</v>
      </c>
      <c r="E105" s="119" t="e">
        <f>IF(C105="",C105,VLOOKUP(C105,'Списки участников'!A:H,5,FALSE))</f>
        <v>#N/A</v>
      </c>
      <c r="F105" s="119" t="e">
        <f>IF(C105="",C105,VLOOKUP(C105,'Списки участников'!A:H,6,FALSE))</f>
        <v>#N/A</v>
      </c>
    </row>
    <row r="106" spans="1:6" ht="15.75" x14ac:dyDescent="0.2">
      <c r="A106" s="118" t="s">
        <v>741</v>
      </c>
      <c r="B106" s="120">
        <v>6</v>
      </c>
      <c r="C106" s="724">
        <f>SUMIF(ГР6М,6,№ИГР6)</f>
        <v>0</v>
      </c>
      <c r="D106" s="119" t="e">
        <f>IF(C106="",C106,VLOOKUP(C106,'Списки участников'!A:H,3,FALSE))</f>
        <v>#N/A</v>
      </c>
      <c r="E106" s="119" t="e">
        <f>IF(C106="",C106,VLOOKUP(C106,'Списки участников'!A:H,5,FALSE))</f>
        <v>#N/A</v>
      </c>
      <c r="F106" s="119" t="e">
        <f>IF(C106="",C106,VLOOKUP(C106,'Списки участников'!A:H,6,FALSE))</f>
        <v>#N/A</v>
      </c>
    </row>
    <row r="107" spans="1:6" ht="15.75" x14ac:dyDescent="0.2">
      <c r="A107" s="118" t="s">
        <v>742</v>
      </c>
      <c r="B107" s="120">
        <v>6</v>
      </c>
      <c r="C107" s="724">
        <f>SUMIF(ГР7М,6,№ИГР7)</f>
        <v>0</v>
      </c>
      <c r="D107" s="119" t="e">
        <f>IF(C107="",C107,VLOOKUP(C107,'Списки участников'!A:H,3,FALSE))</f>
        <v>#N/A</v>
      </c>
      <c r="E107" s="119" t="e">
        <f>IF(C107="",C107,VLOOKUP(C107,'Списки участников'!A:H,5,FALSE))</f>
        <v>#N/A</v>
      </c>
      <c r="F107" s="119" t="e">
        <f>IF(C107="",C107,VLOOKUP(C107,'Списки участников'!A:H,6,FALSE))</f>
        <v>#N/A</v>
      </c>
    </row>
    <row r="108" spans="1:6" ht="15.75" x14ac:dyDescent="0.2">
      <c r="A108" s="118" t="s">
        <v>743</v>
      </c>
      <c r="B108" s="120">
        <v>6</v>
      </c>
      <c r="C108" s="724">
        <f>SUMIF(ГР8М,6,№ИГР8)</f>
        <v>0</v>
      </c>
      <c r="D108" s="119" t="e">
        <f>IF(C108="",C108,VLOOKUP(C108,'Списки участников'!A:H,3,FALSE))</f>
        <v>#N/A</v>
      </c>
      <c r="E108" s="119" t="e">
        <f>IF(C108="",C108,VLOOKUP(C108,'Списки участников'!A:H,5,FALSE))</f>
        <v>#N/A</v>
      </c>
      <c r="F108" s="119" t="e">
        <f>IF(C108="",C108,VLOOKUP(C108,'Списки участников'!A:H,6,FALSE))</f>
        <v>#N/A</v>
      </c>
    </row>
    <row r="109" spans="1:6" ht="15.75" hidden="1" outlineLevel="1" x14ac:dyDescent="0.2">
      <c r="A109" s="118" t="s">
        <v>744</v>
      </c>
      <c r="B109" s="120">
        <v>6</v>
      </c>
      <c r="C109" s="724">
        <f>SUMIF(ГР9М,6,№ИГР9)</f>
        <v>0</v>
      </c>
      <c r="D109" s="119" t="e">
        <f>IF(C109="",C109,VLOOKUP(C109,'Списки участников'!A:H,3,FALSE))</f>
        <v>#N/A</v>
      </c>
      <c r="E109" s="119" t="e">
        <f>IF(C109="",C109,VLOOKUP(C109,'Списки участников'!A:H,5,FALSE))</f>
        <v>#N/A</v>
      </c>
      <c r="F109" s="119" t="e">
        <f>IF(C109="",C109,VLOOKUP(C109,'Списки участников'!A:H,6,FALSE))</f>
        <v>#N/A</v>
      </c>
    </row>
    <row r="110" spans="1:6" ht="15.75" hidden="1" outlineLevel="1" x14ac:dyDescent="0.2">
      <c r="A110" s="118" t="s">
        <v>745</v>
      </c>
      <c r="B110" s="120">
        <v>6</v>
      </c>
      <c r="C110" s="724">
        <f>SUMIF(ГР10М,6,№ИГР10)</f>
        <v>0</v>
      </c>
      <c r="D110" s="119" t="e">
        <f>IF(C110="",C110,VLOOKUP(C110,'Списки участников'!A:H,3,FALSE))</f>
        <v>#N/A</v>
      </c>
      <c r="E110" s="119" t="e">
        <f>IF(C110="",C110,VLOOKUP(C110,'Списки участников'!A:H,5,FALSE))</f>
        <v>#N/A</v>
      </c>
      <c r="F110" s="119" t="e">
        <f>IF(C110="",C110,VLOOKUP(C110,'Списки участников'!A:H,6,FALSE))</f>
        <v>#N/A</v>
      </c>
    </row>
    <row r="111" spans="1:6" ht="15.75" hidden="1" outlineLevel="1" x14ac:dyDescent="0.2">
      <c r="A111" s="118" t="s">
        <v>746</v>
      </c>
      <c r="B111" s="120">
        <v>6</v>
      </c>
      <c r="C111" s="724">
        <f>SUMIF(ГР11М,6,№ИГР11)</f>
        <v>0</v>
      </c>
      <c r="D111" s="119" t="e">
        <f>IF(C111="",C111,VLOOKUP(C111,'Списки участников'!A:H,3,FALSE))</f>
        <v>#N/A</v>
      </c>
      <c r="E111" s="119" t="e">
        <f>IF(C111="",C111,VLOOKUP(C111,'Списки участников'!A:H,5,FALSE))</f>
        <v>#N/A</v>
      </c>
      <c r="F111" s="119" t="e">
        <f>IF(C111="",C111,VLOOKUP(C111,'Списки участников'!A:H,6,FALSE))</f>
        <v>#N/A</v>
      </c>
    </row>
    <row r="112" spans="1:6" ht="15.75" hidden="1" outlineLevel="1" x14ac:dyDescent="0.2">
      <c r="A112" s="118" t="s">
        <v>747</v>
      </c>
      <c r="B112" s="120">
        <v>6</v>
      </c>
      <c r="C112" s="724">
        <f>SUMIF(ГР12М,6,№ИГР12)</f>
        <v>0</v>
      </c>
      <c r="D112" s="119" t="e">
        <f>IF(C112="",C112,VLOOKUP(C112,'Списки участников'!A:H,3,FALSE))</f>
        <v>#N/A</v>
      </c>
      <c r="E112" s="119" t="e">
        <f>IF(C112="",C112,VLOOKUP(C112,'Списки участников'!A:H,5,FALSE))</f>
        <v>#N/A</v>
      </c>
      <c r="F112" s="119" t="e">
        <f>IF(C112="",C112,VLOOKUP(C112,'Списки участников'!A:H,6,FALSE))</f>
        <v>#N/A</v>
      </c>
    </row>
    <row r="113" spans="1:6" ht="15.75" hidden="1" outlineLevel="1" x14ac:dyDescent="0.2">
      <c r="A113" s="118" t="s">
        <v>748</v>
      </c>
      <c r="B113" s="120">
        <v>6</v>
      </c>
      <c r="C113" s="724">
        <f>SUMIF(ГР13М,6,№ИГР13)</f>
        <v>0</v>
      </c>
      <c r="D113" s="119" t="e">
        <f>IF(C113="",C113,VLOOKUP(C113,'Списки участников'!A:H,3,FALSE))</f>
        <v>#N/A</v>
      </c>
      <c r="E113" s="119" t="e">
        <f>IF(C113="",C113,VLOOKUP(C113,'Списки участников'!A:H,5,FALSE))</f>
        <v>#N/A</v>
      </c>
      <c r="F113" s="119" t="e">
        <f>IF(C113="",C113,VLOOKUP(C113,'Списки участников'!A:H,6,FALSE))</f>
        <v>#N/A</v>
      </c>
    </row>
    <row r="114" spans="1:6" ht="15.75" hidden="1" outlineLevel="1" x14ac:dyDescent="0.2">
      <c r="A114" s="118" t="s">
        <v>749</v>
      </c>
      <c r="B114" s="120">
        <v>6</v>
      </c>
      <c r="C114" s="724">
        <f>SUMIF(ГР14М,6,№ИГР14)</f>
        <v>0</v>
      </c>
      <c r="D114" s="119" t="e">
        <f>IF(C114="",C114,VLOOKUP(C114,'Списки участников'!A:H,3,FALSE))</f>
        <v>#N/A</v>
      </c>
      <c r="E114" s="119" t="e">
        <f>IF(C114="",C114,VLOOKUP(C114,'Списки участников'!A:H,5,FALSE))</f>
        <v>#N/A</v>
      </c>
      <c r="F114" s="119" t="e">
        <f>IF(C114="",C114,VLOOKUP(C114,'Списки участников'!A:H,6,FALSE))</f>
        <v>#N/A</v>
      </c>
    </row>
    <row r="115" spans="1:6" ht="15.75" hidden="1" outlineLevel="1" x14ac:dyDescent="0.2">
      <c r="A115" s="118" t="s">
        <v>750</v>
      </c>
      <c r="B115" s="120">
        <v>6</v>
      </c>
      <c r="C115" s="724">
        <f>SUMIF(ГР15М,6,№ИГР15)</f>
        <v>0</v>
      </c>
      <c r="D115" s="119" t="e">
        <f>IF(C115="",C115,VLOOKUP(C115,'Списки участников'!A:H,3,FALSE))</f>
        <v>#N/A</v>
      </c>
      <c r="E115" s="119" t="e">
        <f>IF(C115="",C115,VLOOKUP(C115,'Списки участников'!A:H,5,FALSE))</f>
        <v>#N/A</v>
      </c>
      <c r="F115" s="119" t="e">
        <f>IF(C115="",C115,VLOOKUP(C115,'Списки участников'!A:H,6,FALSE))</f>
        <v>#N/A</v>
      </c>
    </row>
    <row r="116" spans="1:6" ht="15.75" hidden="1" outlineLevel="1" x14ac:dyDescent="0.2">
      <c r="A116" s="118" t="s">
        <v>751</v>
      </c>
      <c r="B116" s="120">
        <v>6</v>
      </c>
      <c r="C116" s="724">
        <f>SUMIF(ГР16М,6,№ИГР16)</f>
        <v>0</v>
      </c>
      <c r="D116" s="119" t="e">
        <f>IF(C116="",C116,VLOOKUP(C116,'Списки участников'!A:H,3,FALSE))</f>
        <v>#N/A</v>
      </c>
      <c r="E116" s="119" t="e">
        <f>IF(C116="",C116,VLOOKUP(C116,'Списки участников'!A:H,5,FALSE))</f>
        <v>#N/A</v>
      </c>
      <c r="F116" s="119" t="e">
        <f>IF(C116="",C116,VLOOKUP(C116,'Списки участников'!A:H,6,FALSE))</f>
        <v>#N/A</v>
      </c>
    </row>
    <row r="117" spans="1:6" collapsed="1" x14ac:dyDescent="0.2">
      <c r="A117" s="125"/>
      <c r="B117" s="125"/>
      <c r="C117" s="126"/>
      <c r="D117" s="125"/>
      <c r="E117" s="127"/>
      <c r="F117" s="125"/>
    </row>
    <row r="118" spans="1:6" x14ac:dyDescent="0.2">
      <c r="A118" s="125"/>
      <c r="B118" s="125"/>
      <c r="C118" s="126"/>
      <c r="D118" s="125"/>
      <c r="E118" s="127"/>
      <c r="F118" s="125"/>
    </row>
    <row r="119" spans="1:6" x14ac:dyDescent="0.2">
      <c r="A119" s="1424" t="s">
        <v>734</v>
      </c>
      <c r="B119" s="1424"/>
      <c r="C119" s="1424"/>
      <c r="D119" s="1424"/>
      <c r="E119" s="1424"/>
      <c r="F119" s="1425"/>
    </row>
    <row r="120" spans="1:6" x14ac:dyDescent="0.2">
      <c r="A120" s="1426" t="s">
        <v>1048</v>
      </c>
      <c r="B120" s="1426"/>
      <c r="C120" s="1426"/>
      <c r="D120" s="1426"/>
      <c r="E120" s="1426"/>
      <c r="F120" s="1427"/>
    </row>
    <row r="121" spans="1:6" ht="15.75" x14ac:dyDescent="0.2">
      <c r="A121" s="118" t="s">
        <v>736</v>
      </c>
      <c r="B121" s="120">
        <v>7</v>
      </c>
      <c r="C121" s="724">
        <f>SUMIF(ГР1М,7,№ИГР1)</f>
        <v>0</v>
      </c>
      <c r="D121" s="119" t="e">
        <f>IF(C121="",C121,VLOOKUP(C121,'Списки участников'!A:H,3,FALSE))</f>
        <v>#N/A</v>
      </c>
      <c r="E121" s="119" t="e">
        <f>IF(C121="",C121,VLOOKUP(C121,'Списки участников'!A:H,5,FALSE))</f>
        <v>#N/A</v>
      </c>
      <c r="F121" s="119" t="e">
        <f>IF(C121="",C121,VLOOKUP(C121,'Списки участников'!A:H,6,FALSE))</f>
        <v>#N/A</v>
      </c>
    </row>
    <row r="122" spans="1:6" ht="15.75" x14ac:dyDescent="0.2">
      <c r="A122" s="118" t="s">
        <v>737</v>
      </c>
      <c r="B122" s="120">
        <v>7</v>
      </c>
      <c r="C122" s="724">
        <f>SUMIF(ГР2М,7,№ИГР2)</f>
        <v>0</v>
      </c>
      <c r="D122" s="119" t="e">
        <f>IF(C122="",C122,VLOOKUP(C122,'Списки участников'!A:H,3,FALSE))</f>
        <v>#N/A</v>
      </c>
      <c r="E122" s="119" t="e">
        <f>IF(C122="",C122,VLOOKUP(C122,'Списки участников'!A:H,5,FALSE))</f>
        <v>#N/A</v>
      </c>
      <c r="F122" s="119" t="e">
        <f>IF(C122="",C122,VLOOKUP(C122,'Списки участников'!A:H,6,FALSE))</f>
        <v>#N/A</v>
      </c>
    </row>
    <row r="123" spans="1:6" ht="15.75" x14ac:dyDescent="0.2">
      <c r="A123" s="118" t="s">
        <v>738</v>
      </c>
      <c r="B123" s="120">
        <v>7</v>
      </c>
      <c r="C123" s="724">
        <f>SUMIF(ГР3М,7,№ИГР3)</f>
        <v>0</v>
      </c>
      <c r="D123" s="119" t="e">
        <f>IF(C123="",C123,VLOOKUP(C123,'Списки участников'!A:H,3,FALSE))</f>
        <v>#N/A</v>
      </c>
      <c r="E123" s="119" t="e">
        <f>IF(C123="",C123,VLOOKUP(C123,'Списки участников'!A:H,5,FALSE))</f>
        <v>#N/A</v>
      </c>
      <c r="F123" s="119" t="e">
        <f>IF(C123="",C123,VLOOKUP(C123,'Списки участников'!A:H,6,FALSE))</f>
        <v>#N/A</v>
      </c>
    </row>
    <row r="124" spans="1:6" ht="15.75" x14ac:dyDescent="0.2">
      <c r="A124" s="118" t="s">
        <v>739</v>
      </c>
      <c r="B124" s="120">
        <v>7</v>
      </c>
      <c r="C124" s="724">
        <f>SUMIF(ГР4М,7,№ИГР4)</f>
        <v>44</v>
      </c>
      <c r="D124" s="119" t="str">
        <f>IF(C124="",C124,VLOOKUP(C124,'Списки участников'!A:H,3,FALSE))</f>
        <v>ЦАРЕВА Анна</v>
      </c>
      <c r="E124" s="119">
        <f>IF(C124="",C124,VLOOKUP(C124,'Списки участников'!A:H,5,FALSE))</f>
        <v>0</v>
      </c>
      <c r="F124" s="119" t="str">
        <f>IF(C124="",C124,VLOOKUP(C124,'Списки участников'!A:H,6,FALSE))</f>
        <v>ЗАО "НПП "Салют-27"</v>
      </c>
    </row>
    <row r="125" spans="1:6" ht="15.75" x14ac:dyDescent="0.2">
      <c r="A125" s="118" t="s">
        <v>740</v>
      </c>
      <c r="B125" s="120">
        <v>7</v>
      </c>
      <c r="C125" s="724">
        <f>SUMIF(ГР5М,7,№ИГР5)</f>
        <v>0</v>
      </c>
      <c r="D125" s="119" t="e">
        <f>IF(C125="",C125,VLOOKUP(C125,'Списки участников'!A:H,3,FALSE))</f>
        <v>#N/A</v>
      </c>
      <c r="E125" s="119" t="e">
        <f>IF(C125="",C125,VLOOKUP(C125,'Списки участников'!A:H,5,FALSE))</f>
        <v>#N/A</v>
      </c>
      <c r="F125" s="119" t="e">
        <f>IF(C125="",C125,VLOOKUP(C125,'Списки участников'!A:H,6,FALSE))</f>
        <v>#N/A</v>
      </c>
    </row>
    <row r="126" spans="1:6" ht="15.75" x14ac:dyDescent="0.2">
      <c r="A126" s="118" t="s">
        <v>741</v>
      </c>
      <c r="B126" s="120">
        <v>7</v>
      </c>
      <c r="C126" s="724">
        <f>SUMIF(ГР6М,7,№ИГР6)</f>
        <v>0</v>
      </c>
      <c r="D126" s="119" t="e">
        <f>IF(C126="",C126,VLOOKUP(C126,'Списки участников'!A:H,3,FALSE))</f>
        <v>#N/A</v>
      </c>
      <c r="E126" s="119" t="e">
        <f>IF(C126="",C126,VLOOKUP(C126,'Списки участников'!A:H,5,FALSE))</f>
        <v>#N/A</v>
      </c>
      <c r="F126" s="119" t="e">
        <f>IF(C126="",C126,VLOOKUP(C126,'Списки участников'!A:H,6,FALSE))</f>
        <v>#N/A</v>
      </c>
    </row>
    <row r="127" spans="1:6" ht="15.75" x14ac:dyDescent="0.2">
      <c r="A127" s="118" t="s">
        <v>742</v>
      </c>
      <c r="B127" s="120">
        <v>7</v>
      </c>
      <c r="C127" s="724">
        <f>SUMIF(ГР7М,7,№ИГР7)</f>
        <v>0</v>
      </c>
      <c r="D127" s="119" t="e">
        <f>IF(C127="",C127,VLOOKUP(C127,'Списки участников'!A:H,3,FALSE))</f>
        <v>#N/A</v>
      </c>
      <c r="E127" s="119" t="e">
        <f>IF(C127="",C127,VLOOKUP(C127,'Списки участников'!A:H,5,FALSE))</f>
        <v>#N/A</v>
      </c>
      <c r="F127" s="119" t="e">
        <f>IF(C127="",C127,VLOOKUP(C127,'Списки участников'!A:H,6,FALSE))</f>
        <v>#N/A</v>
      </c>
    </row>
    <row r="128" spans="1:6" ht="15.75" x14ac:dyDescent="0.2">
      <c r="A128" s="118" t="s">
        <v>743</v>
      </c>
      <c r="B128" s="120">
        <v>7</v>
      </c>
      <c r="C128" s="724">
        <f>SUMIF(ГР8М,7,№ИГР8)</f>
        <v>0</v>
      </c>
      <c r="D128" s="119" t="e">
        <f>IF(C128="",C128,VLOOKUP(C128,'Списки участников'!A:H,3,FALSE))</f>
        <v>#N/A</v>
      </c>
      <c r="E128" s="119" t="e">
        <f>IF(C128="",C128,VLOOKUP(C128,'Списки участников'!A:H,5,FALSE))</f>
        <v>#N/A</v>
      </c>
      <c r="F128" s="119" t="e">
        <f>IF(C128="",C128,VLOOKUP(C128,'Списки участников'!A:H,6,FALSE))</f>
        <v>#N/A</v>
      </c>
    </row>
    <row r="129" spans="1:6" ht="15.75" hidden="1" outlineLevel="1" x14ac:dyDescent="0.2">
      <c r="A129" s="118" t="s">
        <v>744</v>
      </c>
      <c r="B129" s="120">
        <v>7</v>
      </c>
      <c r="C129" s="724">
        <f>SUMIF(ГР9М,7,№ИГР9)</f>
        <v>0</v>
      </c>
      <c r="D129" s="119" t="e">
        <f>IF(C129="",C129,VLOOKUP(C129,'Списки участников'!A:H,3,FALSE))</f>
        <v>#N/A</v>
      </c>
      <c r="E129" s="119" t="e">
        <f>IF(C129="",C129,VLOOKUP(C129,'Списки участников'!A:H,5,FALSE))</f>
        <v>#N/A</v>
      </c>
      <c r="F129" s="119" t="e">
        <f>IF(C129="",C129,VLOOKUP(C129,'Списки участников'!A:H,6,FALSE))</f>
        <v>#N/A</v>
      </c>
    </row>
    <row r="130" spans="1:6" ht="15.75" hidden="1" outlineLevel="1" x14ac:dyDescent="0.2">
      <c r="A130" s="118" t="s">
        <v>745</v>
      </c>
      <c r="B130" s="120">
        <v>7</v>
      </c>
      <c r="C130" s="724">
        <f>SUMIF(ГР10М,7,№ИГР10)</f>
        <v>0</v>
      </c>
      <c r="D130" s="119" t="e">
        <f>IF(C130="",C130,VLOOKUP(C130,'Списки участников'!A:H,3,FALSE))</f>
        <v>#N/A</v>
      </c>
      <c r="E130" s="119" t="e">
        <f>IF(C130="",C130,VLOOKUP(C130,'Списки участников'!A:H,5,FALSE))</f>
        <v>#N/A</v>
      </c>
      <c r="F130" s="119" t="e">
        <f>IF(C130="",C130,VLOOKUP(C130,'Списки участников'!A:H,6,FALSE))</f>
        <v>#N/A</v>
      </c>
    </row>
    <row r="131" spans="1:6" ht="15.75" hidden="1" outlineLevel="1" x14ac:dyDescent="0.2">
      <c r="A131" s="118" t="s">
        <v>746</v>
      </c>
      <c r="B131" s="120">
        <v>7</v>
      </c>
      <c r="C131" s="724">
        <f>SUMIF(ГР11М,7,№ИГР11)</f>
        <v>0</v>
      </c>
      <c r="D131" s="119" t="e">
        <f>IF(C131="",C131,VLOOKUP(C131,'Списки участников'!A:H,3,FALSE))</f>
        <v>#N/A</v>
      </c>
      <c r="E131" s="119" t="e">
        <f>IF(C131="",C131,VLOOKUP(C131,'Списки участников'!A:H,5,FALSE))</f>
        <v>#N/A</v>
      </c>
      <c r="F131" s="119" t="e">
        <f>IF(C131="",C131,VLOOKUP(C131,'Списки участников'!A:H,6,FALSE))</f>
        <v>#N/A</v>
      </c>
    </row>
    <row r="132" spans="1:6" ht="15.75" hidden="1" outlineLevel="1" x14ac:dyDescent="0.2">
      <c r="A132" s="118" t="s">
        <v>747</v>
      </c>
      <c r="B132" s="120">
        <v>7</v>
      </c>
      <c r="C132" s="724">
        <f>SUMIF(ГР12М,7,№ИГР12)</f>
        <v>0</v>
      </c>
      <c r="D132" s="119" t="e">
        <f>IF(C132="",C132,VLOOKUP(C132,'Списки участников'!A:H,3,FALSE))</f>
        <v>#N/A</v>
      </c>
      <c r="E132" s="119" t="e">
        <f>IF(C132="",C132,VLOOKUP(C132,'Списки участников'!A:H,5,FALSE))</f>
        <v>#N/A</v>
      </c>
      <c r="F132" s="119" t="e">
        <f>IF(C132="",C132,VLOOKUP(C132,'Списки участников'!A:H,6,FALSE))</f>
        <v>#N/A</v>
      </c>
    </row>
    <row r="133" spans="1:6" ht="15.75" hidden="1" outlineLevel="1" x14ac:dyDescent="0.2">
      <c r="A133" s="118" t="s">
        <v>748</v>
      </c>
      <c r="B133" s="120">
        <v>7</v>
      </c>
      <c r="C133" s="724">
        <f>SUMIF(ГР13М,7,№ИГР13)</f>
        <v>0</v>
      </c>
      <c r="D133" s="119" t="e">
        <f>IF(C133="",C133,VLOOKUP(C133,'Списки участников'!A:H,3,FALSE))</f>
        <v>#N/A</v>
      </c>
      <c r="E133" s="119" t="e">
        <f>IF(C133="",C133,VLOOKUP(C133,'Списки участников'!A:H,5,FALSE))</f>
        <v>#N/A</v>
      </c>
      <c r="F133" s="119" t="e">
        <f>IF(C133="",C133,VLOOKUP(C133,'Списки участников'!A:H,6,FALSE))</f>
        <v>#N/A</v>
      </c>
    </row>
    <row r="134" spans="1:6" ht="15.75" hidden="1" outlineLevel="1" x14ac:dyDescent="0.2">
      <c r="A134" s="118" t="s">
        <v>749</v>
      </c>
      <c r="B134" s="120">
        <v>7</v>
      </c>
      <c r="C134" s="724">
        <f>SUMIF(ГР14М,7,№ИГР14)</f>
        <v>0</v>
      </c>
      <c r="D134" s="119" t="e">
        <f>IF(C134="",C134,VLOOKUP(C134,'Списки участников'!A:H,3,FALSE))</f>
        <v>#N/A</v>
      </c>
      <c r="E134" s="119" t="e">
        <f>IF(C134="",C134,VLOOKUP(C134,'Списки участников'!A:H,5,FALSE))</f>
        <v>#N/A</v>
      </c>
      <c r="F134" s="119" t="e">
        <f>IF(C134="",C134,VLOOKUP(C134,'Списки участников'!A:H,6,FALSE))</f>
        <v>#N/A</v>
      </c>
    </row>
    <row r="135" spans="1:6" ht="15.75" hidden="1" outlineLevel="1" x14ac:dyDescent="0.2">
      <c r="A135" s="118" t="s">
        <v>750</v>
      </c>
      <c r="B135" s="120">
        <v>7</v>
      </c>
      <c r="C135" s="724">
        <f>SUMIF(ГР15М,7,№ИГР15)</f>
        <v>0</v>
      </c>
      <c r="D135" s="119" t="e">
        <f>IF(C135="",C135,VLOOKUP(C135,'Списки участников'!A:H,3,FALSE))</f>
        <v>#N/A</v>
      </c>
      <c r="E135" s="119" t="e">
        <f>IF(C135="",C135,VLOOKUP(C135,'Списки участников'!A:H,5,FALSE))</f>
        <v>#N/A</v>
      </c>
      <c r="F135" s="119" t="e">
        <f>IF(C135="",C135,VLOOKUP(C135,'Списки участников'!A:H,6,FALSE))</f>
        <v>#N/A</v>
      </c>
    </row>
    <row r="136" spans="1:6" ht="15.75" hidden="1" outlineLevel="1" x14ac:dyDescent="0.2">
      <c r="A136" s="118" t="s">
        <v>751</v>
      </c>
      <c r="B136" s="120">
        <v>7</v>
      </c>
      <c r="C136" s="724">
        <f>SUMIF(ГР16М,7,№ИГР16)</f>
        <v>0</v>
      </c>
      <c r="D136" s="119" t="e">
        <f>IF(C136="",C136,VLOOKUP(C136,'Списки участников'!A:H,3,FALSE))</f>
        <v>#N/A</v>
      </c>
      <c r="E136" s="119" t="e">
        <f>IF(C136="",C136,VLOOKUP(C136,'Списки участников'!A:H,5,FALSE))</f>
        <v>#N/A</v>
      </c>
      <c r="F136" s="119" t="e">
        <f>IF(C136="",C136,VLOOKUP(C136,'Списки участников'!A:H,6,FALSE))</f>
        <v>#N/A</v>
      </c>
    </row>
    <row r="137" spans="1:6" collapsed="1" x14ac:dyDescent="0.2">
      <c r="A137" s="2"/>
      <c r="B137" s="2"/>
      <c r="C137" s="121"/>
      <c r="D137" s="122"/>
      <c r="E137" s="123"/>
      <c r="F137" s="124"/>
    </row>
    <row r="138" spans="1:6" x14ac:dyDescent="0.2">
      <c r="A138" s="1424" t="s">
        <v>734</v>
      </c>
      <c r="B138" s="1424"/>
      <c r="C138" s="1424"/>
      <c r="D138" s="1424"/>
      <c r="E138" s="1424"/>
      <c r="F138" s="1425"/>
    </row>
    <row r="139" spans="1:6" x14ac:dyDescent="0.2">
      <c r="A139" s="1426" t="s">
        <v>1049</v>
      </c>
      <c r="B139" s="1426"/>
      <c r="C139" s="1426"/>
      <c r="D139" s="1426"/>
      <c r="E139" s="1426"/>
      <c r="F139" s="1427"/>
    </row>
    <row r="140" spans="1:6" ht="15.75" x14ac:dyDescent="0.2">
      <c r="A140" s="118" t="s">
        <v>736</v>
      </c>
      <c r="B140" s="120">
        <v>8</v>
      </c>
      <c r="C140" s="724">
        <f>SUMIF(ГР1М,8,№ИГР1)</f>
        <v>0</v>
      </c>
      <c r="D140" s="119" t="e">
        <f>IF(C140="",C140,VLOOKUP(C140,'Списки участников'!A:H,3,FALSE))</f>
        <v>#N/A</v>
      </c>
      <c r="E140" s="119" t="e">
        <f>IF(C140="",C140,VLOOKUP(C140,'Списки участников'!A:H,5,FALSE))</f>
        <v>#N/A</v>
      </c>
      <c r="F140" s="119" t="e">
        <f>IF(C140="",C140,VLOOKUP(C140,'Списки участников'!A:H,6,FALSE))</f>
        <v>#N/A</v>
      </c>
    </row>
    <row r="141" spans="1:6" ht="15.75" x14ac:dyDescent="0.2">
      <c r="A141" s="118" t="s">
        <v>737</v>
      </c>
      <c r="B141" s="120">
        <v>8</v>
      </c>
      <c r="C141" s="724">
        <f>SUMIF(ГР2М,8,№ИГР2)</f>
        <v>0</v>
      </c>
      <c r="D141" s="119" t="e">
        <f>IF(C141="",C141,VLOOKUP(C141,'Списки участников'!A:H,3,FALSE))</f>
        <v>#N/A</v>
      </c>
      <c r="E141" s="119" t="e">
        <f>IF(C141="",C141,VLOOKUP(C141,'Списки участников'!A:H,5,FALSE))</f>
        <v>#N/A</v>
      </c>
      <c r="F141" s="119" t="e">
        <f>IF(C141="",C141,VLOOKUP(C141,'Списки участников'!A:H,6,FALSE))</f>
        <v>#N/A</v>
      </c>
    </row>
    <row r="142" spans="1:6" ht="15.75" x14ac:dyDescent="0.2">
      <c r="A142" s="118" t="s">
        <v>738</v>
      </c>
      <c r="B142" s="120">
        <v>8</v>
      </c>
      <c r="C142" s="724">
        <f>SUMIF(ГР3М,8,№ИГР3)</f>
        <v>0</v>
      </c>
      <c r="D142" s="119" t="e">
        <f>IF(C142="",C142,VLOOKUP(C142,'Списки участников'!A:H,3,FALSE))</f>
        <v>#N/A</v>
      </c>
      <c r="E142" s="119" t="e">
        <f>IF(C142="",C142,VLOOKUP(C142,'Списки участников'!A:H,5,FALSE))</f>
        <v>#N/A</v>
      </c>
      <c r="F142" s="119" t="e">
        <f>IF(C142="",C142,VLOOKUP(C142,'Списки участников'!A:H,6,FALSE))</f>
        <v>#N/A</v>
      </c>
    </row>
    <row r="143" spans="1:6" ht="15.75" x14ac:dyDescent="0.2">
      <c r="A143" s="118" t="s">
        <v>739</v>
      </c>
      <c r="B143" s="120">
        <v>8</v>
      </c>
      <c r="C143" s="724">
        <f>SUMIF(ГР4М,8,№ИГР4)</f>
        <v>4</v>
      </c>
      <c r="D143" s="119" t="str">
        <f>IF(C143="",C143,VLOOKUP(C143,'Списки участников'!A:H,3,FALSE))</f>
        <v>АЛЕКСЕЕВА Елена</v>
      </c>
      <c r="E143" s="119">
        <f>IF(C143="",C143,VLOOKUP(C143,'Списки участников'!A:H,5,FALSE))</f>
        <v>0</v>
      </c>
      <c r="F143" s="119" t="str">
        <f>IF(C143="",C143,VLOOKUP(C143,'Списки участников'!A:H,6,FALSE))</f>
        <v>АО ФНПЦ НИИРТ</v>
      </c>
    </row>
    <row r="144" spans="1:6" ht="15.75" x14ac:dyDescent="0.2">
      <c r="A144" s="118" t="s">
        <v>740</v>
      </c>
      <c r="B144" s="120">
        <v>8</v>
      </c>
      <c r="C144" s="724">
        <f>SUMIF(ГР5М,8,№ИГР5)</f>
        <v>0</v>
      </c>
      <c r="D144" s="119" t="e">
        <f>IF(C144="",C144,VLOOKUP(C144,'Списки участников'!A:H,3,FALSE))</f>
        <v>#N/A</v>
      </c>
      <c r="E144" s="119" t="e">
        <f>IF(C144="",C144,VLOOKUP(C144,'Списки участников'!A:H,5,FALSE))</f>
        <v>#N/A</v>
      </c>
      <c r="F144" s="119" t="e">
        <f>IF(C144="",C144,VLOOKUP(C144,'Списки участников'!A:H,6,FALSE))</f>
        <v>#N/A</v>
      </c>
    </row>
    <row r="145" spans="1:6" ht="15.75" x14ac:dyDescent="0.2">
      <c r="A145" s="118" t="s">
        <v>741</v>
      </c>
      <c r="B145" s="120">
        <v>8</v>
      </c>
      <c r="C145" s="724">
        <f>SUMIF(ГР6М,8,№ИГР6)</f>
        <v>0</v>
      </c>
      <c r="D145" s="119" t="e">
        <f>IF(C145="",C145,VLOOKUP(C145,'Списки участников'!A:H,3,FALSE))</f>
        <v>#N/A</v>
      </c>
      <c r="E145" s="119" t="e">
        <f>IF(C145="",C145,VLOOKUP(C145,'Списки участников'!A:H,5,FALSE))</f>
        <v>#N/A</v>
      </c>
      <c r="F145" s="119" t="e">
        <f>IF(C145="",C145,VLOOKUP(C145,'Списки участников'!A:H,6,FALSE))</f>
        <v>#N/A</v>
      </c>
    </row>
    <row r="146" spans="1:6" ht="15.75" x14ac:dyDescent="0.2">
      <c r="A146" s="118" t="s">
        <v>742</v>
      </c>
      <c r="B146" s="120">
        <v>8</v>
      </c>
      <c r="C146" s="724">
        <f>SUMIF(ГР7М,8,№ИГР7)</f>
        <v>0</v>
      </c>
      <c r="D146" s="119" t="e">
        <f>IF(C146="",C146,VLOOKUP(C146,'Списки участников'!A:H,3,FALSE))</f>
        <v>#N/A</v>
      </c>
      <c r="E146" s="119" t="e">
        <f>IF(C146="",C146,VLOOKUP(C146,'Списки участников'!A:H,5,FALSE))</f>
        <v>#N/A</v>
      </c>
      <c r="F146" s="119" t="e">
        <f>IF(C146="",C146,VLOOKUP(C146,'Списки участников'!A:H,6,FALSE))</f>
        <v>#N/A</v>
      </c>
    </row>
    <row r="147" spans="1:6" ht="15.75" x14ac:dyDescent="0.2">
      <c r="A147" s="118" t="s">
        <v>743</v>
      </c>
      <c r="B147" s="120">
        <v>8</v>
      </c>
      <c r="C147" s="724">
        <f>SUMIF(ГР8М,8,№ИГР8)</f>
        <v>0</v>
      </c>
      <c r="D147" s="119" t="e">
        <f>IF(C147="",C147,VLOOKUP(C147,'Списки участников'!A:H,3,FALSE))</f>
        <v>#N/A</v>
      </c>
      <c r="E147" s="119" t="e">
        <f>IF(C147="",C147,VLOOKUP(C147,'Списки участников'!A:H,5,FALSE))</f>
        <v>#N/A</v>
      </c>
      <c r="F147" s="119" t="e">
        <f>IF(C147="",C147,VLOOKUP(C147,'Списки участников'!A:H,6,FALSE))</f>
        <v>#N/A</v>
      </c>
    </row>
    <row r="148" spans="1:6" ht="15.75" hidden="1" outlineLevel="1" x14ac:dyDescent="0.2">
      <c r="A148" s="118" t="s">
        <v>744</v>
      </c>
      <c r="B148" s="120">
        <v>8</v>
      </c>
      <c r="C148" s="724">
        <f>SUMIF(ГР9М,8,№ИГР9)</f>
        <v>0</v>
      </c>
      <c r="D148" s="119" t="e">
        <f>IF(C148="",C148,VLOOKUP(C148,'Списки участников'!A:H,3,FALSE))</f>
        <v>#N/A</v>
      </c>
      <c r="E148" s="119" t="e">
        <f>IF(C148="",C148,VLOOKUP(C148,'Списки участников'!A:H,5,FALSE))</f>
        <v>#N/A</v>
      </c>
      <c r="F148" s="119" t="e">
        <f>IF(C148="",C148,VLOOKUP(C148,'Списки участников'!A:H,6,FALSE))</f>
        <v>#N/A</v>
      </c>
    </row>
    <row r="149" spans="1:6" ht="15.75" hidden="1" outlineLevel="1" x14ac:dyDescent="0.2">
      <c r="A149" s="118" t="s">
        <v>745</v>
      </c>
      <c r="B149" s="120">
        <v>8</v>
      </c>
      <c r="C149" s="724">
        <f>SUMIF(ГР10М,8,№ИГР10)</f>
        <v>0</v>
      </c>
      <c r="D149" s="119" t="e">
        <f>IF(C149="",C149,VLOOKUP(C149,'Списки участников'!A:H,3,FALSE))</f>
        <v>#N/A</v>
      </c>
      <c r="E149" s="119" t="e">
        <f>IF(C149="",C149,VLOOKUP(C149,'Списки участников'!A:H,5,FALSE))</f>
        <v>#N/A</v>
      </c>
      <c r="F149" s="119" t="e">
        <f>IF(C149="",C149,VLOOKUP(C149,'Списки участников'!A:H,6,FALSE))</f>
        <v>#N/A</v>
      </c>
    </row>
    <row r="150" spans="1:6" ht="15.75" hidden="1" outlineLevel="1" x14ac:dyDescent="0.2">
      <c r="A150" s="118" t="s">
        <v>746</v>
      </c>
      <c r="B150" s="120">
        <v>8</v>
      </c>
      <c r="C150" s="724">
        <f>SUMIF(ГР11М,8,№ИГР11)</f>
        <v>0</v>
      </c>
      <c r="D150" s="119" t="e">
        <f>IF(C150="",C150,VLOOKUP(C150,'Списки участников'!A:H,3,FALSE))</f>
        <v>#N/A</v>
      </c>
      <c r="E150" s="119" t="e">
        <f>IF(C150="",C150,VLOOKUP(C150,'Списки участников'!A:H,5,FALSE))</f>
        <v>#N/A</v>
      </c>
      <c r="F150" s="119" t="e">
        <f>IF(C150="",C150,VLOOKUP(C150,'Списки участников'!A:H,6,FALSE))</f>
        <v>#N/A</v>
      </c>
    </row>
    <row r="151" spans="1:6" ht="15.75" hidden="1" outlineLevel="1" x14ac:dyDescent="0.2">
      <c r="A151" s="118" t="s">
        <v>747</v>
      </c>
      <c r="B151" s="120">
        <v>8</v>
      </c>
      <c r="C151" s="724">
        <f>SUMIF(ГР12М,8,№ИГР12)</f>
        <v>0</v>
      </c>
      <c r="D151" s="119" t="e">
        <f>IF(C151="",C151,VLOOKUP(C151,'Списки участников'!A:H,3,FALSE))</f>
        <v>#N/A</v>
      </c>
      <c r="E151" s="119" t="e">
        <f>IF(C151="",C151,VLOOKUP(C151,'Списки участников'!A:H,5,FALSE))</f>
        <v>#N/A</v>
      </c>
      <c r="F151" s="119" t="e">
        <f>IF(C151="",C151,VLOOKUP(C151,'Списки участников'!A:H,6,FALSE))</f>
        <v>#N/A</v>
      </c>
    </row>
    <row r="152" spans="1:6" ht="15.75" hidden="1" outlineLevel="1" x14ac:dyDescent="0.2">
      <c r="A152" s="118" t="s">
        <v>748</v>
      </c>
      <c r="B152" s="120">
        <v>8</v>
      </c>
      <c r="C152" s="724">
        <f>SUMIF(ГР13М,8,№ИГР13)</f>
        <v>0</v>
      </c>
      <c r="D152" s="119" t="e">
        <f>IF(C152="",C152,VLOOKUP(C152,'Списки участников'!A:H,3,FALSE))</f>
        <v>#N/A</v>
      </c>
      <c r="E152" s="119" t="e">
        <f>IF(C152="",C152,VLOOKUP(C152,'Списки участников'!A:H,5,FALSE))</f>
        <v>#N/A</v>
      </c>
      <c r="F152" s="119" t="e">
        <f>IF(C152="",C152,VLOOKUP(C152,'Списки участников'!A:H,6,FALSE))</f>
        <v>#N/A</v>
      </c>
    </row>
    <row r="153" spans="1:6" ht="15.75" hidden="1" outlineLevel="1" x14ac:dyDescent="0.2">
      <c r="A153" s="118" t="s">
        <v>749</v>
      </c>
      <c r="B153" s="120">
        <v>8</v>
      </c>
      <c r="C153" s="724">
        <f>SUMIF(ГР14М,8,№ИГР14)</f>
        <v>0</v>
      </c>
      <c r="D153" s="119" t="e">
        <f>IF(C153="",C153,VLOOKUP(C153,'Списки участников'!A:H,3,FALSE))</f>
        <v>#N/A</v>
      </c>
      <c r="E153" s="119" t="e">
        <f>IF(C153="",C153,VLOOKUP(C153,'Списки участников'!A:H,5,FALSE))</f>
        <v>#N/A</v>
      </c>
      <c r="F153" s="119" t="e">
        <f>IF(C153="",C153,VLOOKUP(C153,'Списки участников'!A:H,6,FALSE))</f>
        <v>#N/A</v>
      </c>
    </row>
    <row r="154" spans="1:6" ht="15.75" hidden="1" outlineLevel="1" x14ac:dyDescent="0.2">
      <c r="A154" s="118" t="s">
        <v>750</v>
      </c>
      <c r="B154" s="120">
        <v>8</v>
      </c>
      <c r="C154" s="724">
        <f>SUMIF(ГР15М,8,№ИГР15)</f>
        <v>0</v>
      </c>
      <c r="D154" s="119" t="e">
        <f>IF(C154="",C154,VLOOKUP(C154,'Списки участников'!A:H,3,FALSE))</f>
        <v>#N/A</v>
      </c>
      <c r="E154" s="119" t="e">
        <f>IF(C154="",C154,VLOOKUP(C154,'Списки участников'!A:H,5,FALSE))</f>
        <v>#N/A</v>
      </c>
      <c r="F154" s="119" t="e">
        <f>IF(C154="",C154,VLOOKUP(C154,'Списки участников'!A:H,6,FALSE))</f>
        <v>#N/A</v>
      </c>
    </row>
    <row r="155" spans="1:6" ht="15.75" hidden="1" outlineLevel="1" x14ac:dyDescent="0.2">
      <c r="A155" s="118" t="s">
        <v>751</v>
      </c>
      <c r="B155" s="120">
        <v>8</v>
      </c>
      <c r="C155" s="724">
        <f>SUMIF(ГР16М,8,№ИГР16)</f>
        <v>0</v>
      </c>
      <c r="D155" s="119" t="e">
        <f>IF(C155="",C155,VLOOKUP(C155,'Списки участников'!A:H,3,FALSE))</f>
        <v>#N/A</v>
      </c>
      <c r="E155" s="119" t="e">
        <f>IF(C155="",C155,VLOOKUP(C155,'Списки участников'!A:H,5,FALSE))</f>
        <v>#N/A</v>
      </c>
      <c r="F155" s="119" t="e">
        <f>IF(C155="",C155,VLOOKUP(C155,'Списки участников'!A:H,6,FALSE))</f>
        <v>#N/A</v>
      </c>
    </row>
    <row r="156" spans="1:6" collapsed="1" x14ac:dyDescent="0.2"/>
    <row r="157" spans="1:6" x14ac:dyDescent="0.2">
      <c r="A157" s="1424" t="s">
        <v>734</v>
      </c>
      <c r="B157" s="1424"/>
      <c r="C157" s="1424"/>
      <c r="D157" s="1424"/>
      <c r="E157" s="1424"/>
      <c r="F157" s="1425"/>
    </row>
    <row r="158" spans="1:6" x14ac:dyDescent="0.2">
      <c r="A158" s="1426" t="s">
        <v>1050</v>
      </c>
      <c r="B158" s="1426"/>
      <c r="C158" s="1426"/>
      <c r="D158" s="1426"/>
      <c r="E158" s="1426"/>
      <c r="F158" s="1427"/>
    </row>
    <row r="159" spans="1:6" ht="15.75" x14ac:dyDescent="0.2">
      <c r="A159" s="118" t="s">
        <v>736</v>
      </c>
      <c r="B159" s="120">
        <v>9</v>
      </c>
      <c r="C159" s="724">
        <f>SUMIF(ГР1М,9,№ИГР1)</f>
        <v>0</v>
      </c>
      <c r="D159" s="119" t="e">
        <f>IF(C159="",C159,VLOOKUP(C159,'Списки участников'!A:H,3,FALSE))</f>
        <v>#N/A</v>
      </c>
      <c r="E159" s="119" t="e">
        <f>IF(C159="",C159,VLOOKUP(C159,'Списки участников'!A:H,5,FALSE))</f>
        <v>#N/A</v>
      </c>
      <c r="F159" s="119" t="e">
        <f>IF(C159="",C159,VLOOKUP(C159,'Списки участников'!A:H,6,FALSE))</f>
        <v>#N/A</v>
      </c>
    </row>
    <row r="160" spans="1:6" ht="15.75" x14ac:dyDescent="0.2">
      <c r="A160" s="118" t="s">
        <v>737</v>
      </c>
      <c r="B160" s="120">
        <v>9</v>
      </c>
      <c r="C160" s="724">
        <f>SUMIF(ГР2М,9,№ИГР2)</f>
        <v>0</v>
      </c>
      <c r="D160" s="119" t="e">
        <f>IF(C160="",C160,VLOOKUP(C160,'Списки участников'!A:H,3,FALSE))</f>
        <v>#N/A</v>
      </c>
      <c r="E160" s="119" t="e">
        <f>IF(C160="",C160,VLOOKUP(C160,'Списки участников'!A:H,5,FALSE))</f>
        <v>#N/A</v>
      </c>
      <c r="F160" s="119" t="e">
        <f>IF(C160="",C160,VLOOKUP(C160,'Списки участников'!A:H,6,FALSE))</f>
        <v>#N/A</v>
      </c>
    </row>
    <row r="161" spans="1:6" ht="15.75" x14ac:dyDescent="0.2">
      <c r="A161" s="118" t="s">
        <v>738</v>
      </c>
      <c r="B161" s="120">
        <v>9</v>
      </c>
      <c r="C161" s="724">
        <f>SUMIF(ГР3М,9,№ИГР3)</f>
        <v>0</v>
      </c>
      <c r="D161" s="119" t="e">
        <f>IF(C161="",C161,VLOOKUP(C161,'Списки участников'!A:H,3,FALSE))</f>
        <v>#N/A</v>
      </c>
      <c r="E161" s="119" t="e">
        <f>IF(C161="",C161,VLOOKUP(C161,'Списки участников'!A:H,5,FALSE))</f>
        <v>#N/A</v>
      </c>
      <c r="F161" s="119" t="e">
        <f>IF(C161="",C161,VLOOKUP(C161,'Списки участников'!A:H,6,FALSE))</f>
        <v>#N/A</v>
      </c>
    </row>
    <row r="162" spans="1:6" ht="15.75" x14ac:dyDescent="0.2">
      <c r="A162" s="118" t="s">
        <v>739</v>
      </c>
      <c r="B162" s="120">
        <v>9</v>
      </c>
      <c r="C162" s="724">
        <f>SUMIF(ГР4М,9,№ИГР4)</f>
        <v>20</v>
      </c>
      <c r="D162" s="119" t="str">
        <f>IF(C162="",C162,VLOOKUP(C162,'Списки участников'!A:H,3,FALSE))</f>
        <v>КАРПОВА Юлия</v>
      </c>
      <c r="E162" s="119">
        <f>IF(C162="",C162,VLOOKUP(C162,'Списки участников'!A:H,5,FALSE))</f>
        <v>0</v>
      </c>
      <c r="F162" s="119" t="str">
        <f>IF(C162="",C162,VLOOKUP(C162,'Списки участников'!A:H,6,FALSE))</f>
        <v>НПАП №1</v>
      </c>
    </row>
    <row r="163" spans="1:6" ht="15.75" x14ac:dyDescent="0.2">
      <c r="A163" s="118" t="s">
        <v>740</v>
      </c>
      <c r="B163" s="120">
        <v>9</v>
      </c>
      <c r="C163" s="724">
        <f>SUMIF(ГР5М,9,№ИГР5)</f>
        <v>0</v>
      </c>
      <c r="D163" s="119" t="e">
        <f>IF(C163="",C163,VLOOKUP(C163,'Списки участников'!A:H,3,FALSE))</f>
        <v>#N/A</v>
      </c>
      <c r="E163" s="119" t="e">
        <f>IF(C163="",C163,VLOOKUP(C163,'Списки участников'!A:H,5,FALSE))</f>
        <v>#N/A</v>
      </c>
      <c r="F163" s="119" t="e">
        <f>IF(C163="",C163,VLOOKUP(C163,'Списки участников'!A:H,6,FALSE))</f>
        <v>#N/A</v>
      </c>
    </row>
    <row r="164" spans="1:6" ht="15.75" x14ac:dyDescent="0.2">
      <c r="A164" s="118" t="s">
        <v>741</v>
      </c>
      <c r="B164" s="120">
        <v>9</v>
      </c>
      <c r="C164" s="724">
        <f>SUMIF(ГР6М,9,№ИГР6)</f>
        <v>0</v>
      </c>
      <c r="D164" s="119" t="e">
        <f>IF(C164="",C164,VLOOKUP(C164,'Списки участников'!A:H,3,FALSE))</f>
        <v>#N/A</v>
      </c>
      <c r="E164" s="119" t="e">
        <f>IF(C164="",C164,VLOOKUP(C164,'Списки участников'!A:H,5,FALSE))</f>
        <v>#N/A</v>
      </c>
      <c r="F164" s="119" t="e">
        <f>IF(C164="",C164,VLOOKUP(C164,'Списки участников'!A:H,6,FALSE))</f>
        <v>#N/A</v>
      </c>
    </row>
    <row r="165" spans="1:6" ht="15.75" x14ac:dyDescent="0.2">
      <c r="A165" s="118" t="s">
        <v>742</v>
      </c>
      <c r="B165" s="120">
        <v>9</v>
      </c>
      <c r="C165" s="724">
        <f>SUMIF(ГР7М,9,№ИГР7)</f>
        <v>0</v>
      </c>
      <c r="D165" s="119" t="e">
        <f>IF(C165="",C165,VLOOKUP(C165,'Списки участников'!A:H,3,FALSE))</f>
        <v>#N/A</v>
      </c>
      <c r="E165" s="119" t="e">
        <f>IF(C165="",C165,VLOOKUP(C165,'Списки участников'!A:H,5,FALSE))</f>
        <v>#N/A</v>
      </c>
      <c r="F165" s="119" t="e">
        <f>IF(C165="",C165,VLOOKUP(C165,'Списки участников'!A:H,6,FALSE))</f>
        <v>#N/A</v>
      </c>
    </row>
    <row r="166" spans="1:6" ht="15.75" x14ac:dyDescent="0.2">
      <c r="A166" s="118" t="s">
        <v>743</v>
      </c>
      <c r="B166" s="120">
        <v>9</v>
      </c>
      <c r="C166" s="724">
        <f>SUMIF(ГР8М,9,№ИГР8)</f>
        <v>0</v>
      </c>
      <c r="D166" s="119" t="e">
        <f>IF(C166="",C166,VLOOKUP(C166,'Списки участников'!A:H,3,FALSE))</f>
        <v>#N/A</v>
      </c>
      <c r="E166" s="119" t="e">
        <f>IF(C166="",C166,VLOOKUP(C166,'Списки участников'!A:H,5,FALSE))</f>
        <v>#N/A</v>
      </c>
      <c r="F166" s="119" t="e">
        <f>IF(C166="",C166,VLOOKUP(C166,'Списки участников'!A:H,6,FALSE))</f>
        <v>#N/A</v>
      </c>
    </row>
    <row r="167" spans="1:6" ht="15.75" hidden="1" outlineLevel="1" x14ac:dyDescent="0.2">
      <c r="A167" s="118" t="s">
        <v>744</v>
      </c>
      <c r="B167" s="120">
        <v>9</v>
      </c>
      <c r="C167" s="724">
        <f>SUMIF(ГР9М,9,№ИГР9)</f>
        <v>0</v>
      </c>
      <c r="D167" s="119" t="e">
        <f>IF(C167="",C167,VLOOKUP(C167,'Списки участников'!A:H,3,FALSE))</f>
        <v>#N/A</v>
      </c>
      <c r="E167" s="119" t="e">
        <f>IF(C167="",C167,VLOOKUP(C167,'Списки участников'!A:H,5,FALSE))</f>
        <v>#N/A</v>
      </c>
      <c r="F167" s="119" t="e">
        <f>IF(C167="",C167,VLOOKUP(C167,'Списки участников'!A:H,6,FALSE))</f>
        <v>#N/A</v>
      </c>
    </row>
    <row r="168" spans="1:6" ht="15.75" hidden="1" outlineLevel="1" x14ac:dyDescent="0.2">
      <c r="A168" s="118" t="s">
        <v>745</v>
      </c>
      <c r="B168" s="120">
        <v>9</v>
      </c>
      <c r="C168" s="724">
        <f>SUMIF(ГР10М,9,№ИГР10)</f>
        <v>0</v>
      </c>
      <c r="D168" s="119" t="e">
        <f>IF(C168="",C168,VLOOKUP(C168,'Списки участников'!A:H,3,FALSE))</f>
        <v>#N/A</v>
      </c>
      <c r="E168" s="119" t="e">
        <f>IF(C168="",C168,VLOOKUP(C168,'Списки участников'!A:H,5,FALSE))</f>
        <v>#N/A</v>
      </c>
      <c r="F168" s="119" t="e">
        <f>IF(C168="",C168,VLOOKUP(C168,'Списки участников'!A:H,6,FALSE))</f>
        <v>#N/A</v>
      </c>
    </row>
    <row r="169" spans="1:6" ht="15.75" hidden="1" outlineLevel="1" x14ac:dyDescent="0.2">
      <c r="A169" s="118" t="s">
        <v>746</v>
      </c>
      <c r="B169" s="120">
        <v>9</v>
      </c>
      <c r="C169" s="724">
        <f>SUMIF(ГР11М,9,№ИГР11)</f>
        <v>0</v>
      </c>
      <c r="D169" s="119" t="e">
        <f>IF(C169="",C169,VLOOKUP(C169,'Списки участников'!A:H,3,FALSE))</f>
        <v>#N/A</v>
      </c>
      <c r="E169" s="119" t="e">
        <f>IF(C169="",C169,VLOOKUP(C169,'Списки участников'!A:H,5,FALSE))</f>
        <v>#N/A</v>
      </c>
      <c r="F169" s="119" t="e">
        <f>IF(C169="",C169,VLOOKUP(C169,'Списки участников'!A:H,6,FALSE))</f>
        <v>#N/A</v>
      </c>
    </row>
    <row r="170" spans="1:6" ht="15.75" hidden="1" outlineLevel="1" x14ac:dyDescent="0.2">
      <c r="A170" s="118" t="s">
        <v>747</v>
      </c>
      <c r="B170" s="120">
        <v>9</v>
      </c>
      <c r="C170" s="724">
        <f>SUMIF(ГР12М,9,№ИГР12)</f>
        <v>0</v>
      </c>
      <c r="D170" s="119" t="e">
        <f>IF(C170="",C170,VLOOKUP(C170,'Списки участников'!A:H,3,FALSE))</f>
        <v>#N/A</v>
      </c>
      <c r="E170" s="119" t="e">
        <f>IF(C170="",C170,VLOOKUP(C170,'Списки участников'!A:H,5,FALSE))</f>
        <v>#N/A</v>
      </c>
      <c r="F170" s="119" t="e">
        <f>IF(C170="",C170,VLOOKUP(C170,'Списки участников'!A:H,6,FALSE))</f>
        <v>#N/A</v>
      </c>
    </row>
    <row r="171" spans="1:6" ht="15.75" hidden="1" outlineLevel="1" x14ac:dyDescent="0.2">
      <c r="A171" s="118" t="s">
        <v>748</v>
      </c>
      <c r="B171" s="120">
        <v>9</v>
      </c>
      <c r="C171" s="724">
        <f>SUMIF(ГР13М,9,№ИГР13)</f>
        <v>28</v>
      </c>
      <c r="D171" s="119" t="str">
        <f>IF(C171="",C171,VLOOKUP(C171,'Списки участников'!A:H,3,FALSE))</f>
        <v>КОТОВА Наталья</v>
      </c>
      <c r="E171" s="119">
        <f>IF(C171="",C171,VLOOKUP(C171,'Списки участников'!A:H,5,FALSE))</f>
        <v>20</v>
      </c>
      <c r="F171" s="119" t="str">
        <f>IF(C171="",C171,VLOOKUP(C171,'Списки участников'!A:H,6,FALSE))</f>
        <v>"КРАСНОЕ СОРМОВО"</v>
      </c>
    </row>
    <row r="172" spans="1:6" ht="15.75" hidden="1" outlineLevel="1" x14ac:dyDescent="0.2">
      <c r="A172" s="118" t="s">
        <v>749</v>
      </c>
      <c r="B172" s="120">
        <v>9</v>
      </c>
      <c r="C172" s="724">
        <f>SUMIF(ГР14М,9,№ИГР14)</f>
        <v>0</v>
      </c>
      <c r="D172" s="119" t="e">
        <f>IF(C172="",C172,VLOOKUP(C172,'Списки участников'!A:H,3,FALSE))</f>
        <v>#N/A</v>
      </c>
      <c r="E172" s="119" t="e">
        <f>IF(C172="",C172,VLOOKUP(C172,'Списки участников'!A:H,5,FALSE))</f>
        <v>#N/A</v>
      </c>
      <c r="F172" s="119" t="e">
        <f>IF(C172="",C172,VLOOKUP(C172,'Списки участников'!A:H,6,FALSE))</f>
        <v>#N/A</v>
      </c>
    </row>
    <row r="173" spans="1:6" ht="15.75" hidden="1" outlineLevel="1" x14ac:dyDescent="0.2">
      <c r="A173" s="118" t="s">
        <v>750</v>
      </c>
      <c r="B173" s="120">
        <v>9</v>
      </c>
      <c r="C173" s="724">
        <f>SUMIF(ГР15М,9,№ИГР15)</f>
        <v>0</v>
      </c>
      <c r="D173" s="119" t="e">
        <f>IF(C173="",C173,VLOOKUP(C173,'Списки участников'!A:H,3,FALSE))</f>
        <v>#N/A</v>
      </c>
      <c r="E173" s="119" t="e">
        <f>IF(C173="",C173,VLOOKUP(C173,'Списки участников'!A:H,5,FALSE))</f>
        <v>#N/A</v>
      </c>
      <c r="F173" s="119" t="e">
        <f>IF(C173="",C173,VLOOKUP(C173,'Списки участников'!A:H,6,FALSE))</f>
        <v>#N/A</v>
      </c>
    </row>
    <row r="174" spans="1:6" ht="15.75" hidden="1" outlineLevel="1" x14ac:dyDescent="0.2">
      <c r="A174" s="118" t="s">
        <v>751</v>
      </c>
      <c r="B174" s="120">
        <v>9</v>
      </c>
      <c r="C174" s="724">
        <f>SUMIF(ГР16М,9,№ИГР16)</f>
        <v>0</v>
      </c>
      <c r="D174" s="119" t="e">
        <f>IF(C174="",C174,VLOOKUP(C174,'Списки участников'!A:H,3,FALSE))</f>
        <v>#N/A</v>
      </c>
      <c r="E174" s="119" t="e">
        <f>IF(C174="",C174,VLOOKUP(C174,'Списки участников'!A:H,5,FALSE))</f>
        <v>#N/A</v>
      </c>
      <c r="F174" s="119" t="e">
        <f>IF(C174="",C174,VLOOKUP(C174,'Списки участников'!A:H,6,FALSE))</f>
        <v>#N/A</v>
      </c>
    </row>
    <row r="175" spans="1:6" ht="15.75" collapsed="1" x14ac:dyDescent="0.2">
      <c r="A175" s="873"/>
      <c r="B175" s="874"/>
      <c r="C175" s="875"/>
      <c r="D175" s="876"/>
      <c r="E175" s="876"/>
      <c r="F175" s="876"/>
    </row>
    <row r="176" spans="1:6" ht="15.75" x14ac:dyDescent="0.2">
      <c r="A176" s="873"/>
      <c r="B176" s="874"/>
      <c r="C176" s="875"/>
      <c r="D176" s="876"/>
      <c r="E176" s="876"/>
      <c r="F176" s="876"/>
    </row>
    <row r="177" spans="1:6" ht="15.75" x14ac:dyDescent="0.2">
      <c r="A177" s="873"/>
      <c r="B177" s="874"/>
      <c r="C177" s="875"/>
      <c r="D177" s="876"/>
      <c r="E177" s="876"/>
      <c r="F177" s="876"/>
    </row>
    <row r="178" spans="1:6" ht="15.75" x14ac:dyDescent="0.2">
      <c r="A178" s="873"/>
      <c r="B178" s="874"/>
      <c r="C178" s="875"/>
      <c r="D178" s="876"/>
      <c r="E178" s="876"/>
      <c r="F178" s="876"/>
    </row>
    <row r="179" spans="1:6" ht="15.75" x14ac:dyDescent="0.2">
      <c r="A179" s="873"/>
      <c r="B179" s="874"/>
      <c r="C179" s="875"/>
      <c r="D179" s="876"/>
      <c r="E179" s="876"/>
      <c r="F179" s="876"/>
    </row>
    <row r="180" spans="1:6" ht="15.75" x14ac:dyDescent="0.2">
      <c r="A180" s="873"/>
      <c r="B180" s="874"/>
      <c r="C180" s="875"/>
      <c r="D180" s="876"/>
      <c r="E180" s="876"/>
      <c r="F180" s="876"/>
    </row>
    <row r="181" spans="1:6" ht="15.75" x14ac:dyDescent="0.2">
      <c r="A181" s="873"/>
      <c r="B181" s="874"/>
      <c r="C181" s="875"/>
      <c r="D181" s="876"/>
      <c r="E181" s="876"/>
      <c r="F181" s="876"/>
    </row>
    <row r="182" spans="1:6" ht="15.75" x14ac:dyDescent="0.2">
      <c r="A182" s="873"/>
      <c r="B182" s="874"/>
      <c r="C182" s="875"/>
      <c r="D182" s="876"/>
      <c r="E182" s="876"/>
      <c r="F182" s="876"/>
    </row>
    <row r="183" spans="1:6" ht="15.75" x14ac:dyDescent="0.2">
      <c r="A183" s="873"/>
      <c r="B183" s="874"/>
      <c r="C183" s="875"/>
      <c r="D183" s="876"/>
      <c r="E183" s="876"/>
      <c r="F183" s="876"/>
    </row>
    <row r="184" spans="1:6" ht="15.75" x14ac:dyDescent="0.2">
      <c r="A184" s="873"/>
      <c r="B184" s="874"/>
      <c r="C184" s="875"/>
      <c r="D184" s="876"/>
      <c r="E184" s="876"/>
      <c r="F184" s="876"/>
    </row>
    <row r="185" spans="1:6" ht="15.75" x14ac:dyDescent="0.2">
      <c r="A185" s="873"/>
      <c r="B185" s="874"/>
      <c r="C185" s="875"/>
      <c r="D185" s="876"/>
      <c r="E185" s="876"/>
      <c r="F185" s="876"/>
    </row>
    <row r="186" spans="1:6" x14ac:dyDescent="0.2">
      <c r="A186" s="873"/>
    </row>
  </sheetData>
  <mergeCells count="34">
    <mergeCell ref="A2:F2"/>
    <mergeCell ref="G2:G11"/>
    <mergeCell ref="J2:J11"/>
    <mergeCell ref="M2:M11"/>
    <mergeCell ref="P2:P11"/>
    <mergeCell ref="A3:F3"/>
    <mergeCell ref="A21:F21"/>
    <mergeCell ref="G21:G30"/>
    <mergeCell ref="J21:J30"/>
    <mergeCell ref="M21:M30"/>
    <mergeCell ref="P21:P30"/>
    <mergeCell ref="A22:F22"/>
    <mergeCell ref="A41:F41"/>
    <mergeCell ref="G41:G50"/>
    <mergeCell ref="J41:J50"/>
    <mergeCell ref="M41:M50"/>
    <mergeCell ref="P41:P50"/>
    <mergeCell ref="A42:F42"/>
    <mergeCell ref="A60:F60"/>
    <mergeCell ref="G60:G69"/>
    <mergeCell ref="J60:J69"/>
    <mergeCell ref="M60:M69"/>
    <mergeCell ref="P60:P69"/>
    <mergeCell ref="A61:F61"/>
    <mergeCell ref="A120:F120"/>
    <mergeCell ref="A138:F138"/>
    <mergeCell ref="A139:F139"/>
    <mergeCell ref="A157:F157"/>
    <mergeCell ref="A158:F158"/>
    <mergeCell ref="A80:F80"/>
    <mergeCell ref="A81:F81"/>
    <mergeCell ref="A99:F99"/>
    <mergeCell ref="A100:F100"/>
    <mergeCell ref="A119:F119"/>
  </mergeCells>
  <conditionalFormatting sqref="H33:I33">
    <cfRule type="containsText" dxfId="6" priority="7" stopIfTrue="1" operator="containsText" text="ОТСОРТИРЙТЕ">
      <formula>NOT(ISERROR(SEARCH("ОТСОРТИРЙТЕ",H33)))</formula>
    </cfRule>
  </conditionalFormatting>
  <conditionalFormatting sqref="H33">
    <cfRule type="containsText" dxfId="5" priority="6" stopIfTrue="1" operator="containsText" text="ОТСОРТИРУЙТЕ">
      <formula>NOT(ISERROR(SEARCH("ОТСОРТИРУЙТЕ",H33)))</formula>
    </cfRule>
  </conditionalFormatting>
  <conditionalFormatting sqref="D1">
    <cfRule type="containsText" dxfId="4" priority="1" stopIfTrue="1" operator="containsText" text="ОТ">
      <formula>NOT(ISERROR(SEARCH("ОТ",D1)))</formula>
    </cfRule>
    <cfRule type="containsText" dxfId="3" priority="2" stopIfTrue="1" operator="containsText" text="ОТСОРТИРЙТЕ">
      <formula>NOT(ISERROR(SEARCH("ОТСОРТИРЙТЕ",D1)))</formula>
    </cfRule>
    <cfRule type="containsText" dxfId="2" priority="3" stopIfTrue="1" operator="containsText" text="&quot;ОТСОРТИРУЙТЕ&quot;">
      <formula>NOT(ISERROR(SEARCH("""ОТСОРТИРУЙТЕ""",D1)))</formula>
    </cfRule>
    <cfRule type="containsText" dxfId="1" priority="4" stopIfTrue="1" operator="containsText" text="&quot;ОТСОРТИРУЙТЕ&quot;">
      <formula>NOT(ISERROR(SEARCH("""ОТСОРТИРУЙТЕ""",D1)))</formula>
    </cfRule>
    <cfRule type="containsText" dxfId="0" priority="5" stopIfTrue="1" operator="containsText" text="&quot;ОТСОРТИРУЙТЕ&quot;">
      <formula>NOT(ISERROR(SEARCH("""ОТСОРТИРУЙТЕ""",D1)))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portrait" r:id="rId1"/>
  <rowBreaks count="2" manualBreakCount="2">
    <brk id="77" max="5" man="1"/>
    <brk id="147" max="5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Z80"/>
  <sheetViews>
    <sheetView view="pageBreakPreview" topLeftCell="A13" zoomScale="90" zoomScaleNormal="60" zoomScaleSheetLayoutView="90" workbookViewId="0">
      <selection activeCell="V70" sqref="V70"/>
    </sheetView>
  </sheetViews>
  <sheetFormatPr defaultColWidth="21.83203125" defaultRowHeight="10.35" customHeight="1" outlineLevelCol="1" x14ac:dyDescent="0.2"/>
  <cols>
    <col min="1" max="1" width="3.1640625" style="536" customWidth="1"/>
    <col min="2" max="2" width="4.33203125" style="536" hidden="1" customWidth="1" outlineLevel="1"/>
    <col min="3" max="3" width="25" style="535" customWidth="1" collapsed="1"/>
    <col min="4" max="4" width="3.1640625" style="535" customWidth="1"/>
    <col min="5" max="5" width="4.6640625" style="535" hidden="1" customWidth="1" outlineLevel="1"/>
    <col min="6" max="6" width="21.5" style="530" customWidth="1" collapsed="1"/>
    <col min="7" max="7" width="3.1640625" style="535" customWidth="1"/>
    <col min="8" max="8" width="5.6640625" style="530" hidden="1" customWidth="1" outlineLevel="1"/>
    <col min="9" max="9" width="21.5" style="535" customWidth="1" collapsed="1"/>
    <col min="10" max="10" width="3.1640625" style="535" customWidth="1"/>
    <col min="11" max="11" width="4.33203125" style="535" hidden="1" customWidth="1" outlineLevel="1"/>
    <col min="12" max="12" width="21.6640625" style="530" customWidth="1" collapsed="1"/>
    <col min="13" max="13" width="3.33203125" style="530" customWidth="1"/>
    <col min="14" max="14" width="5.33203125" style="530" hidden="1" customWidth="1" outlineLevel="1"/>
    <col min="15" max="15" width="21.5" style="535" customWidth="1" collapsed="1"/>
    <col min="16" max="16" width="3.83203125" style="530" customWidth="1"/>
    <col min="17" max="17" width="4.33203125" style="530" customWidth="1"/>
    <col min="18" max="18" width="3.1640625" style="535" customWidth="1"/>
    <col min="19" max="19" width="16" style="530" customWidth="1"/>
    <col min="20" max="20" width="3.1640625" style="535" customWidth="1"/>
    <col min="21" max="21" width="3.1640625" style="530" customWidth="1"/>
    <col min="22" max="22" width="16" style="530" customWidth="1"/>
    <col min="23" max="23" width="3.1640625" style="535" customWidth="1"/>
    <col min="24" max="24" width="3.1640625" style="530" customWidth="1"/>
    <col min="25" max="25" width="16" style="535" customWidth="1"/>
    <col min="26" max="27" width="3.1640625" style="530" customWidth="1"/>
    <col min="28" max="28" width="15.5" style="535" customWidth="1"/>
    <col min="29" max="29" width="3.1640625" style="530" customWidth="1"/>
    <col min="30" max="30" width="16.1640625" style="530" customWidth="1"/>
    <col min="31" max="31" width="3.1640625" style="535" customWidth="1"/>
    <col min="32" max="32" width="3.6640625" style="530" customWidth="1"/>
    <col min="33" max="33" width="21.83203125" style="530" customWidth="1"/>
    <col min="34" max="34" width="21.83203125" style="535" customWidth="1"/>
    <col min="35" max="36" width="21.83203125" style="530" customWidth="1"/>
    <col min="37" max="41" width="21.83203125" style="535" customWidth="1"/>
    <col min="42" max="43" width="21.83203125" style="530" customWidth="1"/>
    <col min="44" max="44" width="21.83203125" style="535" customWidth="1"/>
    <col min="45" max="46" width="21.83203125" style="530" customWidth="1"/>
    <col min="47" max="47" width="21.83203125" style="535" customWidth="1"/>
    <col min="48" max="49" width="21.83203125" style="530" customWidth="1"/>
    <col min="50" max="50" width="21.83203125" style="535" customWidth="1"/>
    <col min="51" max="52" width="21.83203125" style="530" customWidth="1"/>
    <col min="53" max="16384" width="21.83203125" style="535"/>
  </cols>
  <sheetData>
    <row r="1" spans="1:31" ht="16.5" customHeight="1" x14ac:dyDescent="0.2">
      <c r="A1" s="1264" t="str">
        <f>'Списки участников'!A1</f>
        <v xml:space="preserve">X Спартакиада
среди предприятий Нижегородской области ФСК "Профсоюзов",
под девизом "Будь спортивным - будь успешным!"
</v>
      </c>
      <c r="B1" s="1264"/>
      <c r="C1" s="1264"/>
      <c r="D1" s="1264"/>
      <c r="E1" s="1264"/>
      <c r="F1" s="1264"/>
      <c r="G1" s="1264"/>
      <c r="H1" s="1264"/>
      <c r="I1" s="1264"/>
      <c r="J1" s="1264"/>
      <c r="K1" s="1264"/>
      <c r="L1" s="1264"/>
      <c r="M1" s="1264"/>
      <c r="N1" s="1264"/>
      <c r="O1" s="1264"/>
      <c r="P1" s="1264"/>
      <c r="Q1" s="1264"/>
      <c r="R1" s="529"/>
      <c r="T1" s="530"/>
      <c r="W1" s="531"/>
      <c r="X1" s="532"/>
      <c r="Y1" s="533"/>
      <c r="AB1" s="530"/>
      <c r="AD1" s="534"/>
      <c r="AE1" s="530"/>
    </row>
    <row r="2" spans="1:31" ht="14.25" customHeight="1" x14ac:dyDescent="0.2">
      <c r="A2" s="1265" t="str">
        <f>'Списки участников'!A2</f>
        <v>Соревнования по настольному теннису</v>
      </c>
      <c r="B2" s="1265"/>
      <c r="C2" s="1265"/>
      <c r="D2" s="1265"/>
      <c r="E2" s="1265"/>
      <c r="F2" s="1265"/>
      <c r="G2" s="1265"/>
      <c r="H2" s="1265"/>
      <c r="I2" s="1265"/>
      <c r="J2" s="1265"/>
      <c r="K2" s="1265"/>
      <c r="L2" s="1265"/>
      <c r="M2" s="1265"/>
      <c r="N2" s="1265"/>
      <c r="O2" s="1265"/>
      <c r="P2" s="1265"/>
      <c r="Q2" s="1265"/>
      <c r="R2" s="529"/>
      <c r="T2" s="530"/>
      <c r="W2" s="531"/>
      <c r="X2" s="532"/>
      <c r="Y2" s="533"/>
      <c r="AB2" s="530"/>
      <c r="AE2" s="530"/>
    </row>
    <row r="3" spans="1:31" ht="17.25" customHeight="1" x14ac:dyDescent="0.2">
      <c r="A3" s="1266" t="str">
        <f>'Списки участников'!C3</f>
        <v>22 октября 2016 г.</v>
      </c>
      <c r="B3" s="1266"/>
      <c r="C3" s="1266"/>
      <c r="D3" s="1266"/>
      <c r="E3" s="1266"/>
      <c r="I3" s="881" t="s">
        <v>2727</v>
      </c>
      <c r="J3" s="882" t="s">
        <v>8</v>
      </c>
      <c r="K3" s="883"/>
      <c r="L3" s="884" t="s">
        <v>2728</v>
      </c>
      <c r="M3" s="1266">
        <f>'Списки участников'!H3</f>
        <v>0</v>
      </c>
      <c r="N3" s="1266"/>
      <c r="O3" s="1266"/>
      <c r="P3" s="1266"/>
      <c r="Q3" s="1266"/>
      <c r="R3" s="529"/>
      <c r="T3" s="530"/>
      <c r="W3" s="530"/>
      <c r="Y3" s="530"/>
      <c r="AB3" s="530"/>
      <c r="AE3" s="530"/>
    </row>
    <row r="4" spans="1:31" ht="15" customHeight="1" x14ac:dyDescent="0.2">
      <c r="A4" s="538">
        <v>1</v>
      </c>
      <c r="B4" s="539">
        <v>34</v>
      </c>
      <c r="C4" s="540" t="e">
        <f>IF(B4="","",VLOOKUP(B4,'Списки участников'!A:K,12,FALSE))</f>
        <v>#REF!</v>
      </c>
      <c r="E4" s="541"/>
      <c r="F4" s="535"/>
      <c r="G4" s="536"/>
      <c r="H4" s="536"/>
      <c r="I4" s="542"/>
      <c r="J4" s="536"/>
      <c r="K4" s="536"/>
      <c r="L4" s="535"/>
      <c r="M4" s="535"/>
      <c r="N4" s="535"/>
      <c r="P4" s="535"/>
      <c r="Q4" s="535"/>
      <c r="R4" s="533"/>
      <c r="S4" s="543"/>
      <c r="T4" s="530"/>
      <c r="W4" s="530"/>
      <c r="Y4" s="530"/>
      <c r="AB4" s="530"/>
      <c r="AE4" s="530"/>
    </row>
    <row r="5" spans="1:31" ht="15" customHeight="1" x14ac:dyDescent="0.2">
      <c r="B5" s="544"/>
      <c r="C5" s="545"/>
      <c r="D5" s="546" t="s">
        <v>10</v>
      </c>
      <c r="E5" s="547">
        <v>34</v>
      </c>
      <c r="F5" s="548" t="e">
        <f>IF(E5="","",VLOOKUP(E5,'Списки участников'!A:K,12,FALSE))</f>
        <v>#REF!</v>
      </c>
      <c r="G5" s="549"/>
      <c r="I5" s="530"/>
      <c r="K5" s="530"/>
      <c r="M5" s="535"/>
      <c r="N5" s="535"/>
      <c r="O5" s="530"/>
      <c r="Q5" s="535"/>
      <c r="R5" s="529"/>
      <c r="T5" s="530"/>
      <c r="W5" s="533"/>
      <c r="Y5" s="537"/>
      <c r="AB5" s="530"/>
      <c r="AE5" s="530"/>
    </row>
    <row r="6" spans="1:31" ht="15" customHeight="1" x14ac:dyDescent="0.2">
      <c r="A6" s="550" t="s">
        <v>41</v>
      </c>
      <c r="B6" s="539">
        <v>101</v>
      </c>
      <c r="C6" s="540" t="e">
        <f>IF(B6="","",VLOOKUP(B6,'Списки участников'!A:K,12,FALSE))</f>
        <v>#N/A</v>
      </c>
      <c r="D6" s="551"/>
      <c r="E6" s="543"/>
      <c r="F6" s="552"/>
      <c r="G6" s="553"/>
      <c r="H6" s="537"/>
      <c r="I6" s="530"/>
      <c r="K6" s="530"/>
      <c r="M6" s="535"/>
      <c r="N6" s="535"/>
      <c r="O6" s="530"/>
      <c r="Q6" s="535"/>
      <c r="R6" s="533"/>
      <c r="S6" s="543"/>
      <c r="T6" s="530"/>
      <c r="W6" s="530"/>
      <c r="Y6" s="530"/>
      <c r="AB6" s="530"/>
      <c r="AE6" s="530"/>
    </row>
    <row r="7" spans="1:31" ht="15" customHeight="1" x14ac:dyDescent="0.2">
      <c r="B7" s="544"/>
      <c r="C7" s="554"/>
      <c r="E7" s="543"/>
      <c r="F7" s="552"/>
      <c r="G7" s="555">
        <v>9</v>
      </c>
      <c r="H7" s="547">
        <v>34</v>
      </c>
      <c r="I7" s="548" t="e">
        <f>IF(H7="","",VLOOKUP(H7,'Списки участников'!A:K,12,FALSE))</f>
        <v>#REF!</v>
      </c>
      <c r="J7" s="549"/>
      <c r="K7" s="530"/>
      <c r="M7" s="535"/>
      <c r="N7" s="535"/>
      <c r="O7" s="530"/>
      <c r="Q7" s="535"/>
      <c r="R7" s="529"/>
      <c r="T7" s="533"/>
      <c r="V7" s="543"/>
      <c r="W7" s="530"/>
      <c r="Y7" s="530"/>
      <c r="AB7" s="530"/>
      <c r="AE7" s="530"/>
    </row>
    <row r="8" spans="1:31" ht="15" customHeight="1" x14ac:dyDescent="0.2">
      <c r="A8" s="550" t="s">
        <v>35</v>
      </c>
      <c r="B8" s="539">
        <v>101</v>
      </c>
      <c r="C8" s="540" t="e">
        <f>IF(B8="","",VLOOKUP(B8,'Списки участников'!A:K,12,FALSE))</f>
        <v>#N/A</v>
      </c>
      <c r="D8" s="549"/>
      <c r="E8" s="543"/>
      <c r="F8" s="552"/>
      <c r="G8" s="556"/>
      <c r="H8" s="537"/>
      <c r="I8" s="552" t="s">
        <v>2725</v>
      </c>
      <c r="J8" s="553"/>
      <c r="K8" s="537"/>
      <c r="M8" s="535"/>
      <c r="N8" s="535"/>
      <c r="O8" s="530"/>
      <c r="Q8" s="535"/>
      <c r="R8" s="533"/>
      <c r="S8" s="543"/>
      <c r="T8" s="530"/>
      <c r="W8" s="530"/>
      <c r="Y8" s="530"/>
      <c r="AB8" s="530"/>
      <c r="AE8" s="530"/>
    </row>
    <row r="9" spans="1:31" ht="15" customHeight="1" x14ac:dyDescent="0.2">
      <c r="B9" s="544"/>
      <c r="C9" s="554"/>
      <c r="D9" s="546" t="s">
        <v>41</v>
      </c>
      <c r="E9" s="547">
        <v>7</v>
      </c>
      <c r="F9" s="548" t="e">
        <f>IF(E9="","",VLOOKUP(E9,'Списки участников'!A:K,12,FALSE))</f>
        <v>#REF!</v>
      </c>
      <c r="G9" s="551"/>
      <c r="H9" s="537"/>
      <c r="I9" s="552"/>
      <c r="J9" s="556"/>
      <c r="K9" s="537"/>
      <c r="M9" s="535"/>
      <c r="N9" s="535"/>
      <c r="O9" s="530"/>
      <c r="Q9" s="535"/>
      <c r="R9" s="529"/>
      <c r="T9" s="530"/>
      <c r="W9" s="530"/>
      <c r="Y9" s="530"/>
      <c r="Z9" s="533"/>
      <c r="AB9" s="537"/>
      <c r="AE9" s="530"/>
    </row>
    <row r="10" spans="1:31" ht="15" customHeight="1" x14ac:dyDescent="0.2">
      <c r="A10" s="550" t="s">
        <v>15</v>
      </c>
      <c r="B10" s="539">
        <v>7</v>
      </c>
      <c r="C10" s="540" t="e">
        <f>IF(B10="","",VLOOKUP(B10,'Списки участников'!A:K,12,FALSE))</f>
        <v>#REF!</v>
      </c>
      <c r="D10" s="551"/>
      <c r="E10" s="543"/>
      <c r="F10" s="552"/>
      <c r="H10" s="537"/>
      <c r="I10" s="552"/>
      <c r="J10" s="556"/>
      <c r="K10" s="537"/>
      <c r="M10" s="535"/>
      <c r="N10" s="535"/>
      <c r="O10" s="530"/>
      <c r="Q10" s="535"/>
      <c r="R10" s="533"/>
      <c r="S10" s="543"/>
      <c r="T10" s="530"/>
      <c r="W10" s="530"/>
      <c r="Y10" s="530"/>
      <c r="AB10" s="530"/>
      <c r="AE10" s="530"/>
    </row>
    <row r="11" spans="1:31" ht="15" customHeight="1" x14ac:dyDescent="0.2">
      <c r="B11" s="544"/>
      <c r="C11" s="554"/>
      <c r="E11" s="543"/>
      <c r="F11" s="552"/>
      <c r="H11" s="537"/>
      <c r="I11" s="552"/>
      <c r="J11" s="557" t="s">
        <v>23</v>
      </c>
      <c r="K11" s="547">
        <v>19</v>
      </c>
      <c r="L11" s="548" t="e">
        <f>IF(K11="","",VLOOKUP(K11,'Списки участников'!A:K,12,FALSE))</f>
        <v>#REF!</v>
      </c>
      <c r="M11" s="549"/>
      <c r="O11" s="530"/>
      <c r="Q11" s="535"/>
      <c r="R11" s="529"/>
      <c r="T11" s="533"/>
      <c r="V11" s="543"/>
      <c r="W11" s="530"/>
      <c r="Y11" s="530"/>
      <c r="AB11" s="530"/>
      <c r="AE11" s="530"/>
    </row>
    <row r="12" spans="1:31" ht="15" customHeight="1" x14ac:dyDescent="0.2">
      <c r="A12" s="550" t="s">
        <v>37</v>
      </c>
      <c r="B12" s="539">
        <v>19</v>
      </c>
      <c r="C12" s="540" t="e">
        <f>IF(B12="","",VLOOKUP(B12,'Списки участников'!A:K,12,FALSE))</f>
        <v>#REF!</v>
      </c>
      <c r="D12" s="549"/>
      <c r="E12" s="543"/>
      <c r="F12" s="552"/>
      <c r="H12" s="537"/>
      <c r="I12" s="552"/>
      <c r="J12" s="556"/>
      <c r="K12" s="537"/>
      <c r="L12" s="552" t="s">
        <v>2726</v>
      </c>
      <c r="M12" s="553"/>
      <c r="O12" s="530"/>
      <c r="Q12" s="535"/>
      <c r="R12" s="533"/>
      <c r="S12" s="543"/>
      <c r="T12" s="530"/>
      <c r="W12" s="530"/>
      <c r="Y12" s="530"/>
      <c r="AB12" s="530"/>
      <c r="AE12" s="530"/>
    </row>
    <row r="13" spans="1:31" ht="15" customHeight="1" x14ac:dyDescent="0.2">
      <c r="B13" s="544"/>
      <c r="C13" s="554"/>
      <c r="D13" s="546" t="s">
        <v>35</v>
      </c>
      <c r="E13" s="547">
        <v>19</v>
      </c>
      <c r="F13" s="548" t="e">
        <f>IF(E13="","",VLOOKUP(E13,'Списки участников'!A:K,12,FALSE))</f>
        <v>#REF!</v>
      </c>
      <c r="G13" s="549"/>
      <c r="H13" s="537"/>
      <c r="I13" s="552"/>
      <c r="J13" s="556"/>
      <c r="K13" s="537"/>
      <c r="L13" s="552"/>
      <c r="M13" s="556"/>
      <c r="O13" s="530"/>
      <c r="Q13" s="535"/>
      <c r="R13" s="529"/>
      <c r="T13" s="530"/>
      <c r="W13" s="533"/>
      <c r="Y13" s="543"/>
      <c r="AB13" s="530"/>
      <c r="AE13" s="530"/>
    </row>
    <row r="14" spans="1:31" ht="15" customHeight="1" x14ac:dyDescent="0.2">
      <c r="A14" s="550" t="s">
        <v>42</v>
      </c>
      <c r="B14" s="539">
        <v>21</v>
      </c>
      <c r="C14" s="540" t="e">
        <f>IF(B14="","",VLOOKUP(B14,'Списки участников'!A:K,12,FALSE))</f>
        <v>#REF!</v>
      </c>
      <c r="D14" s="551"/>
      <c r="E14" s="543"/>
      <c r="F14" s="552" t="s">
        <v>2725</v>
      </c>
      <c r="G14" s="553"/>
      <c r="H14" s="537"/>
      <c r="I14" s="552"/>
      <c r="J14" s="556"/>
      <c r="K14" s="537"/>
      <c r="L14" s="552"/>
      <c r="M14" s="556"/>
      <c r="O14" s="530"/>
      <c r="Q14" s="535"/>
      <c r="R14" s="533"/>
      <c r="S14" s="543"/>
      <c r="T14" s="530"/>
      <c r="W14" s="530"/>
      <c r="Y14" s="530"/>
      <c r="AB14" s="530"/>
      <c r="AE14" s="530"/>
    </row>
    <row r="15" spans="1:31" ht="15" customHeight="1" x14ac:dyDescent="0.2">
      <c r="B15" s="544"/>
      <c r="C15" s="554"/>
      <c r="E15" s="543"/>
      <c r="F15" s="552"/>
      <c r="G15" s="557" t="s">
        <v>30</v>
      </c>
      <c r="H15" s="547">
        <v>19</v>
      </c>
      <c r="I15" s="548" t="e">
        <f>IF(H15="","",VLOOKUP(H15,'Списки участников'!A:K,12,FALSE))</f>
        <v>#REF!</v>
      </c>
      <c r="J15" s="551"/>
      <c r="K15" s="537"/>
      <c r="L15" s="552"/>
      <c r="M15" s="556"/>
      <c r="O15" s="530"/>
      <c r="Q15" s="535"/>
      <c r="R15" s="529"/>
      <c r="T15" s="533"/>
      <c r="V15" s="543"/>
      <c r="W15" s="530"/>
      <c r="Y15" s="530"/>
      <c r="AB15" s="530"/>
      <c r="AE15" s="530"/>
    </row>
    <row r="16" spans="1:31" ht="15" customHeight="1" x14ac:dyDescent="0.2">
      <c r="A16" s="550" t="s">
        <v>28</v>
      </c>
      <c r="B16" s="539">
        <v>101</v>
      </c>
      <c r="C16" s="540" t="e">
        <f>IF(B16="","",VLOOKUP(B16,'Списки участников'!A:K,12,FALSE))</f>
        <v>#N/A</v>
      </c>
      <c r="D16" s="549"/>
      <c r="E16" s="543"/>
      <c r="F16" s="552"/>
      <c r="G16" s="556"/>
      <c r="H16" s="537"/>
      <c r="I16" s="552" t="s">
        <v>2726</v>
      </c>
      <c r="K16" s="537"/>
      <c r="L16" s="552"/>
      <c r="M16" s="556"/>
      <c r="O16" s="530"/>
      <c r="Q16" s="535"/>
      <c r="R16" s="533"/>
      <c r="S16" s="543"/>
      <c r="T16" s="530"/>
      <c r="W16" s="530"/>
      <c r="Y16" s="530"/>
      <c r="AB16" s="530"/>
      <c r="AE16" s="530"/>
    </row>
    <row r="17" spans="1:32" ht="15" customHeight="1" x14ac:dyDescent="0.2">
      <c r="B17" s="544"/>
      <c r="C17" s="554"/>
      <c r="D17" s="546" t="s">
        <v>15</v>
      </c>
      <c r="E17" s="547">
        <v>15</v>
      </c>
      <c r="F17" s="548" t="e">
        <f>IF(E17="","",VLOOKUP(E17,'Списки участников'!A:K,12,FALSE))</f>
        <v>#REF!</v>
      </c>
      <c r="G17" s="551"/>
      <c r="H17" s="537"/>
      <c r="I17" s="552"/>
      <c r="K17" s="537"/>
      <c r="L17" s="552"/>
      <c r="M17" s="556"/>
      <c r="O17" s="530"/>
      <c r="Q17" s="535"/>
      <c r="R17" s="529"/>
      <c r="T17" s="530"/>
      <c r="W17" s="530"/>
      <c r="Y17" s="530"/>
      <c r="AB17" s="530"/>
      <c r="AC17" s="533"/>
      <c r="AD17" s="537"/>
      <c r="AE17" s="530"/>
      <c r="AF17" s="533"/>
    </row>
    <row r="18" spans="1:32" ht="15" customHeight="1" x14ac:dyDescent="0.2">
      <c r="A18" s="550" t="s">
        <v>22</v>
      </c>
      <c r="B18" s="539">
        <v>15</v>
      </c>
      <c r="C18" s="540" t="e">
        <f>IF(B18="","",VLOOKUP(B18,'Списки участников'!A:K,12,FALSE))</f>
        <v>#REF!</v>
      </c>
      <c r="D18" s="551"/>
      <c r="E18" s="543"/>
      <c r="F18" s="552"/>
      <c r="H18" s="537"/>
      <c r="I18" s="552"/>
      <c r="K18" s="537"/>
      <c r="L18" s="552"/>
      <c r="M18" s="556"/>
      <c r="O18" s="558"/>
      <c r="Q18" s="535"/>
      <c r="R18" s="533"/>
      <c r="S18" s="543"/>
      <c r="T18" s="530"/>
      <c r="W18" s="530"/>
      <c r="Y18" s="530"/>
      <c r="AB18" s="530"/>
      <c r="AE18" s="530"/>
    </row>
    <row r="19" spans="1:32" ht="15" customHeight="1" x14ac:dyDescent="0.2">
      <c r="B19" s="544"/>
      <c r="C19" s="554"/>
      <c r="E19" s="543"/>
      <c r="F19" s="552"/>
      <c r="H19" s="537"/>
      <c r="I19" s="552"/>
      <c r="K19" s="537"/>
      <c r="L19" s="552"/>
      <c r="M19" s="557" t="s">
        <v>12</v>
      </c>
      <c r="N19" s="559">
        <v>3</v>
      </c>
      <c r="O19" s="548" t="e">
        <f>IF(N19="","",VLOOKUP(N19,'Списки участников'!A:K,12,FALSE))</f>
        <v>#REF!</v>
      </c>
      <c r="P19" s="549"/>
      <c r="Q19" s="885" t="str">
        <f>CONCATENATE(J3," ","м")</f>
        <v>17 м</v>
      </c>
      <c r="R19" s="529"/>
      <c r="T19" s="533"/>
      <c r="V19" s="543"/>
      <c r="W19" s="530"/>
      <c r="Y19" s="530"/>
      <c r="AB19" s="530"/>
      <c r="AE19" s="530"/>
    </row>
    <row r="20" spans="1:32" ht="15" customHeight="1" x14ac:dyDescent="0.2">
      <c r="A20" s="550" t="s">
        <v>38</v>
      </c>
      <c r="B20" s="539">
        <v>33</v>
      </c>
      <c r="C20" s="540" t="e">
        <f>IF(B20="","",VLOOKUP(B20,'Списки участников'!A:K,12,FALSE))</f>
        <v>#REF!</v>
      </c>
      <c r="D20" s="549"/>
      <c r="E20" s="543"/>
      <c r="F20" s="552"/>
      <c r="H20" s="537"/>
      <c r="I20" s="552"/>
      <c r="K20" s="537"/>
      <c r="L20" s="552"/>
      <c r="M20" s="556"/>
      <c r="O20" s="552" t="s">
        <v>2725</v>
      </c>
      <c r="Q20" s="535"/>
      <c r="R20" s="533"/>
      <c r="S20" s="543"/>
      <c r="T20" s="530"/>
      <c r="W20" s="530"/>
      <c r="Y20" s="530"/>
      <c r="AB20" s="530"/>
      <c r="AE20" s="530"/>
    </row>
    <row r="21" spans="1:32" ht="15" customHeight="1" x14ac:dyDescent="0.2">
      <c r="B21" s="544"/>
      <c r="C21" s="554"/>
      <c r="D21" s="546" t="s">
        <v>37</v>
      </c>
      <c r="E21" s="547">
        <v>33</v>
      </c>
      <c r="F21" s="548" t="e">
        <f>IF(E21="","",VLOOKUP(E21,'Списки участников'!A:K,12,FALSE))</f>
        <v>#REF!</v>
      </c>
      <c r="G21" s="549"/>
      <c r="H21" s="537"/>
      <c r="I21" s="552"/>
      <c r="K21" s="537"/>
      <c r="L21" s="552"/>
      <c r="M21" s="556"/>
      <c r="O21" s="552"/>
      <c r="Q21" s="535"/>
      <c r="R21" s="529"/>
      <c r="T21" s="530"/>
      <c r="W21" s="533"/>
      <c r="Y21" s="543"/>
      <c r="AB21" s="530"/>
      <c r="AE21" s="530"/>
    </row>
    <row r="22" spans="1:32" ht="15" customHeight="1" x14ac:dyDescent="0.2">
      <c r="A22" s="550" t="s">
        <v>30</v>
      </c>
      <c r="B22" s="539">
        <v>101</v>
      </c>
      <c r="C22" s="540" t="e">
        <f>IF(B22="","",VLOOKUP(B22,'Списки участников'!A:K,12,FALSE))</f>
        <v>#N/A</v>
      </c>
      <c r="D22" s="551"/>
      <c r="E22" s="543"/>
      <c r="F22" s="552"/>
      <c r="G22" s="553"/>
      <c r="H22" s="537"/>
      <c r="I22" s="552"/>
      <c r="K22" s="537"/>
      <c r="L22" s="552"/>
      <c r="M22" s="556"/>
      <c r="O22" s="552"/>
      <c r="Q22" s="535"/>
      <c r="R22" s="533"/>
      <c r="S22" s="543"/>
      <c r="T22" s="530"/>
      <c r="W22" s="530"/>
      <c r="Y22" s="530"/>
      <c r="AB22" s="530"/>
      <c r="AE22" s="530"/>
    </row>
    <row r="23" spans="1:32" ht="15" customHeight="1" x14ac:dyDescent="0.2">
      <c r="B23" s="544"/>
      <c r="C23" s="554"/>
      <c r="E23" s="543"/>
      <c r="F23" s="552"/>
      <c r="G23" s="557" t="s">
        <v>25</v>
      </c>
      <c r="H23" s="547">
        <v>33</v>
      </c>
      <c r="I23" s="548" t="e">
        <f>IF(H23="","",VLOOKUP(H23,'Списки участников'!A:K,12,FALSE))</f>
        <v>#REF!</v>
      </c>
      <c r="J23" s="549"/>
      <c r="K23" s="537"/>
      <c r="L23" s="552"/>
      <c r="M23" s="556"/>
      <c r="O23" s="552"/>
      <c r="Q23" s="535"/>
      <c r="R23" s="529"/>
      <c r="T23" s="533"/>
      <c r="V23" s="543"/>
      <c r="W23" s="530"/>
      <c r="Y23" s="530"/>
      <c r="AB23" s="530"/>
      <c r="AE23" s="530"/>
    </row>
    <row r="24" spans="1:32" ht="15" customHeight="1" x14ac:dyDescent="0.2">
      <c r="A24" s="550" t="s">
        <v>25</v>
      </c>
      <c r="B24" s="539">
        <v>5</v>
      </c>
      <c r="C24" s="540" t="e">
        <f>IF(B24="","",VLOOKUP(B24,'Списки участников'!A:K,12,FALSE))</f>
        <v>#REF!</v>
      </c>
      <c r="D24" s="549"/>
      <c r="E24" s="543"/>
      <c r="F24" s="552"/>
      <c r="G24" s="556"/>
      <c r="H24" s="537"/>
      <c r="I24" s="552" t="s">
        <v>2725</v>
      </c>
      <c r="J24" s="553"/>
      <c r="K24" s="537"/>
      <c r="L24" s="552"/>
      <c r="M24" s="556"/>
      <c r="O24" s="552"/>
      <c r="Q24" s="535"/>
      <c r="R24" s="533"/>
      <c r="S24" s="543"/>
      <c r="T24" s="530"/>
      <c r="W24" s="530"/>
      <c r="Y24" s="530"/>
      <c r="AB24" s="530"/>
      <c r="AE24" s="530"/>
    </row>
    <row r="25" spans="1:32" ht="15" customHeight="1" x14ac:dyDescent="0.2">
      <c r="B25" s="544"/>
      <c r="C25" s="554"/>
      <c r="D25" s="546" t="s">
        <v>42</v>
      </c>
      <c r="E25" s="547">
        <v>17</v>
      </c>
      <c r="F25" s="548" t="e">
        <f>IF(E25="","",VLOOKUP(E25,'Списки участников'!A:K,12,FALSE))</f>
        <v>#REF!</v>
      </c>
      <c r="G25" s="551"/>
      <c r="H25" s="537"/>
      <c r="I25" s="552"/>
      <c r="J25" s="556"/>
      <c r="K25" s="537"/>
      <c r="L25" s="552"/>
      <c r="M25" s="556"/>
      <c r="O25" s="552"/>
      <c r="Q25" s="535"/>
      <c r="R25" s="529"/>
      <c r="T25" s="530"/>
      <c r="W25" s="530"/>
      <c r="Y25" s="530"/>
      <c r="Z25" s="533"/>
      <c r="AB25" s="543"/>
      <c r="AE25" s="530"/>
    </row>
    <row r="26" spans="1:32" ht="15" customHeight="1" x14ac:dyDescent="0.2">
      <c r="A26" s="550" t="s">
        <v>17</v>
      </c>
      <c r="B26" s="539">
        <v>17</v>
      </c>
      <c r="C26" s="540" t="e">
        <f>IF(B26="","",VLOOKUP(B26,'Списки участников'!A:K,12,FALSE))</f>
        <v>#REF!</v>
      </c>
      <c r="D26" s="551"/>
      <c r="E26" s="543"/>
      <c r="F26" s="552" t="s">
        <v>2726</v>
      </c>
      <c r="H26" s="537"/>
      <c r="I26" s="552"/>
      <c r="J26" s="556"/>
      <c r="K26" s="537"/>
      <c r="L26" s="552"/>
      <c r="M26" s="556"/>
      <c r="O26" s="552"/>
      <c r="Q26" s="535"/>
      <c r="R26" s="533"/>
      <c r="S26" s="543"/>
      <c r="T26" s="530"/>
      <c r="W26" s="530"/>
      <c r="Y26" s="530"/>
      <c r="AB26" s="530"/>
      <c r="AE26" s="530"/>
    </row>
    <row r="27" spans="1:32" ht="15" customHeight="1" x14ac:dyDescent="0.2">
      <c r="B27" s="544"/>
      <c r="C27" s="554"/>
      <c r="E27" s="543"/>
      <c r="F27" s="552"/>
      <c r="H27" s="537"/>
      <c r="I27" s="552"/>
      <c r="J27" s="557" t="s">
        <v>7</v>
      </c>
      <c r="K27" s="547">
        <v>3</v>
      </c>
      <c r="L27" s="548" t="e">
        <f>IF(K27="","",VLOOKUP(K27,'Списки участников'!A:K,12,FALSE))</f>
        <v>#REF!</v>
      </c>
      <c r="M27" s="551"/>
      <c r="O27" s="552"/>
      <c r="Q27" s="535"/>
      <c r="R27" s="529"/>
      <c r="T27" s="533"/>
      <c r="V27" s="543"/>
      <c r="W27" s="530"/>
      <c r="Y27" s="530"/>
      <c r="AB27" s="530"/>
      <c r="AE27" s="530"/>
    </row>
    <row r="28" spans="1:32" ht="15" customHeight="1" x14ac:dyDescent="0.2">
      <c r="A28" s="550" t="s">
        <v>23</v>
      </c>
      <c r="B28" s="539">
        <v>14</v>
      </c>
      <c r="C28" s="540" t="e">
        <f>IF(B28="","",VLOOKUP(B28,'Списки участников'!A:K,12,FALSE))</f>
        <v>#REF!</v>
      </c>
      <c r="D28" s="549"/>
      <c r="E28" s="543"/>
      <c r="F28" s="552"/>
      <c r="H28" s="537"/>
      <c r="I28" s="552"/>
      <c r="J28" s="556"/>
      <c r="K28" s="537"/>
      <c r="L28" s="552" t="s">
        <v>2725</v>
      </c>
      <c r="M28" s="535"/>
      <c r="N28" s="535"/>
      <c r="O28" s="552"/>
      <c r="Q28" s="535"/>
      <c r="R28" s="533"/>
      <c r="S28" s="543"/>
      <c r="T28" s="530"/>
      <c r="W28" s="530"/>
      <c r="Y28" s="530"/>
      <c r="AB28" s="530"/>
      <c r="AE28" s="530"/>
    </row>
    <row r="29" spans="1:32" ht="15" customHeight="1" x14ac:dyDescent="0.2">
      <c r="B29" s="544"/>
      <c r="C29" s="554"/>
      <c r="D29" s="546" t="s">
        <v>28</v>
      </c>
      <c r="E29" s="547">
        <v>14</v>
      </c>
      <c r="F29" s="548" t="e">
        <f>IF(E29="","",VLOOKUP(E29,'Списки участников'!A:K,12,FALSE))</f>
        <v>#REF!</v>
      </c>
      <c r="G29" s="549"/>
      <c r="H29" s="537"/>
      <c r="I29" s="552"/>
      <c r="J29" s="556"/>
      <c r="K29" s="537"/>
      <c r="L29" s="552"/>
      <c r="M29" s="535"/>
      <c r="N29" s="535"/>
      <c r="O29" s="552"/>
      <c r="Q29" s="535"/>
      <c r="R29" s="529"/>
      <c r="T29" s="530"/>
      <c r="W29" s="533"/>
      <c r="Y29" s="543"/>
      <c r="AB29" s="530"/>
      <c r="AC29" s="529"/>
      <c r="AD29" s="560"/>
      <c r="AE29" s="530"/>
      <c r="AF29" s="533"/>
    </row>
    <row r="30" spans="1:32" ht="15" customHeight="1" x14ac:dyDescent="0.2">
      <c r="A30" s="550" t="s">
        <v>7</v>
      </c>
      <c r="B30" s="539">
        <v>35</v>
      </c>
      <c r="C30" s="540" t="e">
        <f>IF(B30="","",VLOOKUP(B30,'Списки участников'!A:K,12,FALSE))</f>
        <v>#REF!</v>
      </c>
      <c r="D30" s="551"/>
      <c r="E30" s="543"/>
      <c r="F30" s="552" t="s">
        <v>2725</v>
      </c>
      <c r="G30" s="553"/>
      <c r="H30" s="537"/>
      <c r="I30" s="561"/>
      <c r="J30" s="556"/>
      <c r="K30" s="537"/>
      <c r="M30" s="535"/>
      <c r="N30" s="535"/>
      <c r="O30" s="552"/>
      <c r="Q30" s="535"/>
      <c r="R30" s="533"/>
      <c r="S30" s="543"/>
      <c r="T30" s="530"/>
      <c r="W30" s="530"/>
      <c r="Y30" s="530"/>
      <c r="AB30" s="530"/>
      <c r="AE30" s="530"/>
    </row>
    <row r="31" spans="1:32" ht="15" customHeight="1" x14ac:dyDescent="0.2">
      <c r="B31" s="544"/>
      <c r="C31" s="554"/>
      <c r="E31" s="543"/>
      <c r="F31" s="552"/>
      <c r="G31" s="557" t="s">
        <v>17</v>
      </c>
      <c r="H31" s="547">
        <v>3</v>
      </c>
      <c r="I31" s="548" t="e">
        <f>IF(H31="","",VLOOKUP(H31,'Списки участников'!A:K,12,FALSE))</f>
        <v>#REF!</v>
      </c>
      <c r="J31" s="551"/>
      <c r="K31" s="537"/>
      <c r="M31" s="536" t="s">
        <v>901</v>
      </c>
      <c r="N31" s="562">
        <f>IF(N19="","",IF(N19=K11,K27,IF(N19=K27,K11,"Ошибка")))</f>
        <v>19</v>
      </c>
      <c r="O31" s="563" t="e">
        <f>IF(N31="","",VLOOKUP(N31,'Списки участников'!A:K,12,FALSE))</f>
        <v>#REF!</v>
      </c>
      <c r="P31" s="549"/>
      <c r="Q31" s="885" t="str">
        <f>CONCATENATE(J3+1," ","м")</f>
        <v>18 м</v>
      </c>
      <c r="R31" s="529"/>
      <c r="T31" s="533"/>
      <c r="V31" s="543"/>
      <c r="W31" s="530"/>
      <c r="Y31" s="530"/>
      <c r="AA31" s="533"/>
      <c r="AB31" s="564"/>
      <c r="AE31" s="530"/>
    </row>
    <row r="32" spans="1:32" ht="15" customHeight="1" x14ac:dyDescent="0.2">
      <c r="A32" s="550" t="s">
        <v>12</v>
      </c>
      <c r="B32" s="539">
        <v>101</v>
      </c>
      <c r="C32" s="540" t="e">
        <f>IF(B32="","",VLOOKUP(B32,'Списки участников'!A:K,12,FALSE))</f>
        <v>#N/A</v>
      </c>
      <c r="D32" s="549"/>
      <c r="E32" s="543"/>
      <c r="F32" s="552"/>
      <c r="G32" s="556"/>
      <c r="H32" s="537"/>
      <c r="I32" s="552" t="s">
        <v>2725</v>
      </c>
      <c r="K32" s="530"/>
      <c r="L32" s="552"/>
      <c r="M32" s="535"/>
      <c r="N32" s="535"/>
      <c r="O32" s="552"/>
      <c r="Q32" s="535"/>
      <c r="R32" s="533"/>
      <c r="S32" s="543"/>
      <c r="T32" s="530"/>
      <c r="W32" s="530"/>
      <c r="Y32" s="530"/>
      <c r="AB32" s="530"/>
      <c r="AC32" s="533"/>
      <c r="AD32" s="564"/>
      <c r="AE32" s="530"/>
      <c r="AF32" s="533"/>
    </row>
    <row r="33" spans="1:32" ht="15" customHeight="1" x14ac:dyDescent="0.2">
      <c r="B33" s="544"/>
      <c r="C33" s="554"/>
      <c r="D33" s="546" t="s">
        <v>22</v>
      </c>
      <c r="E33" s="547">
        <v>3</v>
      </c>
      <c r="F33" s="548" t="e">
        <f>IF(E33="","",VLOOKUP(E33,'Списки участников'!A:K,12,FALSE))</f>
        <v>#REF!</v>
      </c>
      <c r="G33" s="551"/>
      <c r="H33" s="537"/>
      <c r="I33" s="552"/>
      <c r="J33" s="549" t="s">
        <v>897</v>
      </c>
      <c r="K33" s="565">
        <f>IF(K11="","",IF(K11=H7,H15,IF(K11=H15,H7,"Ошибка")))</f>
        <v>34</v>
      </c>
      <c r="L33" s="563" t="e">
        <f>IF(K33="","",VLOOKUP(K33,'Списки участников'!A:K,12,FALSE))</f>
        <v>#REF!</v>
      </c>
      <c r="M33" s="549"/>
      <c r="O33" s="552"/>
      <c r="Q33" s="535"/>
      <c r="R33" s="529"/>
      <c r="T33" s="530"/>
      <c r="W33" s="530"/>
      <c r="Y33" s="530"/>
      <c r="AA33" s="533"/>
      <c r="AB33" s="564"/>
      <c r="AE33" s="530"/>
    </row>
    <row r="34" spans="1:32" ht="15" customHeight="1" x14ac:dyDescent="0.2">
      <c r="A34" s="550" t="s">
        <v>29</v>
      </c>
      <c r="B34" s="539">
        <v>3</v>
      </c>
      <c r="C34" s="540" t="e">
        <f>IF(B34="","",VLOOKUP(B34,'Списки участников'!A:K,12,FALSE))</f>
        <v>#REF!</v>
      </c>
      <c r="D34" s="551"/>
      <c r="E34" s="537"/>
      <c r="F34" s="552"/>
      <c r="I34" s="530"/>
      <c r="K34" s="530"/>
      <c r="L34" s="552"/>
      <c r="M34" s="546" t="s">
        <v>29</v>
      </c>
      <c r="N34" s="559">
        <v>33</v>
      </c>
      <c r="O34" s="563" t="e">
        <f>IF(N34="","",VLOOKUP(N34,'Списки участников'!A:K,12,FALSE))</f>
        <v>#REF!</v>
      </c>
      <c r="P34" s="549"/>
      <c r="Q34" s="885" t="str">
        <f>CONCATENATE(J3+2," ","м")</f>
        <v>19 м</v>
      </c>
      <c r="R34" s="529"/>
      <c r="T34" s="530"/>
      <c r="W34" s="530"/>
      <c r="X34" s="533"/>
      <c r="Y34" s="564"/>
      <c r="AB34" s="530"/>
      <c r="AC34" s="529"/>
      <c r="AD34" s="564"/>
      <c r="AE34" s="530"/>
      <c r="AF34" s="533"/>
    </row>
    <row r="35" spans="1:32" ht="15" customHeight="1" x14ac:dyDescent="0.2">
      <c r="E35" s="530"/>
      <c r="I35" s="530"/>
      <c r="J35" s="549" t="s">
        <v>900</v>
      </c>
      <c r="K35" s="565">
        <f>IF(K27="","",IF(K27=H23,H31,IF(K27=H31,H23,"Ошибка")))</f>
        <v>33</v>
      </c>
      <c r="L35" s="563" t="e">
        <f>IF(K35="","",VLOOKUP(K35,'Списки участников'!A:K,12,FALSE))</f>
        <v>#REF!</v>
      </c>
      <c r="M35" s="551"/>
      <c r="O35" s="552" t="s">
        <v>2726</v>
      </c>
      <c r="Q35" s="964"/>
      <c r="R35" s="529"/>
      <c r="T35" s="530"/>
      <c r="W35" s="530"/>
      <c r="Y35" s="530"/>
      <c r="Z35" s="533"/>
      <c r="AB35" s="543"/>
      <c r="AE35" s="530"/>
    </row>
    <row r="36" spans="1:32" ht="15" customHeight="1" x14ac:dyDescent="0.2">
      <c r="E36" s="530"/>
      <c r="G36" s="549" t="s">
        <v>892</v>
      </c>
      <c r="H36" s="566">
        <f>IF(H7="","",IF(H7=E5,E9,IF(H7=E9,E5,"Ошибка")))</f>
        <v>7</v>
      </c>
      <c r="I36" s="563" t="e">
        <f>IF(H36="","",VLOOKUP(H36,'Списки участников'!A:K,12,FALSE))</f>
        <v>#REF!</v>
      </c>
      <c r="J36" s="549"/>
      <c r="K36" s="530"/>
      <c r="L36" s="552"/>
      <c r="M36" s="536" t="s">
        <v>904</v>
      </c>
      <c r="N36" s="562">
        <f>IF(N34="","",IF(N34=K33,K35,IF(N34=K35,K33,"Ошибка")))</f>
        <v>34</v>
      </c>
      <c r="O36" s="563" t="e">
        <f>IF(N36="","",VLOOKUP(N36,'Списки участников'!A:K,12,FALSE))</f>
        <v>#REF!</v>
      </c>
      <c r="P36" s="549"/>
      <c r="Q36" s="885" t="str">
        <f>CONCATENATE(J3+3," ","м")</f>
        <v>20 м</v>
      </c>
      <c r="R36" s="529"/>
      <c r="T36" s="530"/>
      <c r="W36" s="530"/>
      <c r="X36" s="533"/>
      <c r="Y36" s="564"/>
      <c r="AB36" s="530"/>
      <c r="AE36" s="530"/>
    </row>
    <row r="37" spans="1:32" ht="15" customHeight="1" x14ac:dyDescent="0.2">
      <c r="E37" s="530"/>
      <c r="I37" s="552"/>
      <c r="J37" s="546" t="s">
        <v>13</v>
      </c>
      <c r="K37" s="567">
        <v>15</v>
      </c>
      <c r="L37" s="563" t="e">
        <f>IF(K37="","",VLOOKUP(K37,'Списки участников'!A:K,12,FALSE))</f>
        <v>#REF!</v>
      </c>
      <c r="M37" s="549"/>
      <c r="O37" s="552"/>
      <c r="Q37" s="964"/>
      <c r="R37" s="529"/>
      <c r="T37" s="530"/>
      <c r="W37" s="530"/>
      <c r="Y37" s="530"/>
      <c r="AB37" s="530"/>
      <c r="AC37" s="533"/>
      <c r="AD37" s="543"/>
      <c r="AE37" s="530"/>
      <c r="AF37" s="533"/>
    </row>
    <row r="38" spans="1:32" ht="15" customHeight="1" x14ac:dyDescent="0.2">
      <c r="E38" s="530"/>
      <c r="G38" s="549" t="s">
        <v>893</v>
      </c>
      <c r="H38" s="566">
        <f>IF(H15="","",IF(H15=E13,E17,IF(H15=E17,E13,"Ошибка")))</f>
        <v>15</v>
      </c>
      <c r="I38" s="563" t="e">
        <f>IF(H38="","",VLOOKUP(H38,'Списки участников'!A:K,12,FALSE))</f>
        <v>#REF!</v>
      </c>
      <c r="J38" s="551"/>
      <c r="K38" s="530"/>
      <c r="L38" s="552" t="s">
        <v>2726</v>
      </c>
      <c r="M38" s="553"/>
      <c r="O38" s="552"/>
      <c r="Q38" s="964"/>
      <c r="R38" s="529"/>
      <c r="T38" s="530"/>
      <c r="W38" s="530"/>
      <c r="X38" s="533"/>
      <c r="Y38" s="564"/>
      <c r="AB38" s="530"/>
      <c r="AE38" s="530"/>
    </row>
    <row r="39" spans="1:32" ht="15" customHeight="1" x14ac:dyDescent="0.2">
      <c r="E39" s="530"/>
      <c r="I39" s="552"/>
      <c r="K39" s="530"/>
      <c r="L39" s="552"/>
      <c r="M39" s="557" t="s">
        <v>31</v>
      </c>
      <c r="N39" s="568">
        <v>15</v>
      </c>
      <c r="O39" s="563" t="e">
        <f>IF(N39="","",VLOOKUP(N39,'Списки участников'!A:K,12,FALSE))</f>
        <v>#REF!</v>
      </c>
      <c r="P39" s="549"/>
      <c r="Q39" s="885" t="str">
        <f>CONCATENATE(J3+4," ","м")</f>
        <v>21 м</v>
      </c>
      <c r="R39" s="529"/>
      <c r="T39" s="530"/>
      <c r="W39" s="530"/>
      <c r="Y39" s="530"/>
      <c r="Z39" s="533"/>
      <c r="AB39" s="543"/>
      <c r="AE39" s="530"/>
    </row>
    <row r="40" spans="1:32" ht="15" customHeight="1" x14ac:dyDescent="0.2">
      <c r="E40" s="530"/>
      <c r="G40" s="549" t="s">
        <v>2</v>
      </c>
      <c r="H40" s="565">
        <f>IF(H23="","",IF(H23=E21,E25,IF(H23=E25,E21,"Ошибка")))</f>
        <v>17</v>
      </c>
      <c r="I40" s="563" t="e">
        <f>IF(H40="","",VLOOKUP(H40,'Списки участников'!A:K,12,FALSE))</f>
        <v>#REF!</v>
      </c>
      <c r="J40" s="549"/>
      <c r="K40" s="530"/>
      <c r="L40" s="552"/>
      <c r="M40" s="556"/>
      <c r="O40" s="552" t="s">
        <v>2725</v>
      </c>
      <c r="Q40" s="964"/>
      <c r="R40" s="529"/>
      <c r="T40" s="530"/>
      <c r="W40" s="530"/>
      <c r="X40" s="533"/>
      <c r="Y40" s="564"/>
      <c r="AB40" s="530"/>
      <c r="AC40" s="529"/>
      <c r="AD40" s="560"/>
      <c r="AE40" s="530"/>
      <c r="AF40" s="533"/>
    </row>
    <row r="41" spans="1:32" ht="15" customHeight="1" x14ac:dyDescent="0.2">
      <c r="E41" s="530"/>
      <c r="I41" s="552"/>
      <c r="J41" s="546" t="s">
        <v>32</v>
      </c>
      <c r="K41" s="567">
        <v>17</v>
      </c>
      <c r="L41" s="563" t="e">
        <f>IF(K41="","",VLOOKUP(K41,'Списки участников'!A:K,12,FALSE))</f>
        <v>#REF!</v>
      </c>
      <c r="M41" s="551"/>
      <c r="O41" s="552"/>
      <c r="Q41" s="964"/>
      <c r="R41" s="529"/>
      <c r="T41" s="530"/>
      <c r="W41" s="530"/>
      <c r="Y41" s="530"/>
      <c r="AA41" s="533"/>
      <c r="AB41" s="564"/>
      <c r="AE41" s="530"/>
    </row>
    <row r="42" spans="1:32" ht="15" customHeight="1" x14ac:dyDescent="0.2">
      <c r="E42" s="530"/>
      <c r="G42" s="549" t="s">
        <v>895</v>
      </c>
      <c r="H42" s="565">
        <f>IF(H31="","",IF(H31=E29,E33,IF(H31=E33,E29,"Ошибка")))</f>
        <v>14</v>
      </c>
      <c r="I42" s="563" t="e">
        <f>IF(H42="","",VLOOKUP(H42,'Списки участников'!A:K,12,FALSE))</f>
        <v>#REF!</v>
      </c>
      <c r="J42" s="551"/>
      <c r="K42" s="530"/>
      <c r="L42" s="552" t="s">
        <v>2726</v>
      </c>
      <c r="M42" s="536" t="s">
        <v>70</v>
      </c>
      <c r="N42" s="569">
        <f>IF(N39="","",IF(N39=K37,K41,IF(N39=K41,K37,"Ошибка")))</f>
        <v>17</v>
      </c>
      <c r="O42" s="563" t="e">
        <f>IF(N42="","",VLOOKUP(N42,'Списки участников'!A:K,12,FALSE))</f>
        <v>#REF!</v>
      </c>
      <c r="P42" s="549"/>
      <c r="Q42" s="885" t="str">
        <f>CONCATENATE(J3+5," ","м")</f>
        <v>22 м</v>
      </c>
      <c r="R42" s="529"/>
      <c r="T42" s="530"/>
      <c r="W42" s="530"/>
      <c r="Y42" s="530"/>
      <c r="AB42" s="530"/>
      <c r="AC42" s="533"/>
      <c r="AD42" s="564"/>
      <c r="AE42" s="530"/>
      <c r="AF42" s="533"/>
    </row>
    <row r="43" spans="1:32" ht="15" customHeight="1" x14ac:dyDescent="0.2">
      <c r="E43" s="530"/>
      <c r="I43" s="552"/>
      <c r="J43" s="570" t="s">
        <v>882</v>
      </c>
      <c r="K43" s="565">
        <f>IF(K37="","",IF(K37=H38,H36,IF(K37=H36,H38,"Ошибка")))</f>
        <v>7</v>
      </c>
      <c r="L43" s="563" t="e">
        <f>IF(K43="","",VLOOKUP(K43,'Списки участников'!A:K,12,FALSE))</f>
        <v>#REF!</v>
      </c>
      <c r="M43" s="549"/>
      <c r="O43" s="552"/>
      <c r="Q43" s="964"/>
      <c r="R43" s="529"/>
      <c r="T43" s="530"/>
      <c r="W43" s="530"/>
      <c r="Y43" s="530"/>
      <c r="AA43" s="533"/>
      <c r="AB43" s="564"/>
      <c r="AE43" s="530"/>
    </row>
    <row r="44" spans="1:32" ht="15" customHeight="1" x14ac:dyDescent="0.2">
      <c r="E44" s="530"/>
      <c r="I44" s="552"/>
      <c r="K44" s="530"/>
      <c r="L44" s="552"/>
      <c r="M44" s="546" t="s">
        <v>34</v>
      </c>
      <c r="N44" s="568">
        <v>7</v>
      </c>
      <c r="O44" s="563" t="e">
        <f>IF(N44="","",VLOOKUP(N44,'Списки участников'!A:K,12,FALSE))</f>
        <v>#REF!</v>
      </c>
      <c r="P44" s="549"/>
      <c r="Q44" s="885" t="str">
        <f>CONCATENATE(J3+6," ","м")</f>
        <v>23 м</v>
      </c>
      <c r="R44" s="529"/>
      <c r="T44" s="530"/>
      <c r="U44" s="533"/>
      <c r="V44" s="564"/>
      <c r="W44" s="530"/>
      <c r="Y44" s="530"/>
      <c r="AB44" s="530"/>
      <c r="AC44" s="529"/>
      <c r="AD44" s="560"/>
      <c r="AE44" s="530"/>
      <c r="AF44" s="533"/>
    </row>
    <row r="45" spans="1:32" ht="15" customHeight="1" x14ac:dyDescent="0.2">
      <c r="E45" s="530"/>
      <c r="I45" s="552"/>
      <c r="J45" s="535" t="s">
        <v>885</v>
      </c>
      <c r="K45" s="565">
        <f>IF(K41="","",IF(K41=H40,H42,IF(K41=H42,H40,"Ошибка")))</f>
        <v>14</v>
      </c>
      <c r="L45" s="563" t="e">
        <f>IF(K45="","",VLOOKUP(K45,'Списки участников'!A:K,12,FALSE))</f>
        <v>#REF!</v>
      </c>
      <c r="M45" s="551"/>
      <c r="O45" s="552" t="s">
        <v>2725</v>
      </c>
      <c r="Q45" s="964"/>
      <c r="R45" s="529"/>
      <c r="T45" s="530"/>
      <c r="W45" s="533"/>
      <c r="Y45" s="543"/>
      <c r="AB45" s="530"/>
      <c r="AE45" s="530"/>
    </row>
    <row r="46" spans="1:32" ht="15" customHeight="1" x14ac:dyDescent="0.2">
      <c r="D46" s="549" t="s">
        <v>881</v>
      </c>
      <c r="E46" s="565">
        <f>IF(E5="","",IF(E5=B4,B6,IF(E5=B6,B4,"Ошибка")))</f>
        <v>101</v>
      </c>
      <c r="F46" s="563" t="e">
        <f>IF(E46="","",VLOOKUP(E46,'Списки участников'!A:K,12,FALSE))</f>
        <v>#N/A</v>
      </c>
      <c r="G46" s="549"/>
      <c r="I46" s="552"/>
      <c r="K46" s="530"/>
      <c r="L46" s="552"/>
      <c r="M46" s="536" t="s">
        <v>888</v>
      </c>
      <c r="N46" s="569">
        <f>IF(N44="","",IF(N44=K43,K45,IF(N44=K45,K43,"Ошибка")))</f>
        <v>14</v>
      </c>
      <c r="O46" s="563" t="e">
        <f>IF(N46="","",VLOOKUP(N46,'Списки участников'!A:K,12,FALSE))</f>
        <v>#REF!</v>
      </c>
      <c r="P46" s="549"/>
      <c r="Q46" s="885" t="str">
        <f>CONCATENATE(J3+7," ","м")</f>
        <v>24 м</v>
      </c>
      <c r="R46" s="529"/>
      <c r="T46" s="530"/>
      <c r="U46" s="533"/>
      <c r="V46" s="564"/>
      <c r="W46" s="530"/>
      <c r="Y46" s="530"/>
      <c r="AB46" s="530"/>
      <c r="AE46" s="530"/>
    </row>
    <row r="47" spans="1:32" ht="15" customHeight="1" x14ac:dyDescent="0.2">
      <c r="E47" s="530"/>
      <c r="F47" s="552"/>
      <c r="G47" s="546" t="s">
        <v>8</v>
      </c>
      <c r="H47" s="567">
        <v>101</v>
      </c>
      <c r="I47" s="563" t="e">
        <f>IF(H47="","",VLOOKUP(H47,'Списки участников'!A:K,12,FALSE))</f>
        <v>#N/A</v>
      </c>
      <c r="J47" s="549"/>
      <c r="K47" s="530"/>
      <c r="L47" s="552"/>
      <c r="M47" s="535"/>
      <c r="N47" s="535"/>
      <c r="O47" s="552"/>
      <c r="Q47" s="964"/>
      <c r="R47" s="529"/>
      <c r="T47" s="530"/>
      <c r="W47" s="530"/>
      <c r="Y47" s="530"/>
      <c r="Z47" s="533"/>
      <c r="AB47" s="543"/>
      <c r="AE47" s="530"/>
    </row>
    <row r="48" spans="1:32" ht="15" customHeight="1" x14ac:dyDescent="0.2">
      <c r="D48" s="549" t="s">
        <v>883</v>
      </c>
      <c r="E48" s="565">
        <f>IF(E9="","",IF(E9=B10,B8,IF(E9=B8,B10,"Ошибка")))</f>
        <v>101</v>
      </c>
      <c r="F48" s="563" t="e">
        <f>IF(E48="","",VLOOKUP(E48,'Списки участников'!A:K,12,FALSE))</f>
        <v>#N/A</v>
      </c>
      <c r="G48" s="551"/>
      <c r="H48" s="965"/>
      <c r="I48" s="552"/>
      <c r="J48" s="553"/>
      <c r="K48" s="530"/>
      <c r="L48" s="552"/>
      <c r="M48" s="535"/>
      <c r="N48" s="535"/>
      <c r="O48" s="552"/>
      <c r="Q48" s="964"/>
      <c r="R48" s="529"/>
      <c r="T48" s="530"/>
      <c r="U48" s="533"/>
      <c r="V48" s="564"/>
      <c r="W48" s="530"/>
      <c r="Y48" s="530"/>
      <c r="AB48" s="530"/>
      <c r="AE48" s="530"/>
    </row>
    <row r="49" spans="4:32" ht="15" customHeight="1" x14ac:dyDescent="0.2">
      <c r="E49" s="530"/>
      <c r="F49" s="552"/>
      <c r="H49" s="965"/>
      <c r="I49" s="552"/>
      <c r="J49" s="557" t="s">
        <v>36</v>
      </c>
      <c r="K49" s="567">
        <v>21</v>
      </c>
      <c r="L49" s="563" t="e">
        <f>IF(K49="","",VLOOKUP(K49,'Списки участников'!A:K,12,FALSE))</f>
        <v>#REF!</v>
      </c>
      <c r="M49" s="549"/>
      <c r="O49" s="552"/>
      <c r="Q49" s="964"/>
      <c r="R49" s="529"/>
      <c r="T49" s="530"/>
      <c r="W49" s="533"/>
      <c r="Y49" s="543"/>
      <c r="AB49" s="530"/>
      <c r="AE49" s="530"/>
    </row>
    <row r="50" spans="4:32" ht="15" customHeight="1" x14ac:dyDescent="0.2">
      <c r="D50" s="549" t="s">
        <v>884</v>
      </c>
      <c r="E50" s="565">
        <f>IF(E13="","",IF(E13=B12,B14,IF(E13=B14,B12,"Ошибка")))</f>
        <v>21</v>
      </c>
      <c r="F50" s="563" t="e">
        <f>IF(E50="","",VLOOKUP(E50,'Списки участников'!A:K,12,FALSE))</f>
        <v>#REF!</v>
      </c>
      <c r="G50" s="549"/>
      <c r="H50" s="965"/>
      <c r="I50" s="552"/>
      <c r="J50" s="556"/>
      <c r="K50" s="965"/>
      <c r="L50" s="552" t="s">
        <v>2725</v>
      </c>
      <c r="M50" s="553"/>
      <c r="O50" s="552"/>
      <c r="Q50" s="964"/>
      <c r="R50" s="529"/>
      <c r="T50" s="530"/>
      <c r="U50" s="533"/>
      <c r="V50" s="564"/>
      <c r="W50" s="530"/>
      <c r="Y50" s="530"/>
      <c r="AB50" s="530"/>
      <c r="AE50" s="530"/>
    </row>
    <row r="51" spans="4:32" ht="15" customHeight="1" x14ac:dyDescent="0.2">
      <c r="E51" s="530"/>
      <c r="F51" s="552"/>
      <c r="G51" s="546" t="s">
        <v>14</v>
      </c>
      <c r="H51" s="567">
        <v>21</v>
      </c>
      <c r="I51" s="563" t="e">
        <f>IF(H51="","",VLOOKUP(H51,'Списки участников'!A:K,12,FALSE))</f>
        <v>#REF!</v>
      </c>
      <c r="J51" s="551"/>
      <c r="K51" s="965"/>
      <c r="L51" s="552"/>
      <c r="M51" s="556"/>
      <c r="O51" s="552"/>
      <c r="Q51" s="964"/>
      <c r="R51" s="529"/>
      <c r="T51" s="530"/>
      <c r="W51" s="530"/>
      <c r="Y51" s="530"/>
      <c r="AB51" s="530"/>
      <c r="AC51" s="533"/>
      <c r="AD51" s="543"/>
      <c r="AE51" s="530"/>
      <c r="AF51" s="533"/>
    </row>
    <row r="52" spans="4:32" ht="15" customHeight="1" x14ac:dyDescent="0.2">
      <c r="D52" s="549" t="s">
        <v>886</v>
      </c>
      <c r="E52" s="565">
        <f>IF(E17="","",IF(E17=B18,B16,IF(E17=B16,B18,"Ошибка")))</f>
        <v>101</v>
      </c>
      <c r="F52" s="563" t="e">
        <f>IF(E52="","",VLOOKUP(E52,'Списки участников'!A:K,12,FALSE))</f>
        <v>#N/A</v>
      </c>
      <c r="G52" s="551"/>
      <c r="H52" s="965"/>
      <c r="I52" s="552"/>
      <c r="K52" s="965"/>
      <c r="L52" s="552"/>
      <c r="M52" s="556"/>
      <c r="O52" s="552"/>
      <c r="Q52" s="964"/>
      <c r="R52" s="529"/>
      <c r="T52" s="530"/>
      <c r="U52" s="533"/>
      <c r="V52" s="564"/>
      <c r="W52" s="530"/>
      <c r="Y52" s="530"/>
      <c r="AB52" s="530"/>
      <c r="AE52" s="530"/>
    </row>
    <row r="53" spans="4:32" ht="15" customHeight="1" x14ac:dyDescent="0.2">
      <c r="E53" s="530"/>
      <c r="F53" s="552"/>
      <c r="H53" s="965"/>
      <c r="I53" s="552"/>
      <c r="K53" s="965"/>
      <c r="L53" s="552"/>
      <c r="M53" s="557" t="s">
        <v>40</v>
      </c>
      <c r="N53" s="568">
        <v>21</v>
      </c>
      <c r="O53" s="563" t="e">
        <f>IF(N53="","",VLOOKUP(N53,'Списки участников'!A:K,12,FALSE))</f>
        <v>#REF!</v>
      </c>
      <c r="P53" s="549"/>
      <c r="Q53" s="885" t="str">
        <f>CONCATENATE(J3+8," ","м")</f>
        <v>25 м</v>
      </c>
      <c r="R53" s="529"/>
      <c r="T53" s="530"/>
      <c r="W53" s="533"/>
      <c r="Y53" s="543"/>
      <c r="AB53" s="530"/>
      <c r="AE53" s="530"/>
    </row>
    <row r="54" spans="4:32" ht="15" customHeight="1" x14ac:dyDescent="0.2">
      <c r="D54" s="549" t="s">
        <v>887</v>
      </c>
      <c r="E54" s="565">
        <f>IF(E21="","",IF(E21=B20,B22,IF(E21=B22,B20,"Ошибка")))</f>
        <v>101</v>
      </c>
      <c r="F54" s="563" t="e">
        <f>IF(E54="","",VLOOKUP(E54,'Списки участников'!A:K,12,FALSE))</f>
        <v>#N/A</v>
      </c>
      <c r="G54" s="549"/>
      <c r="H54" s="965"/>
      <c r="I54" s="552"/>
      <c r="K54" s="965"/>
      <c r="L54" s="552"/>
      <c r="M54" s="556"/>
      <c r="O54" s="552" t="s">
        <v>2725</v>
      </c>
      <c r="Q54" s="964"/>
      <c r="R54" s="529"/>
      <c r="T54" s="530"/>
      <c r="U54" s="533"/>
      <c r="V54" s="564"/>
      <c r="W54" s="530"/>
      <c r="Y54" s="530"/>
      <c r="AB54" s="530"/>
      <c r="AE54" s="530"/>
    </row>
    <row r="55" spans="4:32" ht="15" customHeight="1" x14ac:dyDescent="0.2">
      <c r="E55" s="530"/>
      <c r="F55" s="552"/>
      <c r="G55" s="546" t="s">
        <v>43</v>
      </c>
      <c r="H55" s="567">
        <v>5</v>
      </c>
      <c r="I55" s="563" t="e">
        <f>IF(H55="","",VLOOKUP(H55,'Списки участников'!A:K,12,FALSE))</f>
        <v>#REF!</v>
      </c>
      <c r="J55" s="549"/>
      <c r="K55" s="965"/>
      <c r="L55" s="552"/>
      <c r="M55" s="556"/>
      <c r="O55" s="552"/>
      <c r="Q55" s="964"/>
      <c r="R55" s="529"/>
      <c r="T55" s="530"/>
      <c r="W55" s="530"/>
      <c r="Y55" s="530"/>
      <c r="Z55" s="533"/>
      <c r="AB55" s="543"/>
      <c r="AE55" s="530"/>
    </row>
    <row r="56" spans="4:32" ht="15" customHeight="1" x14ac:dyDescent="0.2">
      <c r="D56" s="549" t="s">
        <v>889</v>
      </c>
      <c r="E56" s="565">
        <f>IF(E25="","",IF(E25=B26,B24,IF(E25=B24,B26,"Ошибка")))</f>
        <v>5</v>
      </c>
      <c r="F56" s="563" t="e">
        <f>IF(E56="","",VLOOKUP(E56,'Списки участников'!A:K,12,FALSE))</f>
        <v>#REF!</v>
      </c>
      <c r="G56" s="551"/>
      <c r="H56" s="965"/>
      <c r="I56" s="552"/>
      <c r="J56" s="553"/>
      <c r="K56" s="965"/>
      <c r="L56" s="552"/>
      <c r="M56" s="556"/>
      <c r="O56" s="552"/>
      <c r="Q56" s="964"/>
      <c r="R56" s="529"/>
      <c r="T56" s="530"/>
      <c r="U56" s="533"/>
      <c r="V56" s="564"/>
      <c r="W56" s="530"/>
      <c r="Y56" s="530"/>
      <c r="AB56" s="530"/>
      <c r="AC56" s="529"/>
      <c r="AD56" s="560"/>
      <c r="AE56" s="530"/>
      <c r="AF56" s="533"/>
    </row>
    <row r="57" spans="4:32" ht="15" customHeight="1" x14ac:dyDescent="0.2">
      <c r="E57" s="965"/>
      <c r="F57" s="552"/>
      <c r="H57" s="965"/>
      <c r="I57" s="552"/>
      <c r="J57" s="557" t="s">
        <v>27</v>
      </c>
      <c r="K57" s="567">
        <v>5</v>
      </c>
      <c r="L57" s="563" t="e">
        <f>IF(K57="","",VLOOKUP(K57,'Списки участников'!A:K,12,FALSE))</f>
        <v>#REF!</v>
      </c>
      <c r="M57" s="551"/>
      <c r="O57" s="552"/>
      <c r="Q57" s="964"/>
      <c r="R57" s="529"/>
      <c r="T57" s="530"/>
      <c r="W57" s="533"/>
      <c r="Y57" s="543"/>
      <c r="AB57" s="530"/>
      <c r="AE57" s="530"/>
    </row>
    <row r="58" spans="4:32" ht="15" customHeight="1" x14ac:dyDescent="0.2">
      <c r="D58" s="549" t="s">
        <v>890</v>
      </c>
      <c r="E58" s="565">
        <f>IF(E29="","",IF(E29=B28,B30,IF(E29=B30,B28,"Ошибка")))</f>
        <v>35</v>
      </c>
      <c r="F58" s="563" t="e">
        <f>IF(E58="","",VLOOKUP(E58,'Списки участников'!A:K,12,FALSE))</f>
        <v>#REF!</v>
      </c>
      <c r="G58" s="549"/>
      <c r="H58" s="965"/>
      <c r="I58" s="552"/>
      <c r="J58" s="556"/>
      <c r="K58" s="530"/>
      <c r="L58" s="552" t="s">
        <v>2726</v>
      </c>
      <c r="M58" s="536" t="s">
        <v>919</v>
      </c>
      <c r="N58" s="569">
        <f>IF(N53="","",IF(N53=K49,K57,IF(N53=K57,K49,"Ошибка")))</f>
        <v>5</v>
      </c>
      <c r="O58" s="563" t="e">
        <f>IF(N58="","",VLOOKUP(N58,'Списки участников'!A:K,12,FALSE))</f>
        <v>#REF!</v>
      </c>
      <c r="P58" s="549"/>
      <c r="Q58" s="885" t="str">
        <f>CONCATENATE(J3+9," ","м")</f>
        <v>26 м</v>
      </c>
      <c r="R58" s="529"/>
      <c r="T58" s="530"/>
      <c r="U58" s="533"/>
      <c r="V58" s="564"/>
      <c r="W58" s="530"/>
      <c r="Y58" s="530"/>
      <c r="AA58" s="533"/>
      <c r="AB58" s="564"/>
      <c r="AE58" s="530"/>
    </row>
    <row r="59" spans="4:32" ht="15" customHeight="1" x14ac:dyDescent="0.2">
      <c r="E59" s="965"/>
      <c r="F59" s="552"/>
      <c r="G59" s="546" t="s">
        <v>19</v>
      </c>
      <c r="H59" s="572">
        <v>35</v>
      </c>
      <c r="I59" s="563" t="e">
        <f>IF(H59="","",VLOOKUP(H59,'Списки участников'!A:K,12,FALSE))</f>
        <v>#REF!</v>
      </c>
      <c r="J59" s="551"/>
      <c r="K59" s="530"/>
      <c r="L59" s="552"/>
      <c r="M59" s="535"/>
      <c r="N59" s="535"/>
      <c r="O59" s="552"/>
      <c r="Q59" s="964"/>
      <c r="R59" s="529"/>
      <c r="T59" s="530"/>
      <c r="W59" s="530"/>
      <c r="Y59" s="530"/>
      <c r="AB59" s="530"/>
      <c r="AC59" s="533"/>
      <c r="AD59" s="543"/>
      <c r="AE59" s="530"/>
      <c r="AF59" s="533"/>
    </row>
    <row r="60" spans="4:32" ht="15" customHeight="1" x14ac:dyDescent="0.2">
      <c r="D60" s="549" t="s">
        <v>891</v>
      </c>
      <c r="E60" s="565">
        <f>IF(E33="","",IF(E33=B34,B32,IF(E33=B32,B34,"Ошибка")))</f>
        <v>101</v>
      </c>
      <c r="F60" s="563" t="e">
        <f>IF(E60="","",VLOOKUP(E60,'Списки участников'!A:K,12,FALSE))</f>
        <v>#N/A</v>
      </c>
      <c r="G60" s="551"/>
      <c r="I60" s="552"/>
      <c r="J60" s="570" t="s">
        <v>914</v>
      </c>
      <c r="K60" s="565">
        <f>IF(K49="","",IF(K49=H47,H51,IF(K49=H51,H47,"Ошибка")))</f>
        <v>101</v>
      </c>
      <c r="L60" s="563" t="e">
        <f>IF(K60="","",VLOOKUP(K60,'Списки участников'!A:K,12,FALSE))</f>
        <v>#N/A</v>
      </c>
      <c r="M60" s="549"/>
      <c r="O60" s="552"/>
      <c r="Q60" s="964"/>
      <c r="R60" s="529"/>
      <c r="T60" s="530"/>
      <c r="W60" s="530"/>
      <c r="Y60" s="530"/>
      <c r="AA60" s="533"/>
      <c r="AB60" s="564"/>
      <c r="AE60" s="530"/>
    </row>
    <row r="61" spans="4:32" ht="15" customHeight="1" x14ac:dyDescent="0.2">
      <c r="E61" s="530"/>
      <c r="F61" s="552"/>
      <c r="I61" s="552"/>
      <c r="K61" s="530"/>
      <c r="L61" s="552"/>
      <c r="M61" s="557" t="s">
        <v>9</v>
      </c>
      <c r="N61" s="568">
        <v>35</v>
      </c>
      <c r="O61" s="563" t="e">
        <f>IF(N61="","",VLOOKUP(N61,'Списки участников'!A:K,12,FALSE))</f>
        <v>#REF!</v>
      </c>
      <c r="P61" s="549"/>
      <c r="Q61" s="885" t="str">
        <f>CONCATENATE(J3+10," ","м")</f>
        <v>27 м</v>
      </c>
      <c r="R61" s="529"/>
      <c r="T61" s="530"/>
      <c r="W61" s="530"/>
      <c r="X61" s="533"/>
      <c r="Y61" s="564"/>
      <c r="AB61" s="530"/>
      <c r="AC61" s="529"/>
      <c r="AD61" s="560"/>
      <c r="AE61" s="530"/>
      <c r="AF61" s="533"/>
    </row>
    <row r="62" spans="4:32" ht="15" customHeight="1" x14ac:dyDescent="0.2">
      <c r="E62" s="530"/>
      <c r="F62" s="552"/>
      <c r="I62" s="552"/>
      <c r="J62" s="549" t="s">
        <v>918</v>
      </c>
      <c r="K62" s="565">
        <f>IF(K57="","",IF(K57=H55,H59,IF(K57=H59,H55,"Ошибка")))</f>
        <v>35</v>
      </c>
      <c r="L62" s="563" t="e">
        <f>IF(K62="","",VLOOKUP(K62,'Списки участников'!A:K,12,FALSE))</f>
        <v>#REF!</v>
      </c>
      <c r="M62" s="551"/>
      <c r="O62" s="552"/>
      <c r="Q62" s="964"/>
      <c r="R62" s="529"/>
      <c r="T62" s="530"/>
      <c r="W62" s="530"/>
      <c r="Y62" s="530"/>
      <c r="Z62" s="533"/>
      <c r="AB62" s="543"/>
      <c r="AE62" s="530"/>
    </row>
    <row r="63" spans="4:32" ht="15" customHeight="1" x14ac:dyDescent="0.2">
      <c r="E63" s="530"/>
      <c r="G63" s="549" t="s">
        <v>905</v>
      </c>
      <c r="H63" s="565">
        <f>IF(H47="","",IF(H47=E46,E48,IF(H47=E48,E46,"Ошибка")))</f>
        <v>101</v>
      </c>
      <c r="I63" s="563" t="e">
        <f>IF(H63="","",VLOOKUP(H63,'Списки участников'!A:K,12,FALSE))</f>
        <v>#N/A</v>
      </c>
      <c r="J63" s="549"/>
      <c r="K63" s="530"/>
      <c r="L63" s="552"/>
      <c r="M63" s="536" t="s">
        <v>922</v>
      </c>
      <c r="N63" s="569">
        <f>IF(N61="","",IF(N61=K60,K62,IF(N61=K62,K60,"Ошибка")))</f>
        <v>101</v>
      </c>
      <c r="O63" s="563" t="e">
        <f>IF(N63="","",VLOOKUP(N63,'Списки участников'!A:K,12,FALSE))</f>
        <v>#N/A</v>
      </c>
      <c r="P63" s="549"/>
      <c r="Q63" s="885"/>
      <c r="R63" s="529"/>
      <c r="T63" s="530"/>
      <c r="W63" s="530"/>
      <c r="X63" s="533"/>
      <c r="Y63" s="564"/>
      <c r="AB63" s="530"/>
      <c r="AE63" s="530"/>
    </row>
    <row r="64" spans="4:32" ht="15" customHeight="1" x14ac:dyDescent="0.2">
      <c r="E64" s="530"/>
      <c r="H64" s="965"/>
      <c r="I64" s="552"/>
      <c r="J64" s="546" t="s">
        <v>18</v>
      </c>
      <c r="K64" s="572">
        <v>101</v>
      </c>
      <c r="L64" s="563" t="e">
        <f>IF(K64="","",VLOOKUP(K64,'Списки участников'!A:K,12,FALSE))</f>
        <v>#N/A</v>
      </c>
      <c r="M64" s="549"/>
      <c r="O64" s="552"/>
      <c r="Q64" s="964"/>
      <c r="R64" s="529"/>
      <c r="T64" s="530"/>
      <c r="W64" s="530"/>
      <c r="Y64" s="530"/>
      <c r="AB64" s="530"/>
      <c r="AC64" s="533"/>
      <c r="AD64" s="543"/>
      <c r="AE64" s="530"/>
      <c r="AF64" s="533"/>
    </row>
    <row r="65" spans="3:32" ht="15" customHeight="1" x14ac:dyDescent="0.2">
      <c r="E65" s="530"/>
      <c r="G65" s="549" t="s">
        <v>907</v>
      </c>
      <c r="H65" s="565">
        <f>IF(H51="","",IF(H51=E50,E52,IF(H51=E52,E50,"Ошибка")))</f>
        <v>101</v>
      </c>
      <c r="I65" s="563" t="e">
        <f>IF(H65="","",VLOOKUP(H65,'Списки участников'!A:K,12,FALSE))</f>
        <v>#N/A</v>
      </c>
      <c r="J65" s="551"/>
      <c r="K65" s="965"/>
      <c r="L65" s="552"/>
      <c r="M65" s="553"/>
      <c r="O65" s="552"/>
      <c r="Q65" s="964"/>
      <c r="R65" s="529"/>
      <c r="T65" s="530"/>
      <c r="W65" s="530"/>
      <c r="X65" s="533"/>
      <c r="Y65" s="564"/>
      <c r="AB65" s="530"/>
      <c r="AE65" s="530"/>
    </row>
    <row r="66" spans="3:32" ht="15" customHeight="1" x14ac:dyDescent="0.2">
      <c r="E66" s="530"/>
      <c r="H66" s="965"/>
      <c r="I66" s="552"/>
      <c r="K66" s="965"/>
      <c r="L66" s="552"/>
      <c r="M66" s="557" t="s">
        <v>39</v>
      </c>
      <c r="N66" s="568">
        <v>101</v>
      </c>
      <c r="O66" s="563" t="e">
        <f>IF(N66="","",VLOOKUP(N66,'Списки участников'!A:K,12,FALSE))</f>
        <v>#N/A</v>
      </c>
      <c r="P66" s="549"/>
      <c r="Q66" s="885"/>
      <c r="R66" s="529"/>
      <c r="T66" s="530"/>
      <c r="W66" s="530"/>
      <c r="Y66" s="530"/>
      <c r="Z66" s="533"/>
      <c r="AB66" s="543"/>
      <c r="AE66" s="530"/>
    </row>
    <row r="67" spans="3:32" ht="15" customHeight="1" x14ac:dyDescent="0.2">
      <c r="E67" s="530"/>
      <c r="G67" s="549" t="s">
        <v>910</v>
      </c>
      <c r="H67" s="565">
        <f>IF(H55="","",IF(H55=E54,E56,IF(H55=E56,E54,"Ошибка")))</f>
        <v>101</v>
      </c>
      <c r="I67" s="563" t="e">
        <f>IF(H67="","",VLOOKUP(H67,'Списки участников'!A:K,12,FALSE))</f>
        <v>#N/A</v>
      </c>
      <c r="J67" s="549"/>
      <c r="K67" s="965"/>
      <c r="L67" s="552"/>
      <c r="M67" s="556"/>
      <c r="O67" s="552"/>
      <c r="Q67" s="964"/>
      <c r="R67" s="529"/>
      <c r="T67" s="530"/>
      <c r="W67" s="530"/>
      <c r="X67" s="533"/>
      <c r="Y67" s="564"/>
      <c r="AB67" s="530"/>
      <c r="AC67" s="529"/>
      <c r="AD67" s="560"/>
      <c r="AE67" s="530"/>
      <c r="AF67" s="533"/>
    </row>
    <row r="68" spans="3:32" ht="15" customHeight="1" x14ac:dyDescent="0.2">
      <c r="E68" s="530"/>
      <c r="H68" s="965"/>
      <c r="I68" s="552"/>
      <c r="J68" s="546" t="s">
        <v>33</v>
      </c>
      <c r="K68" s="567">
        <v>101</v>
      </c>
      <c r="L68" s="563" t="e">
        <f>IF(K68="","",VLOOKUP(K68,'Списки участников'!A:K,12,FALSE))</f>
        <v>#N/A</v>
      </c>
      <c r="M68" s="551"/>
      <c r="O68" s="552"/>
      <c r="Q68" s="964"/>
      <c r="R68" s="529"/>
      <c r="T68" s="530"/>
      <c r="W68" s="530"/>
      <c r="Y68" s="530"/>
      <c r="AA68" s="533"/>
      <c r="AB68" s="564"/>
      <c r="AE68" s="530"/>
    </row>
    <row r="69" spans="3:32" ht="15" customHeight="1" x14ac:dyDescent="0.2">
      <c r="E69" s="530"/>
      <c r="G69" s="549" t="s">
        <v>912</v>
      </c>
      <c r="H69" s="565">
        <f>IF(H59="","",IF(H59=E58,E60,IF(H59=E60,E58,"Ошибка")))</f>
        <v>101</v>
      </c>
      <c r="I69" s="563" t="e">
        <f>IF(H69="","",VLOOKUP(H69,'Списки участников'!A:K,12,FALSE))</f>
        <v>#N/A</v>
      </c>
      <c r="J69" s="551"/>
      <c r="K69" s="530"/>
      <c r="L69" s="552"/>
      <c r="M69" s="536" t="s">
        <v>56</v>
      </c>
      <c r="N69" s="569">
        <f>IF(N66="","",IF(N66=K64,K68,IF(N66=K68,K64,"Ошибка")))</f>
        <v>101</v>
      </c>
      <c r="O69" s="563" t="e">
        <f>IF(N69="","",VLOOKUP(N69,'Списки участников'!A:K,12,FALSE))</f>
        <v>#N/A</v>
      </c>
      <c r="P69" s="549"/>
      <c r="Q69" s="885"/>
      <c r="R69" s="529"/>
      <c r="T69" s="530"/>
      <c r="W69" s="530"/>
      <c r="Y69" s="530"/>
      <c r="AB69" s="530"/>
      <c r="AC69" s="533"/>
      <c r="AD69" s="543"/>
      <c r="AE69" s="530"/>
      <c r="AF69" s="533"/>
    </row>
    <row r="70" spans="3:32" ht="15" customHeight="1" x14ac:dyDescent="0.2">
      <c r="E70" s="530"/>
      <c r="I70" s="552"/>
      <c r="J70" s="570" t="s">
        <v>92</v>
      </c>
      <c r="K70" s="565">
        <f>IF(K64="","",IF(K64=H63,H65,IF(K64=H65,H63,"Ошибка")))</f>
        <v>101</v>
      </c>
      <c r="L70" s="563" t="e">
        <f>IF(K70="","",VLOOKUP(K70,'Списки участников'!A:K,12,FALSE))</f>
        <v>#N/A</v>
      </c>
      <c r="M70" s="549"/>
      <c r="O70" s="552"/>
      <c r="Q70" s="964"/>
      <c r="R70" s="529"/>
      <c r="T70" s="530"/>
      <c r="W70" s="530"/>
      <c r="Y70" s="530"/>
      <c r="AA70" s="533"/>
      <c r="AB70" s="564"/>
      <c r="AE70" s="530"/>
    </row>
    <row r="71" spans="3:32" ht="15" customHeight="1" x14ac:dyDescent="0.2">
      <c r="E71" s="530"/>
      <c r="I71" s="530"/>
      <c r="K71" s="965"/>
      <c r="L71" s="552"/>
      <c r="M71" s="546" t="s">
        <v>26</v>
      </c>
      <c r="N71" s="568"/>
      <c r="O71" s="563" t="str">
        <f>IF(N71="","",VLOOKUP(N71,'Списки участников'!A:K,12,FALSE))</f>
        <v/>
      </c>
      <c r="P71" s="549"/>
      <c r="Q71" s="885"/>
      <c r="R71" s="529"/>
      <c r="T71" s="530"/>
      <c r="W71" s="530"/>
      <c r="Y71" s="530"/>
      <c r="AB71" s="530"/>
      <c r="AC71" s="529"/>
      <c r="AD71" s="560"/>
      <c r="AE71" s="530"/>
      <c r="AF71" s="533"/>
    </row>
    <row r="72" spans="3:32" ht="15" customHeight="1" x14ac:dyDescent="0.2">
      <c r="E72" s="530"/>
      <c r="I72" s="530"/>
      <c r="J72" s="549" t="s">
        <v>58</v>
      </c>
      <c r="K72" s="565">
        <f>IF(K68="","",IF(K68=H67,H69,IF(K68=H69,H67,"Ошибка")))</f>
        <v>101</v>
      </c>
      <c r="L72" s="563" t="e">
        <f>IF(K72="","",VLOOKUP(K72,'Списки участников'!A:K,12,FALSE))</f>
        <v>#N/A</v>
      </c>
      <c r="M72" s="551"/>
      <c r="N72" s="965"/>
      <c r="O72" s="552"/>
      <c r="Q72" s="964"/>
      <c r="R72" s="529"/>
      <c r="T72" s="530"/>
      <c r="W72" s="530"/>
      <c r="Y72" s="530"/>
      <c r="AB72" s="530"/>
      <c r="AE72" s="530"/>
    </row>
    <row r="73" spans="3:32" ht="15" customHeight="1" x14ac:dyDescent="0.2">
      <c r="E73" s="530"/>
      <c r="I73" s="530"/>
      <c r="K73" s="530"/>
      <c r="L73" s="552"/>
      <c r="M73" s="536" t="s">
        <v>93</v>
      </c>
      <c r="N73" s="569" t="str">
        <f>IF(N71="","",IF(N71=K70,K72,IF(N71=K72,K70,"Ошибка")))</f>
        <v/>
      </c>
      <c r="O73" s="563" t="str">
        <f>IF(N73="","",VLOOKUP(N73,'Списки участников'!A:K,12,FALSE))</f>
        <v/>
      </c>
      <c r="P73" s="549"/>
      <c r="Q73" s="885"/>
      <c r="R73" s="529"/>
      <c r="T73" s="530"/>
      <c r="W73" s="530"/>
      <c r="Y73" s="530"/>
      <c r="AB73" s="530"/>
      <c r="AE73" s="530"/>
    </row>
    <row r="74" spans="3:32" ht="10.35" customHeight="1" x14ac:dyDescent="0.2">
      <c r="H74" s="1145"/>
      <c r="I74" s="1145"/>
      <c r="J74" s="573"/>
      <c r="R74" s="529"/>
      <c r="T74" s="530"/>
      <c r="V74" s="574"/>
      <c r="W74" s="530"/>
      <c r="Y74" s="530"/>
      <c r="AB74" s="530"/>
      <c r="AE74" s="530"/>
    </row>
    <row r="75" spans="3:32" ht="14.25" customHeight="1" x14ac:dyDescent="0.2">
      <c r="C75" s="575" t="s">
        <v>760</v>
      </c>
      <c r="H75" s="1141" t="str">
        <f>'Списки участников'!H47</f>
        <v>Винокуров А.К</v>
      </c>
      <c r="I75" s="1141"/>
      <c r="J75" s="1141"/>
      <c r="R75" s="529"/>
      <c r="T75" s="530"/>
      <c r="W75" s="530"/>
      <c r="Y75" s="530"/>
      <c r="AB75" s="530"/>
      <c r="AE75" s="530"/>
    </row>
    <row r="76" spans="3:32" ht="10.35" customHeight="1" x14ac:dyDescent="0.2">
      <c r="C76" s="552"/>
      <c r="J76" s="573"/>
      <c r="R76" s="530"/>
      <c r="T76" s="530"/>
      <c r="V76" s="574"/>
      <c r="W76" s="530"/>
      <c r="Y76" s="530"/>
      <c r="AB76" s="530"/>
      <c r="AE76" s="530"/>
    </row>
    <row r="77" spans="3:32" ht="15.75" customHeight="1" x14ac:dyDescent="0.2">
      <c r="C77" s="575" t="s">
        <v>761</v>
      </c>
      <c r="H77" s="1141" t="str">
        <f>'Списки участников'!H48</f>
        <v>Брусин С.Б., Кашулина А.И.</v>
      </c>
      <c r="I77" s="1141"/>
      <c r="J77" s="1141"/>
      <c r="R77" s="530"/>
      <c r="T77" s="530"/>
      <c r="W77" s="530"/>
      <c r="Y77" s="530"/>
      <c r="AB77" s="530"/>
      <c r="AE77" s="530"/>
    </row>
    <row r="78" spans="3:32" ht="10.35" customHeight="1" x14ac:dyDescent="0.2">
      <c r="C78" s="530"/>
      <c r="R78" s="530"/>
      <c r="T78" s="530"/>
      <c r="W78" s="530"/>
      <c r="Y78" s="530"/>
      <c r="AB78" s="530"/>
      <c r="AE78" s="530"/>
    </row>
    <row r="79" spans="3:32" ht="10.35" customHeight="1" x14ac:dyDescent="0.2">
      <c r="R79" s="530"/>
      <c r="T79" s="530"/>
      <c r="W79" s="530"/>
      <c r="Y79" s="530"/>
      <c r="AB79" s="530"/>
      <c r="AE79" s="530"/>
    </row>
    <row r="80" spans="3:32" ht="10.35" customHeight="1" x14ac:dyDescent="0.2">
      <c r="R80" s="530"/>
      <c r="T80" s="530"/>
      <c r="W80" s="530"/>
      <c r="Y80" s="530"/>
      <c r="AB80" s="530"/>
      <c r="AE80" s="530"/>
    </row>
  </sheetData>
  <mergeCells count="7">
    <mergeCell ref="H77:J77"/>
    <mergeCell ref="A1:Q1"/>
    <mergeCell ref="A2:Q2"/>
    <mergeCell ref="A3:E3"/>
    <mergeCell ref="M3:Q3"/>
    <mergeCell ref="H74:I74"/>
    <mergeCell ref="H75:J75"/>
  </mergeCells>
  <pageMargins left="0.59055118110236227" right="0.59055118110236227" top="0" bottom="0.39370078740157483" header="0.39370078740157483" footer="0.51181102362204722"/>
  <pageSetup paperSize="9" scale="70" orientation="portrait" r:id="rId1"/>
  <headerFooter alignWithMargins="0">
    <oddHeader xml:space="preserve">&amp;R
</oddHeader>
  </headerFooter>
  <rowBreaks count="1" manualBreakCount="1">
    <brk id="78" max="15" man="1"/>
  </rowBreaks>
  <colBreaks count="1" manualBreakCount="1">
    <brk id="17" max="1048575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Z55"/>
  <sheetViews>
    <sheetView view="pageBreakPreview" zoomScale="90" zoomScaleNormal="60" zoomScaleSheetLayoutView="90" workbookViewId="0">
      <selection activeCell="O40" sqref="O40"/>
    </sheetView>
  </sheetViews>
  <sheetFormatPr defaultColWidth="21.83203125" defaultRowHeight="10.35" customHeight="1" outlineLevelCol="1" x14ac:dyDescent="0.2"/>
  <cols>
    <col min="1" max="1" width="3.1640625" style="536" customWidth="1"/>
    <col min="2" max="2" width="4.33203125" style="536" hidden="1" customWidth="1" outlineLevel="1"/>
    <col min="3" max="3" width="25" style="535" customWidth="1" collapsed="1"/>
    <col min="4" max="4" width="3.1640625" style="535" customWidth="1"/>
    <col min="5" max="5" width="4.6640625" style="535" hidden="1" customWidth="1" outlineLevel="1"/>
    <col min="6" max="6" width="21.5" style="530" customWidth="1" collapsed="1"/>
    <col min="7" max="7" width="3.1640625" style="535" customWidth="1"/>
    <col min="8" max="8" width="5.6640625" style="530" hidden="1" customWidth="1" outlineLevel="1"/>
    <col min="9" max="9" width="21.5" style="535" customWidth="1" collapsed="1"/>
    <col min="10" max="10" width="3.1640625" style="535" customWidth="1"/>
    <col min="11" max="11" width="4.33203125" style="535" hidden="1" customWidth="1" outlineLevel="1"/>
    <col min="12" max="12" width="21.6640625" style="530" customWidth="1" collapsed="1"/>
    <col min="13" max="13" width="3.33203125" style="530" customWidth="1"/>
    <col min="14" max="14" width="5.33203125" style="530" hidden="1" customWidth="1" outlineLevel="1"/>
    <col min="15" max="15" width="21.5" style="535" customWidth="1" collapsed="1"/>
    <col min="16" max="16" width="3.83203125" style="530" customWidth="1"/>
    <col min="17" max="17" width="4.33203125" style="530" customWidth="1"/>
    <col min="18" max="18" width="3.1640625" style="535" customWidth="1"/>
    <col min="19" max="19" width="16" style="530" customWidth="1"/>
    <col min="20" max="20" width="3.1640625" style="535" customWidth="1"/>
    <col min="21" max="21" width="3.1640625" style="530" customWidth="1"/>
    <col min="22" max="22" width="16" style="530" customWidth="1"/>
    <col min="23" max="23" width="3.1640625" style="535" customWidth="1"/>
    <col min="24" max="24" width="3.1640625" style="530" customWidth="1"/>
    <col min="25" max="25" width="16" style="535" customWidth="1"/>
    <col min="26" max="27" width="3.1640625" style="530" customWidth="1"/>
    <col min="28" max="28" width="15.5" style="535" customWidth="1"/>
    <col min="29" max="29" width="3.1640625" style="530" customWidth="1"/>
    <col min="30" max="30" width="16.1640625" style="530" customWidth="1"/>
    <col min="31" max="31" width="3.1640625" style="535" customWidth="1"/>
    <col min="32" max="32" width="3.6640625" style="530" customWidth="1"/>
    <col min="33" max="33" width="21.83203125" style="530" customWidth="1"/>
    <col min="34" max="34" width="21.83203125" style="535" customWidth="1"/>
    <col min="35" max="36" width="21.83203125" style="530" customWidth="1"/>
    <col min="37" max="41" width="21.83203125" style="535" customWidth="1"/>
    <col min="42" max="43" width="21.83203125" style="530" customWidth="1"/>
    <col min="44" max="44" width="21.83203125" style="535" customWidth="1"/>
    <col min="45" max="46" width="21.83203125" style="530" customWidth="1"/>
    <col min="47" max="47" width="21.83203125" style="535" customWidth="1"/>
    <col min="48" max="49" width="21.83203125" style="530" customWidth="1"/>
    <col min="50" max="50" width="21.83203125" style="535" customWidth="1"/>
    <col min="51" max="52" width="21.83203125" style="530" customWidth="1"/>
    <col min="53" max="16384" width="21.83203125" style="535"/>
  </cols>
  <sheetData>
    <row r="1" spans="1:31" ht="48" customHeight="1" x14ac:dyDescent="0.2">
      <c r="A1" s="1429" t="str">
        <f>'Списки участников'!A1</f>
        <v xml:space="preserve">X Спартакиада
среди предприятий Нижегородской области ФСК "Профсоюзов",
под девизом "Будь спортивным - будь успешным!"
</v>
      </c>
      <c r="B1" s="1429"/>
      <c r="C1" s="1429"/>
      <c r="D1" s="1429"/>
      <c r="E1" s="1429"/>
      <c r="F1" s="1429"/>
      <c r="G1" s="1429"/>
      <c r="H1" s="1429"/>
      <c r="I1" s="1429"/>
      <c r="J1" s="1429"/>
      <c r="K1" s="1429"/>
      <c r="L1" s="1429"/>
      <c r="M1" s="1429"/>
      <c r="N1" s="1429"/>
      <c r="O1" s="1429"/>
      <c r="P1" s="1429"/>
      <c r="Q1" s="1429"/>
      <c r="R1" s="529"/>
      <c r="T1" s="530"/>
      <c r="W1" s="531"/>
      <c r="X1" s="532"/>
      <c r="Y1" s="533"/>
      <c r="AB1" s="530"/>
      <c r="AD1" s="534"/>
      <c r="AE1" s="530"/>
    </row>
    <row r="2" spans="1:31" ht="14.25" customHeight="1" x14ac:dyDescent="0.2">
      <c r="A2" s="1430"/>
      <c r="B2" s="1430"/>
      <c r="C2" s="1430"/>
      <c r="D2" s="1430"/>
      <c r="E2" s="1430"/>
      <c r="F2" s="1430"/>
      <c r="G2" s="1430"/>
      <c r="H2" s="1430"/>
      <c r="I2" s="1430"/>
      <c r="J2" s="1430"/>
      <c r="K2" s="1430"/>
      <c r="L2" s="1430"/>
      <c r="M2" s="1430"/>
      <c r="N2" s="1430"/>
      <c r="O2" s="1430"/>
      <c r="P2" s="1430"/>
      <c r="Q2" s="1430"/>
      <c r="R2" s="529"/>
      <c r="T2" s="530"/>
      <c r="W2" s="531"/>
      <c r="X2" s="532"/>
      <c r="Y2" s="533"/>
      <c r="AB2" s="530"/>
      <c r="AE2" s="530"/>
    </row>
    <row r="3" spans="1:31" ht="17.25" customHeight="1" x14ac:dyDescent="0.2">
      <c r="A3" s="1266" t="str">
        <f>'Списки участников'!C3</f>
        <v>22 октября 2016 г.</v>
      </c>
      <c r="B3" s="1266"/>
      <c r="C3" s="1266"/>
      <c r="D3" s="1266"/>
      <c r="E3" s="1266"/>
      <c r="I3" s="881" t="s">
        <v>2622</v>
      </c>
      <c r="J3" s="882" t="s">
        <v>10</v>
      </c>
      <c r="K3" s="883"/>
      <c r="L3" s="884" t="s">
        <v>2735</v>
      </c>
      <c r="M3" s="1266" t="str">
        <f>'Списки участников'!F3</f>
        <v xml:space="preserve">                                               г. Н. Новгород</v>
      </c>
      <c r="N3" s="1266"/>
      <c r="O3" s="1266"/>
      <c r="P3" s="1266"/>
      <c r="Q3" s="1266"/>
      <c r="R3" s="529"/>
      <c r="T3" s="530"/>
      <c r="W3" s="530"/>
      <c r="Y3" s="530"/>
      <c r="AB3" s="530"/>
      <c r="AE3" s="530"/>
    </row>
    <row r="4" spans="1:31" ht="15" customHeight="1" x14ac:dyDescent="0.2">
      <c r="A4" s="538">
        <v>1</v>
      </c>
      <c r="B4" s="539"/>
      <c r="C4" s="540" t="str">
        <f>IF(B4="","",VLOOKUP(B4,'Списки участников'!A:K,3,FALSE))</f>
        <v/>
      </c>
      <c r="E4" s="541"/>
      <c r="F4" s="535"/>
      <c r="G4" s="536"/>
      <c r="H4" s="536"/>
      <c r="I4" s="542"/>
      <c r="J4" s="536"/>
      <c r="K4" s="536"/>
      <c r="L4" s="535"/>
      <c r="M4" s="535"/>
      <c r="N4" s="535"/>
      <c r="P4" s="535"/>
      <c r="Q4" s="535"/>
      <c r="R4" s="533"/>
      <c r="S4" s="543"/>
      <c r="T4" s="530"/>
      <c r="W4" s="530"/>
      <c r="Y4" s="530"/>
      <c r="AB4" s="530"/>
      <c r="AE4" s="530"/>
    </row>
    <row r="5" spans="1:31" ht="15" customHeight="1" x14ac:dyDescent="0.2">
      <c r="B5" s="544"/>
      <c r="C5" s="545"/>
      <c r="D5" s="546" t="s">
        <v>10</v>
      </c>
      <c r="E5" s="547"/>
      <c r="F5" s="548" t="str">
        <f>IF(E5="","",VLOOKUP(E5,'Списки участников'!A:K,3,FALSE))</f>
        <v/>
      </c>
      <c r="G5" s="549"/>
      <c r="I5" s="530"/>
      <c r="K5" s="530"/>
      <c r="M5" s="535"/>
      <c r="N5" s="535"/>
      <c r="O5" s="530"/>
      <c r="Q5" s="535"/>
      <c r="R5" s="529"/>
      <c r="T5" s="530"/>
      <c r="W5" s="533"/>
      <c r="Y5" s="537"/>
      <c r="AB5" s="530"/>
      <c r="AE5" s="530"/>
    </row>
    <row r="6" spans="1:31" ht="15" customHeight="1" x14ac:dyDescent="0.2">
      <c r="A6" s="550" t="s">
        <v>41</v>
      </c>
      <c r="B6" s="539"/>
      <c r="C6" s="540" t="str">
        <f>IF(B6="","",VLOOKUP(B6,'Списки участников'!A:K,3,FALSE))</f>
        <v/>
      </c>
      <c r="D6" s="551"/>
      <c r="E6" s="543"/>
      <c r="F6" s="552"/>
      <c r="G6" s="553"/>
      <c r="H6" s="537"/>
      <c r="I6" s="530"/>
      <c r="K6" s="530"/>
      <c r="M6" s="535"/>
      <c r="N6" s="535"/>
      <c r="O6" s="530"/>
      <c r="Q6" s="535"/>
      <c r="R6" s="533"/>
      <c r="S6" s="543"/>
      <c r="T6" s="530"/>
      <c r="W6" s="530"/>
      <c r="Y6" s="530"/>
      <c r="AB6" s="530"/>
      <c r="AE6" s="530"/>
    </row>
    <row r="7" spans="1:31" ht="15" customHeight="1" x14ac:dyDescent="0.2">
      <c r="B7" s="544"/>
      <c r="C7" s="554"/>
      <c r="E7" s="543"/>
      <c r="F7" s="552"/>
      <c r="G7" s="555">
        <v>9</v>
      </c>
      <c r="H7" s="547"/>
      <c r="I7" s="548" t="str">
        <f>IF(H7="","",VLOOKUP(H7,'Списки участников'!A:K,3,FALSE))</f>
        <v/>
      </c>
      <c r="J7" s="549"/>
      <c r="K7" s="530"/>
      <c r="M7" s="535"/>
      <c r="N7" s="535"/>
      <c r="O7" s="530"/>
      <c r="Q7" s="535"/>
      <c r="R7" s="529"/>
      <c r="T7" s="533"/>
      <c r="V7" s="543"/>
      <c r="W7" s="530"/>
      <c r="Y7" s="530"/>
      <c r="AB7" s="530"/>
      <c r="AE7" s="530"/>
    </row>
    <row r="8" spans="1:31" ht="15" customHeight="1" x14ac:dyDescent="0.2">
      <c r="A8" s="550" t="s">
        <v>35</v>
      </c>
      <c r="B8" s="539"/>
      <c r="C8" s="540" t="str">
        <f>IF(B8="","",VLOOKUP(B8,'Списки участников'!A:K,3,FALSE))</f>
        <v/>
      </c>
      <c r="D8" s="549"/>
      <c r="E8" s="543"/>
      <c r="F8" s="552"/>
      <c r="G8" s="556"/>
      <c r="H8" s="537"/>
      <c r="I8" s="552" t="s">
        <v>2725</v>
      </c>
      <c r="J8" s="553"/>
      <c r="K8" s="537"/>
      <c r="M8" s="535"/>
      <c r="N8" s="535"/>
      <c r="O8" s="530"/>
      <c r="Q8" s="535"/>
      <c r="R8" s="533"/>
      <c r="S8" s="543"/>
      <c r="T8" s="530"/>
      <c r="W8" s="530"/>
      <c r="Y8" s="530"/>
      <c r="AB8" s="530"/>
      <c r="AE8" s="530"/>
    </row>
    <row r="9" spans="1:31" ht="15" customHeight="1" x14ac:dyDescent="0.2">
      <c r="B9" s="544"/>
      <c r="C9" s="554"/>
      <c r="D9" s="546" t="s">
        <v>41</v>
      </c>
      <c r="E9" s="547"/>
      <c r="F9" s="548" t="str">
        <f>IF(E9="","",VLOOKUP(E9,'Списки участников'!A:K,3,FALSE))</f>
        <v/>
      </c>
      <c r="G9" s="551"/>
      <c r="H9" s="537"/>
      <c r="I9" s="552"/>
      <c r="J9" s="556"/>
      <c r="K9" s="537"/>
      <c r="M9" s="535"/>
      <c r="N9" s="535"/>
      <c r="O9" s="530"/>
      <c r="Q9" s="535"/>
      <c r="R9" s="529"/>
      <c r="T9" s="530"/>
      <c r="W9" s="530"/>
      <c r="Y9" s="530"/>
      <c r="Z9" s="533"/>
      <c r="AB9" s="537"/>
      <c r="AE9" s="530"/>
    </row>
    <row r="10" spans="1:31" ht="15" customHeight="1" x14ac:dyDescent="0.2">
      <c r="A10" s="550" t="s">
        <v>15</v>
      </c>
      <c r="B10" s="539"/>
      <c r="C10" s="540" t="str">
        <f>IF(B10="","",VLOOKUP(B10,'Списки участников'!A:K,3,FALSE))</f>
        <v/>
      </c>
      <c r="D10" s="551"/>
      <c r="E10" s="543"/>
      <c r="F10" s="552"/>
      <c r="H10" s="537"/>
      <c r="I10" s="552"/>
      <c r="J10" s="556"/>
      <c r="K10" s="537"/>
      <c r="M10" s="535"/>
      <c r="N10" s="535"/>
      <c r="O10" s="530"/>
      <c r="Q10" s="535"/>
      <c r="R10" s="533"/>
      <c r="S10" s="543"/>
      <c r="T10" s="530"/>
      <c r="W10" s="530"/>
      <c r="Y10" s="530"/>
      <c r="AB10" s="530"/>
      <c r="AE10" s="530"/>
    </row>
    <row r="11" spans="1:31" ht="15" customHeight="1" x14ac:dyDescent="0.2">
      <c r="B11" s="544"/>
      <c r="C11" s="554"/>
      <c r="E11" s="543"/>
      <c r="F11" s="552"/>
      <c r="H11" s="537"/>
      <c r="I11" s="552"/>
      <c r="J11" s="557" t="s">
        <v>23</v>
      </c>
      <c r="K11" s="547"/>
      <c r="L11" s="548" t="str">
        <f>IF(K11="","",VLOOKUP(K11,'Списки участников'!A:K,3,FALSE))</f>
        <v/>
      </c>
      <c r="M11" s="549"/>
      <c r="O11" s="530"/>
      <c r="Q11" s="535"/>
      <c r="R11" s="529"/>
      <c r="T11" s="533"/>
      <c r="V11" s="543"/>
      <c r="W11" s="530"/>
      <c r="Y11" s="530"/>
      <c r="AB11" s="530"/>
      <c r="AE11" s="530"/>
    </row>
    <row r="12" spans="1:31" ht="15" customHeight="1" x14ac:dyDescent="0.2">
      <c r="A12" s="550" t="s">
        <v>37</v>
      </c>
      <c r="B12" s="539"/>
      <c r="C12" s="540" t="str">
        <f>IF(B12="","",VLOOKUP(B12,'Списки участников'!A:K,3,FALSE))</f>
        <v/>
      </c>
      <c r="D12" s="549"/>
      <c r="E12" s="543"/>
      <c r="F12" s="552"/>
      <c r="H12" s="537"/>
      <c r="I12" s="552"/>
      <c r="J12" s="556"/>
      <c r="K12" s="537"/>
      <c r="L12" s="552"/>
      <c r="M12" s="553"/>
      <c r="O12" s="530"/>
      <c r="Q12" s="535"/>
      <c r="R12" s="533"/>
      <c r="S12" s="543"/>
      <c r="T12" s="530"/>
      <c r="W12" s="530"/>
      <c r="Y12" s="530"/>
      <c r="AB12" s="530"/>
      <c r="AE12" s="530"/>
    </row>
    <row r="13" spans="1:31" ht="15" customHeight="1" x14ac:dyDescent="0.2">
      <c r="B13" s="544"/>
      <c r="C13" s="554"/>
      <c r="D13" s="546" t="s">
        <v>35</v>
      </c>
      <c r="E13" s="547"/>
      <c r="F13" s="548" t="str">
        <f>IF(E13="","",VLOOKUP(E13,'Списки участников'!A:K,3,FALSE))</f>
        <v/>
      </c>
      <c r="G13" s="549"/>
      <c r="H13" s="537"/>
      <c r="I13" s="552"/>
      <c r="J13" s="556"/>
      <c r="K13" s="537"/>
      <c r="L13" s="552"/>
      <c r="M13" s="556"/>
      <c r="O13" s="530"/>
      <c r="Q13" s="535"/>
      <c r="R13" s="529"/>
      <c r="T13" s="530"/>
      <c r="W13" s="533"/>
      <c r="Y13" s="543"/>
      <c r="AB13" s="530"/>
      <c r="AE13" s="530"/>
    </row>
    <row r="14" spans="1:31" ht="15" customHeight="1" x14ac:dyDescent="0.2">
      <c r="A14" s="550" t="s">
        <v>42</v>
      </c>
      <c r="B14" s="539"/>
      <c r="C14" s="540" t="str">
        <f>IF(B14="","",VLOOKUP(B14,'Списки участников'!A:K,3,FALSE))</f>
        <v/>
      </c>
      <c r="D14" s="551"/>
      <c r="E14" s="543"/>
      <c r="F14" s="552"/>
      <c r="G14" s="553"/>
      <c r="H14" s="537"/>
      <c r="I14" s="552"/>
      <c r="J14" s="556"/>
      <c r="K14" s="537"/>
      <c r="L14" s="552"/>
      <c r="M14" s="556"/>
      <c r="O14" s="530"/>
      <c r="Q14" s="535"/>
      <c r="R14" s="533"/>
      <c r="S14" s="543"/>
      <c r="T14" s="530"/>
      <c r="W14" s="530"/>
      <c r="Y14" s="530"/>
      <c r="AB14" s="530"/>
      <c r="AE14" s="530"/>
    </row>
    <row r="15" spans="1:31" ht="15" customHeight="1" x14ac:dyDescent="0.2">
      <c r="B15" s="544"/>
      <c r="C15" s="554"/>
      <c r="E15" s="543"/>
      <c r="F15" s="552"/>
      <c r="G15" s="557" t="s">
        <v>30</v>
      </c>
      <c r="H15" s="547"/>
      <c r="I15" s="548" t="str">
        <f>IF(H15="","",VLOOKUP(H15,'Списки участников'!A:K,3,FALSE))</f>
        <v/>
      </c>
      <c r="J15" s="551"/>
      <c r="K15" s="537"/>
      <c r="L15" s="552"/>
      <c r="M15" s="556"/>
      <c r="O15" s="530"/>
      <c r="Q15" s="535"/>
      <c r="R15" s="529"/>
      <c r="T15" s="533"/>
      <c r="V15" s="543"/>
      <c r="W15" s="530"/>
      <c r="Y15" s="530"/>
      <c r="AB15" s="530"/>
      <c r="AE15" s="530"/>
    </row>
    <row r="16" spans="1:31" ht="15" customHeight="1" x14ac:dyDescent="0.2">
      <c r="A16" s="550" t="s">
        <v>28</v>
      </c>
      <c r="B16" s="539"/>
      <c r="C16" s="540" t="str">
        <f>IF(B16="","",VLOOKUP(B16,'Списки участников'!A:K,3,FALSE))</f>
        <v/>
      </c>
      <c r="D16" s="549"/>
      <c r="E16" s="543"/>
      <c r="F16" s="552"/>
      <c r="G16" s="556"/>
      <c r="H16" s="537"/>
      <c r="I16" s="552"/>
      <c r="K16" s="537"/>
      <c r="L16" s="552"/>
      <c r="M16" s="556"/>
      <c r="O16" s="530"/>
      <c r="Q16" s="535"/>
      <c r="R16" s="533"/>
      <c r="S16" s="543"/>
      <c r="T16" s="530"/>
      <c r="W16" s="530"/>
      <c r="Y16" s="530"/>
      <c r="AB16" s="530"/>
      <c r="AE16" s="530"/>
    </row>
    <row r="17" spans="1:32" ht="15" customHeight="1" x14ac:dyDescent="0.2">
      <c r="B17" s="544"/>
      <c r="C17" s="554"/>
      <c r="D17" s="546" t="s">
        <v>15</v>
      </c>
      <c r="E17" s="547"/>
      <c r="F17" s="548" t="str">
        <f>IF(E17="","",VLOOKUP(E17,'Списки участников'!A:K,3,FALSE))</f>
        <v/>
      </c>
      <c r="G17" s="551"/>
      <c r="H17" s="537"/>
      <c r="I17" s="552"/>
      <c r="K17" s="537"/>
      <c r="L17" s="552"/>
      <c r="M17" s="556"/>
      <c r="O17" s="530"/>
      <c r="Q17" s="535"/>
      <c r="R17" s="529"/>
      <c r="T17" s="530"/>
      <c r="W17" s="530"/>
      <c r="Y17" s="530"/>
      <c r="AB17" s="530"/>
      <c r="AC17" s="533"/>
      <c r="AD17" s="537"/>
      <c r="AE17" s="530"/>
      <c r="AF17" s="533"/>
    </row>
    <row r="18" spans="1:32" ht="15" customHeight="1" x14ac:dyDescent="0.2">
      <c r="A18" s="550" t="s">
        <v>22</v>
      </c>
      <c r="B18" s="539"/>
      <c r="C18" s="540" t="str">
        <f>IF(B18="","",VLOOKUP(B18,'Списки участников'!A:K,3,FALSE))</f>
        <v/>
      </c>
      <c r="D18" s="551"/>
      <c r="E18" s="543"/>
      <c r="F18" s="552"/>
      <c r="H18" s="537"/>
      <c r="I18" s="552"/>
      <c r="K18" s="537"/>
      <c r="L18" s="552"/>
      <c r="M18" s="556"/>
      <c r="O18" s="558"/>
      <c r="Q18" s="535"/>
      <c r="R18" s="533"/>
      <c r="S18" s="543"/>
      <c r="T18" s="530"/>
      <c r="W18" s="530"/>
      <c r="Y18" s="530"/>
      <c r="AB18" s="530"/>
      <c r="AE18" s="530"/>
    </row>
    <row r="19" spans="1:32" ht="15" customHeight="1" x14ac:dyDescent="0.2">
      <c r="B19" s="544"/>
      <c r="C19" s="554"/>
      <c r="E19" s="543"/>
      <c r="F19" s="552"/>
      <c r="H19" s="537"/>
      <c r="I19" s="552"/>
      <c r="K19" s="537"/>
      <c r="L19" s="552"/>
      <c r="M19" s="557" t="s">
        <v>12</v>
      </c>
      <c r="N19" s="559"/>
      <c r="O19" s="548" t="str">
        <f>IF(N19="","",VLOOKUP(N19,'Списки участников'!A:K,3,FALSE))</f>
        <v/>
      </c>
      <c r="P19" s="549"/>
      <c r="Q19" s="885" t="str">
        <f>CONCATENATE(J3," ","м")</f>
        <v>1 м</v>
      </c>
      <c r="R19" s="529"/>
      <c r="T19" s="533"/>
      <c r="V19" s="543"/>
      <c r="W19" s="530"/>
      <c r="Y19" s="530"/>
      <c r="AB19" s="530"/>
      <c r="AE19" s="530"/>
    </row>
    <row r="20" spans="1:32" ht="15" customHeight="1" x14ac:dyDescent="0.2">
      <c r="A20" s="550" t="s">
        <v>38</v>
      </c>
      <c r="B20" s="539"/>
      <c r="C20" s="540" t="str">
        <f>IF(B20="","",VLOOKUP(B20,'Списки участников'!A:K,3,FALSE))</f>
        <v/>
      </c>
      <c r="D20" s="549"/>
      <c r="E20" s="543"/>
      <c r="F20" s="552"/>
      <c r="H20" s="537"/>
      <c r="I20" s="552"/>
      <c r="K20" s="537"/>
      <c r="L20" s="552"/>
      <c r="M20" s="556"/>
      <c r="O20" s="552"/>
      <c r="Q20" s="535"/>
      <c r="R20" s="533"/>
      <c r="S20" s="543"/>
      <c r="T20" s="530"/>
      <c r="W20" s="530"/>
      <c r="Y20" s="530"/>
      <c r="AB20" s="530"/>
      <c r="AE20" s="530"/>
    </row>
    <row r="21" spans="1:32" ht="15" customHeight="1" x14ac:dyDescent="0.2">
      <c r="B21" s="544"/>
      <c r="C21" s="554"/>
      <c r="D21" s="546" t="s">
        <v>37</v>
      </c>
      <c r="E21" s="547"/>
      <c r="F21" s="548" t="str">
        <f>IF(E21="","",VLOOKUP(E21,'Списки участников'!A:K,3,FALSE))</f>
        <v/>
      </c>
      <c r="G21" s="549"/>
      <c r="H21" s="537"/>
      <c r="I21" s="552"/>
      <c r="K21" s="537"/>
      <c r="L21" s="552"/>
      <c r="M21" s="556"/>
      <c r="O21" s="552"/>
      <c r="Q21" s="535"/>
      <c r="R21" s="529"/>
      <c r="T21" s="530"/>
      <c r="W21" s="533"/>
      <c r="Y21" s="543"/>
      <c r="AB21" s="530"/>
      <c r="AE21" s="530"/>
    </row>
    <row r="22" spans="1:32" ht="15" customHeight="1" x14ac:dyDescent="0.2">
      <c r="A22" s="550" t="s">
        <v>30</v>
      </c>
      <c r="B22" s="539"/>
      <c r="C22" s="540" t="str">
        <f>IF(B22="","",VLOOKUP(B22,'Списки участников'!A:K,3,FALSE))</f>
        <v/>
      </c>
      <c r="D22" s="551"/>
      <c r="E22" s="543"/>
      <c r="F22" s="552"/>
      <c r="G22" s="553"/>
      <c r="H22" s="537"/>
      <c r="I22" s="552"/>
      <c r="K22" s="537"/>
      <c r="L22" s="552"/>
      <c r="M22" s="556"/>
      <c r="O22" s="552"/>
      <c r="Q22" s="535"/>
      <c r="R22" s="533"/>
      <c r="S22" s="543"/>
      <c r="T22" s="530"/>
      <c r="W22" s="530"/>
      <c r="Y22" s="530"/>
      <c r="AB22" s="530"/>
      <c r="AE22" s="530"/>
    </row>
    <row r="23" spans="1:32" ht="15" customHeight="1" x14ac:dyDescent="0.2">
      <c r="B23" s="544"/>
      <c r="C23" s="554"/>
      <c r="E23" s="543"/>
      <c r="F23" s="552"/>
      <c r="G23" s="557" t="s">
        <v>25</v>
      </c>
      <c r="H23" s="547"/>
      <c r="I23" s="548" t="str">
        <f>IF(H23="","",VLOOKUP(H23,'Списки участников'!A:K,3,FALSE))</f>
        <v/>
      </c>
      <c r="J23" s="549"/>
      <c r="K23" s="537"/>
      <c r="L23" s="552"/>
      <c r="M23" s="556"/>
      <c r="O23" s="552"/>
      <c r="Q23" s="535"/>
      <c r="R23" s="529"/>
      <c r="T23" s="533"/>
      <c r="V23" s="543"/>
      <c r="W23" s="530"/>
      <c r="Y23" s="530"/>
      <c r="AB23" s="530"/>
      <c r="AE23" s="530"/>
    </row>
    <row r="24" spans="1:32" ht="15" customHeight="1" x14ac:dyDescent="0.2">
      <c r="A24" s="550" t="s">
        <v>25</v>
      </c>
      <c r="B24" s="539"/>
      <c r="C24" s="540" t="str">
        <f>IF(B24="","",VLOOKUP(B24,'Списки участников'!A:K,3,FALSE))</f>
        <v/>
      </c>
      <c r="D24" s="549"/>
      <c r="E24" s="543"/>
      <c r="F24" s="552"/>
      <c r="G24" s="556"/>
      <c r="H24" s="537"/>
      <c r="I24" s="552"/>
      <c r="J24" s="553"/>
      <c r="K24" s="537"/>
      <c r="L24" s="552"/>
      <c r="M24" s="556"/>
      <c r="O24" s="552"/>
      <c r="Q24" s="535"/>
      <c r="R24" s="533"/>
      <c r="S24" s="543"/>
      <c r="T24" s="530"/>
      <c r="W24" s="530"/>
      <c r="Y24" s="530"/>
      <c r="AB24" s="530"/>
      <c r="AE24" s="530"/>
    </row>
    <row r="25" spans="1:32" ht="15" customHeight="1" x14ac:dyDescent="0.2">
      <c r="B25" s="544"/>
      <c r="C25" s="554"/>
      <c r="D25" s="546" t="s">
        <v>42</v>
      </c>
      <c r="E25" s="547"/>
      <c r="F25" s="548" t="str">
        <f>IF(E25="","",VLOOKUP(E25,'Списки участников'!A:K,3,FALSE))</f>
        <v/>
      </c>
      <c r="G25" s="551"/>
      <c r="H25" s="537"/>
      <c r="I25" s="552"/>
      <c r="J25" s="556"/>
      <c r="K25" s="537"/>
      <c r="L25" s="552"/>
      <c r="M25" s="556"/>
      <c r="O25" s="552"/>
      <c r="Q25" s="535"/>
      <c r="R25" s="529"/>
      <c r="T25" s="530"/>
      <c r="W25" s="530"/>
      <c r="Y25" s="530"/>
      <c r="Z25" s="533"/>
      <c r="AB25" s="543"/>
      <c r="AE25" s="530"/>
    </row>
    <row r="26" spans="1:32" ht="15" customHeight="1" x14ac:dyDescent="0.2">
      <c r="A26" s="550" t="s">
        <v>17</v>
      </c>
      <c r="B26" s="539"/>
      <c r="C26" s="540" t="str">
        <f>IF(B26="","",VLOOKUP(B26,'Списки участников'!A:K,3,FALSE))</f>
        <v/>
      </c>
      <c r="D26" s="551"/>
      <c r="E26" s="543"/>
      <c r="F26" s="552"/>
      <c r="H26" s="537"/>
      <c r="I26" s="552"/>
      <c r="J26" s="556"/>
      <c r="K26" s="537"/>
      <c r="L26" s="552"/>
      <c r="M26" s="556"/>
      <c r="O26" s="552"/>
      <c r="Q26" s="535"/>
      <c r="R26" s="533"/>
      <c r="S26" s="543"/>
      <c r="T26" s="530"/>
      <c r="W26" s="530"/>
      <c r="Y26" s="530"/>
      <c r="AB26" s="530"/>
      <c r="AE26" s="530"/>
    </row>
    <row r="27" spans="1:32" ht="15" customHeight="1" x14ac:dyDescent="0.2">
      <c r="B27" s="544"/>
      <c r="C27" s="554"/>
      <c r="E27" s="543"/>
      <c r="F27" s="552"/>
      <c r="H27" s="537"/>
      <c r="I27" s="552"/>
      <c r="J27" s="557" t="s">
        <v>7</v>
      </c>
      <c r="K27" s="547"/>
      <c r="L27" s="548" t="str">
        <f>IF(K27="","",VLOOKUP(K27,'Списки участников'!A:K,3,FALSE))</f>
        <v/>
      </c>
      <c r="M27" s="551"/>
      <c r="O27" s="552"/>
      <c r="Q27" s="535"/>
      <c r="R27" s="529"/>
      <c r="T27" s="533"/>
      <c r="V27" s="543"/>
      <c r="W27" s="530"/>
      <c r="Y27" s="530"/>
      <c r="AB27" s="530"/>
      <c r="AE27" s="530"/>
    </row>
    <row r="28" spans="1:32" ht="15" customHeight="1" x14ac:dyDescent="0.2">
      <c r="A28" s="550" t="s">
        <v>23</v>
      </c>
      <c r="B28" s="539"/>
      <c r="C28" s="540" t="str">
        <f>IF(B28="","",VLOOKUP(B28,'Списки участников'!A:K,3,FALSE))</f>
        <v/>
      </c>
      <c r="D28" s="549"/>
      <c r="E28" s="543"/>
      <c r="F28" s="552"/>
      <c r="H28" s="537"/>
      <c r="I28" s="552"/>
      <c r="J28" s="556"/>
      <c r="K28" s="537"/>
      <c r="L28" s="552"/>
      <c r="M28" s="535"/>
      <c r="N28" s="535"/>
      <c r="O28" s="552"/>
      <c r="Q28" s="535"/>
      <c r="R28" s="533"/>
      <c r="S28" s="543"/>
      <c r="T28" s="530"/>
      <c r="W28" s="530"/>
      <c r="Y28" s="530"/>
      <c r="AB28" s="530"/>
      <c r="AE28" s="530"/>
    </row>
    <row r="29" spans="1:32" ht="15" customHeight="1" x14ac:dyDescent="0.2">
      <c r="B29" s="544"/>
      <c r="C29" s="554"/>
      <c r="D29" s="546" t="s">
        <v>28</v>
      </c>
      <c r="E29" s="547"/>
      <c r="F29" s="548" t="str">
        <f>IF(E29="","",VLOOKUP(E29,'Списки участников'!A:K,3,FALSE))</f>
        <v/>
      </c>
      <c r="G29" s="549"/>
      <c r="H29" s="537"/>
      <c r="I29" s="552"/>
      <c r="J29" s="556"/>
      <c r="K29" s="537"/>
      <c r="L29" s="552"/>
      <c r="M29" s="535"/>
      <c r="N29" s="535"/>
      <c r="O29" s="552"/>
      <c r="Q29" s="535"/>
      <c r="R29" s="529"/>
      <c r="T29" s="530"/>
      <c r="W29" s="533"/>
      <c r="Y29" s="543"/>
      <c r="AB29" s="530"/>
      <c r="AC29" s="529"/>
      <c r="AD29" s="560"/>
      <c r="AE29" s="530"/>
      <c r="AF29" s="533"/>
    </row>
    <row r="30" spans="1:32" ht="15" customHeight="1" x14ac:dyDescent="0.2">
      <c r="A30" s="550" t="s">
        <v>7</v>
      </c>
      <c r="B30" s="539"/>
      <c r="C30" s="540" t="str">
        <f>IF(B30="","",VLOOKUP(B30,'Списки участников'!A:K,3,FALSE))</f>
        <v/>
      </c>
      <c r="D30" s="551"/>
      <c r="E30" s="543"/>
      <c r="F30" s="552"/>
      <c r="G30" s="553"/>
      <c r="H30" s="537"/>
      <c r="I30" s="561"/>
      <c r="J30" s="556"/>
      <c r="K30" s="537"/>
      <c r="M30" s="535"/>
      <c r="N30" s="535"/>
      <c r="O30" s="552"/>
      <c r="Q30" s="535"/>
      <c r="R30" s="533"/>
      <c r="S30" s="543"/>
      <c r="T30" s="530"/>
      <c r="W30" s="530"/>
      <c r="Y30" s="530"/>
      <c r="AB30" s="530"/>
      <c r="AE30" s="530"/>
    </row>
    <row r="31" spans="1:32" ht="15" customHeight="1" x14ac:dyDescent="0.2">
      <c r="B31" s="544"/>
      <c r="C31" s="554"/>
      <c r="E31" s="543"/>
      <c r="F31" s="552"/>
      <c r="G31" s="557" t="s">
        <v>17</v>
      </c>
      <c r="H31" s="547"/>
      <c r="I31" s="548" t="str">
        <f>IF(H31="","",VLOOKUP(H31,'Списки участников'!A:K,3,FALSE))</f>
        <v/>
      </c>
      <c r="J31" s="551"/>
      <c r="K31" s="537"/>
      <c r="M31" s="536" t="s">
        <v>901</v>
      </c>
      <c r="N31" s="562" t="str">
        <f>IF(N19="","",IF(N19=K11,K27,IF(N19=K27,K11,"Ошибка")))</f>
        <v/>
      </c>
      <c r="O31" s="563" t="str">
        <f>IF(N31="","",VLOOKUP(N31,'Списки участников'!A:K,3,FALSE))</f>
        <v/>
      </c>
      <c r="P31" s="549"/>
      <c r="Q31" s="885" t="str">
        <f>CONCATENATE(J3+1," ","м")</f>
        <v>2 м</v>
      </c>
      <c r="R31" s="529"/>
      <c r="T31" s="533"/>
      <c r="V31" s="543"/>
      <c r="W31" s="530"/>
      <c r="Y31" s="530"/>
      <c r="AA31" s="533"/>
      <c r="AB31" s="564"/>
      <c r="AE31" s="530"/>
    </row>
    <row r="32" spans="1:32" ht="15" customHeight="1" x14ac:dyDescent="0.2">
      <c r="A32" s="550" t="s">
        <v>12</v>
      </c>
      <c r="B32" s="539"/>
      <c r="C32" s="540" t="str">
        <f>IF(B32="","",VLOOKUP(B32,'Списки участников'!A:K,3,FALSE))</f>
        <v/>
      </c>
      <c r="D32" s="549"/>
      <c r="E32" s="543"/>
      <c r="F32" s="552"/>
      <c r="G32" s="556"/>
      <c r="H32" s="537"/>
      <c r="I32" s="552"/>
      <c r="K32" s="530"/>
      <c r="L32" s="552"/>
      <c r="M32" s="535"/>
      <c r="N32" s="535"/>
      <c r="O32" s="552"/>
      <c r="Q32" s="535"/>
      <c r="R32" s="533"/>
      <c r="S32" s="543"/>
      <c r="T32" s="530"/>
      <c r="W32" s="530"/>
      <c r="Y32" s="530"/>
      <c r="AB32" s="530"/>
      <c r="AC32" s="533"/>
      <c r="AD32" s="564"/>
      <c r="AE32" s="530"/>
      <c r="AF32" s="533"/>
    </row>
    <row r="33" spans="1:32" ht="15" customHeight="1" x14ac:dyDescent="0.2">
      <c r="B33" s="544"/>
      <c r="C33" s="554"/>
      <c r="D33" s="546" t="s">
        <v>22</v>
      </c>
      <c r="E33" s="547"/>
      <c r="F33" s="548" t="str">
        <f>IF(E33="","",VLOOKUP(E33,'Списки участников'!A:K,3,FALSE))</f>
        <v/>
      </c>
      <c r="G33" s="551"/>
      <c r="H33" s="537"/>
      <c r="I33" s="552"/>
      <c r="J33" s="549" t="s">
        <v>897</v>
      </c>
      <c r="K33" s="565" t="str">
        <f>IF(K11="","",IF(K11=H7,H15,IF(K11=H15,H7,"Ошибка")))</f>
        <v/>
      </c>
      <c r="L33" s="563" t="str">
        <f>IF(K33="","",VLOOKUP(K33,'Списки участников'!A:K,3,FALSE))</f>
        <v/>
      </c>
      <c r="M33" s="549"/>
      <c r="O33" s="552"/>
      <c r="Q33" s="535"/>
      <c r="R33" s="529"/>
      <c r="T33" s="530"/>
      <c r="W33" s="530"/>
      <c r="Y33" s="530"/>
      <c r="AA33" s="533"/>
      <c r="AB33" s="564"/>
      <c r="AE33" s="530"/>
    </row>
    <row r="34" spans="1:32" ht="15" customHeight="1" x14ac:dyDescent="0.2">
      <c r="A34" s="550" t="s">
        <v>29</v>
      </c>
      <c r="B34" s="539"/>
      <c r="C34" s="540" t="str">
        <f>IF(B34="","",VLOOKUP(B34,'Списки участников'!A:K,3,FALSE))</f>
        <v/>
      </c>
      <c r="D34" s="551"/>
      <c r="E34" s="537"/>
      <c r="F34" s="552"/>
      <c r="I34" s="530"/>
      <c r="K34" s="530"/>
      <c r="L34" s="552"/>
      <c r="M34" s="546" t="s">
        <v>29</v>
      </c>
      <c r="N34" s="559"/>
      <c r="O34" s="563" t="str">
        <f>IF(N34="","",VLOOKUP(N34,'Списки участников'!A:K,3,FALSE))</f>
        <v/>
      </c>
      <c r="P34" s="549"/>
      <c r="Q34" s="885" t="str">
        <f>CONCATENATE(J3+2," ","м")</f>
        <v>3 м</v>
      </c>
      <c r="R34" s="529"/>
      <c r="T34" s="530"/>
      <c r="W34" s="530"/>
      <c r="X34" s="533"/>
      <c r="Y34" s="564"/>
      <c r="AB34" s="530"/>
      <c r="AC34" s="529"/>
      <c r="AD34" s="564"/>
      <c r="AE34" s="530"/>
      <c r="AF34" s="533"/>
    </row>
    <row r="35" spans="1:32" ht="15" customHeight="1" x14ac:dyDescent="0.2">
      <c r="E35" s="530"/>
      <c r="I35" s="530"/>
      <c r="J35" s="549" t="s">
        <v>900</v>
      </c>
      <c r="K35" s="565" t="str">
        <f>IF(K27="","",IF(K27=H23,H31,IF(K27=H31,H23,"Ошибка")))</f>
        <v/>
      </c>
      <c r="L35" s="563" t="str">
        <f>IF(K35="","",VLOOKUP(K35,'Списки участников'!A:K,3,FALSE))</f>
        <v/>
      </c>
      <c r="M35" s="551"/>
      <c r="O35" s="552"/>
      <c r="Q35" s="972"/>
      <c r="R35" s="529"/>
      <c r="T35" s="530"/>
      <c r="W35" s="530"/>
      <c r="Y35" s="530"/>
      <c r="Z35" s="533"/>
      <c r="AB35" s="543"/>
      <c r="AE35" s="530"/>
    </row>
    <row r="36" spans="1:32" ht="15" customHeight="1" x14ac:dyDescent="0.2">
      <c r="E36" s="530"/>
      <c r="G36" s="549" t="s">
        <v>892</v>
      </c>
      <c r="H36" s="565"/>
      <c r="I36" s="563" t="str">
        <f>IF(H36="","",VLOOKUP(H36,'Списки участников'!A:K,3,FALSE))</f>
        <v/>
      </c>
      <c r="J36" s="549"/>
      <c r="K36" s="530"/>
      <c r="L36" s="552"/>
      <c r="M36" s="536" t="s">
        <v>904</v>
      </c>
      <c r="N36" s="562" t="str">
        <f>IF(N34="","",IF(N34=K33,K35,IF(N34=K35,K33,"Ошибка")))</f>
        <v/>
      </c>
      <c r="O36" s="563" t="str">
        <f>IF(N36="","",VLOOKUP(N36,'Списки участников'!A:K,3,FALSE))</f>
        <v/>
      </c>
      <c r="P36" s="549"/>
      <c r="Q36" s="885" t="str">
        <f>CONCATENATE(J3+3," ","м")</f>
        <v>4 м</v>
      </c>
      <c r="R36" s="529"/>
      <c r="T36" s="530"/>
      <c r="W36" s="530"/>
      <c r="X36" s="533"/>
      <c r="Y36" s="564"/>
      <c r="AB36" s="530"/>
      <c r="AE36" s="530"/>
    </row>
    <row r="37" spans="1:32" ht="15" customHeight="1" x14ac:dyDescent="0.2">
      <c r="E37" s="530"/>
      <c r="I37" s="552"/>
      <c r="J37" s="546" t="s">
        <v>13</v>
      </c>
      <c r="K37" s="567"/>
      <c r="L37" s="563" t="str">
        <f>IF(K37="","",VLOOKUP(K37,'Списки участников'!A:K,3,FALSE))</f>
        <v/>
      </c>
      <c r="M37" s="549"/>
      <c r="O37" s="552"/>
      <c r="Q37" s="972"/>
      <c r="R37" s="529"/>
      <c r="T37" s="530"/>
      <c r="W37" s="530"/>
      <c r="Y37" s="530"/>
      <c r="AB37" s="530"/>
      <c r="AC37" s="533"/>
      <c r="AD37" s="543"/>
      <c r="AE37" s="530"/>
      <c r="AF37" s="533"/>
    </row>
    <row r="38" spans="1:32" ht="15" customHeight="1" x14ac:dyDescent="0.2">
      <c r="E38" s="530"/>
      <c r="G38" s="549" t="s">
        <v>893</v>
      </c>
      <c r="H38" s="566" t="str">
        <f>IF(H15="","",IF(H15=E13,E17,IF(H15=E17,E13,"Ошибка")))</f>
        <v/>
      </c>
      <c r="I38" s="563" t="str">
        <f>IF(H38="","",VLOOKUP(H38,'Списки участников'!A:K,3,FALSE))</f>
        <v/>
      </c>
      <c r="J38" s="551"/>
      <c r="K38" s="530"/>
      <c r="L38" s="552"/>
      <c r="M38" s="553"/>
      <c r="O38" s="552"/>
      <c r="Q38" s="972"/>
      <c r="R38" s="529"/>
      <c r="T38" s="530"/>
      <c r="W38" s="530"/>
      <c r="X38" s="533"/>
      <c r="Y38" s="564"/>
      <c r="AB38" s="530"/>
      <c r="AE38" s="530"/>
    </row>
    <row r="39" spans="1:32" ht="15" customHeight="1" x14ac:dyDescent="0.2">
      <c r="E39" s="530"/>
      <c r="I39" s="552"/>
      <c r="K39" s="530"/>
      <c r="L39" s="552"/>
      <c r="M39" s="557" t="s">
        <v>31</v>
      </c>
      <c r="N39" s="568"/>
      <c r="O39" s="563" t="str">
        <f>IF(N39="","",VLOOKUP(N39,'Списки участников'!A:K,3,FALSE))</f>
        <v/>
      </c>
      <c r="P39" s="549"/>
      <c r="Q39" s="885" t="str">
        <f>CONCATENATE(J3+4," ","м")</f>
        <v>5 м</v>
      </c>
      <c r="R39" s="529"/>
      <c r="T39" s="530"/>
      <c r="W39" s="530"/>
      <c r="Y39" s="530"/>
      <c r="Z39" s="533"/>
      <c r="AB39" s="543"/>
      <c r="AE39" s="530"/>
    </row>
    <row r="40" spans="1:32" ht="15" customHeight="1" x14ac:dyDescent="0.2">
      <c r="E40" s="530"/>
      <c r="G40" s="549" t="s">
        <v>2</v>
      </c>
      <c r="H40" s="565" t="str">
        <f>IF(H23="","",IF(H23=E21,E25,IF(H23=E25,E21,"Ошибка")))</f>
        <v/>
      </c>
      <c r="I40" s="563" t="str">
        <f>IF(H40="","",VLOOKUP(H40,'Списки участников'!A:K,3,FALSE))</f>
        <v/>
      </c>
      <c r="J40" s="549"/>
      <c r="K40" s="530"/>
      <c r="L40" s="552"/>
      <c r="M40" s="556"/>
      <c r="O40" s="552"/>
      <c r="Q40" s="972"/>
      <c r="R40" s="529"/>
      <c r="T40" s="530"/>
      <c r="W40" s="530"/>
      <c r="X40" s="533"/>
      <c r="Y40" s="564"/>
      <c r="AB40" s="530"/>
      <c r="AC40" s="529"/>
      <c r="AD40" s="560"/>
      <c r="AE40" s="530"/>
      <c r="AF40" s="533"/>
    </row>
    <row r="41" spans="1:32" ht="15" customHeight="1" x14ac:dyDescent="0.2">
      <c r="E41" s="530"/>
      <c r="I41" s="552"/>
      <c r="J41" s="546" t="s">
        <v>32</v>
      </c>
      <c r="K41" s="567"/>
      <c r="L41" s="563" t="str">
        <f>IF(K41="","",VLOOKUP(K41,'Списки участников'!A:K,3,FALSE))</f>
        <v/>
      </c>
      <c r="M41" s="551"/>
      <c r="O41" s="552"/>
      <c r="Q41" s="972"/>
      <c r="R41" s="529"/>
      <c r="T41" s="530"/>
      <c r="W41" s="530"/>
      <c r="Y41" s="530"/>
      <c r="AA41" s="533"/>
      <c r="AB41" s="564"/>
      <c r="AE41" s="530"/>
    </row>
    <row r="42" spans="1:32" ht="15" customHeight="1" x14ac:dyDescent="0.2">
      <c r="E42" s="530"/>
      <c r="G42" s="549" t="s">
        <v>895</v>
      </c>
      <c r="H42" s="565"/>
      <c r="I42" s="563" t="str">
        <f>IF(H42="","",VLOOKUP(H42,'Списки участников'!A:K,3,FALSE))</f>
        <v/>
      </c>
      <c r="J42" s="551"/>
      <c r="K42" s="530"/>
      <c r="L42" s="552"/>
      <c r="M42" s="536" t="s">
        <v>70</v>
      </c>
      <c r="N42" s="569" t="str">
        <f>IF(N39="","",IF(N39=K37,K41,IF(N39=K41,K37,"Ошибка")))</f>
        <v/>
      </c>
      <c r="O42" s="563" t="str">
        <f>IF(N42="","",VLOOKUP(N42,'Списки участников'!A:K,3,FALSE))</f>
        <v/>
      </c>
      <c r="P42" s="549"/>
      <c r="Q42" s="885" t="str">
        <f>CONCATENATE(J3+5," ","м")</f>
        <v>6 м</v>
      </c>
      <c r="R42" s="529"/>
      <c r="T42" s="530"/>
      <c r="W42" s="530"/>
      <c r="Y42" s="530"/>
      <c r="AB42" s="530"/>
      <c r="AC42" s="533"/>
      <c r="AD42" s="564"/>
      <c r="AE42" s="530"/>
      <c r="AF42" s="533"/>
    </row>
    <row r="43" spans="1:32" ht="15" customHeight="1" x14ac:dyDescent="0.2">
      <c r="E43" s="530"/>
      <c r="I43" s="552"/>
      <c r="J43" s="570" t="s">
        <v>882</v>
      </c>
      <c r="K43" s="565"/>
      <c r="L43" s="563" t="str">
        <f>IF(K43="","",VLOOKUP(K43,'Списки участников'!A:K,3,FALSE))</f>
        <v/>
      </c>
      <c r="M43" s="549"/>
      <c r="O43" s="552"/>
      <c r="Q43" s="972"/>
      <c r="R43" s="529"/>
      <c r="T43" s="530"/>
      <c r="W43" s="530"/>
      <c r="Y43" s="530"/>
      <c r="AA43" s="533"/>
      <c r="AB43" s="564"/>
      <c r="AE43" s="530"/>
    </row>
    <row r="44" spans="1:32" ht="15" customHeight="1" x14ac:dyDescent="0.2">
      <c r="E44" s="530"/>
      <c r="I44" s="552"/>
      <c r="K44" s="530"/>
      <c r="L44" s="552"/>
      <c r="M44" s="546" t="s">
        <v>34</v>
      </c>
      <c r="N44" s="568"/>
      <c r="O44" s="563" t="str">
        <f>IF(N44="","",VLOOKUP(N44,'Списки участников'!A:K,3,FALSE))</f>
        <v/>
      </c>
      <c r="P44" s="549"/>
      <c r="Q44" s="885" t="str">
        <f>CONCATENATE(J3+6," ","м")</f>
        <v>7 м</v>
      </c>
      <c r="R44" s="529"/>
      <c r="T44" s="530"/>
      <c r="U44" s="533"/>
      <c r="V44" s="564"/>
      <c r="W44" s="530"/>
      <c r="Y44" s="530"/>
      <c r="AB44" s="530"/>
      <c r="AC44" s="529"/>
      <c r="AD44" s="560"/>
      <c r="AE44" s="530"/>
      <c r="AF44" s="533"/>
    </row>
    <row r="45" spans="1:32" ht="15" customHeight="1" x14ac:dyDescent="0.2">
      <c r="E45" s="530"/>
      <c r="I45" s="552"/>
      <c r="J45" s="535" t="s">
        <v>885</v>
      </c>
      <c r="K45" s="565"/>
      <c r="L45" s="563" t="str">
        <f>IF(K45="","",VLOOKUP(K45,'Списки участников'!A:K,3,FALSE))</f>
        <v/>
      </c>
      <c r="M45" s="551"/>
      <c r="O45" s="552"/>
      <c r="Q45" s="972"/>
      <c r="R45" s="529"/>
      <c r="T45" s="530"/>
      <c r="W45" s="533"/>
      <c r="Y45" s="543"/>
      <c r="AB45" s="530"/>
      <c r="AE45" s="530"/>
    </row>
    <row r="46" spans="1:32" ht="15" customHeight="1" x14ac:dyDescent="0.2">
      <c r="D46" s="530"/>
      <c r="E46" s="971"/>
      <c r="F46" s="967" t="str">
        <f>IF(E46="","",VLOOKUP(E46,'Списки участников'!A:K,3,FALSE))</f>
        <v/>
      </c>
      <c r="G46" s="530"/>
      <c r="I46" s="552"/>
      <c r="K46" s="530"/>
      <c r="L46" s="552"/>
      <c r="M46" s="536" t="s">
        <v>888</v>
      </c>
      <c r="N46" s="569" t="str">
        <f>IF(N44="","",IF(N44=K43,K45,IF(N44=K45,K43,"Ошибка")))</f>
        <v/>
      </c>
      <c r="O46" s="967" t="str">
        <f>IF(N46="","",VLOOKUP(N46,'Списки участников'!A:K,3,FALSE))</f>
        <v/>
      </c>
      <c r="Q46" s="968" t="str">
        <f>CONCATENATE(J3+7," ","м")</f>
        <v>8 м</v>
      </c>
      <c r="R46" s="529"/>
      <c r="T46" s="530"/>
      <c r="U46" s="533"/>
      <c r="V46" s="564"/>
      <c r="W46" s="530"/>
      <c r="Y46" s="530"/>
      <c r="AB46" s="530"/>
      <c r="AE46" s="530"/>
    </row>
    <row r="47" spans="1:32" ht="15" customHeight="1" x14ac:dyDescent="0.2">
      <c r="C47" s="530"/>
      <c r="D47" s="530"/>
      <c r="E47" s="530"/>
      <c r="F47" s="552"/>
      <c r="G47" s="533"/>
      <c r="H47" s="1004"/>
      <c r="I47" s="967"/>
      <c r="J47" s="530"/>
      <c r="K47" s="530"/>
      <c r="L47" s="552"/>
      <c r="O47" s="552"/>
      <c r="Q47" s="973"/>
      <c r="R47" s="529"/>
      <c r="T47" s="530"/>
      <c r="W47" s="530"/>
      <c r="Y47" s="530"/>
      <c r="Z47" s="533"/>
      <c r="AB47" s="543"/>
      <c r="AE47" s="530"/>
    </row>
    <row r="48" spans="1:32" ht="15" customHeight="1" x14ac:dyDescent="0.2">
      <c r="C48" s="530"/>
      <c r="D48" s="530"/>
      <c r="E48" s="530"/>
      <c r="G48" s="530"/>
      <c r="I48" s="530"/>
      <c r="J48" s="530"/>
      <c r="K48" s="530"/>
      <c r="L48" s="552"/>
      <c r="M48" s="529"/>
      <c r="N48" s="1003"/>
      <c r="O48" s="967"/>
      <c r="Q48" s="968"/>
      <c r="R48" s="529"/>
      <c r="T48" s="530"/>
      <c r="W48" s="530"/>
      <c r="Y48" s="530"/>
      <c r="AB48" s="530"/>
      <c r="AE48" s="530"/>
    </row>
    <row r="49" spans="3:31" ht="10.35" customHeight="1" x14ac:dyDescent="0.2">
      <c r="H49" s="1145"/>
      <c r="I49" s="1145"/>
      <c r="J49" s="573"/>
      <c r="R49" s="529"/>
      <c r="T49" s="530"/>
      <c r="V49" s="574"/>
      <c r="W49" s="530"/>
      <c r="Y49" s="530"/>
      <c r="AB49" s="530"/>
      <c r="AE49" s="530"/>
    </row>
    <row r="50" spans="3:31" ht="14.25" customHeight="1" x14ac:dyDescent="0.2">
      <c r="C50" s="575" t="s">
        <v>760</v>
      </c>
      <c r="H50" s="1141"/>
      <c r="I50" s="1141"/>
      <c r="J50" s="1141"/>
      <c r="R50" s="529"/>
      <c r="T50" s="530"/>
      <c r="W50" s="530"/>
      <c r="Y50" s="530"/>
      <c r="AB50" s="530"/>
      <c r="AE50" s="530"/>
    </row>
    <row r="51" spans="3:31" ht="10.35" customHeight="1" x14ac:dyDescent="0.2">
      <c r="C51" s="552"/>
      <c r="J51" s="573"/>
      <c r="R51" s="530"/>
      <c r="T51" s="530"/>
      <c r="V51" s="574"/>
      <c r="W51" s="530"/>
      <c r="Y51" s="530"/>
      <c r="AB51" s="530"/>
      <c r="AE51" s="530"/>
    </row>
    <row r="52" spans="3:31" ht="15.75" customHeight="1" x14ac:dyDescent="0.2">
      <c r="C52" s="575" t="s">
        <v>761</v>
      </c>
      <c r="H52" s="1141"/>
      <c r="I52" s="1141"/>
      <c r="J52" s="1141"/>
      <c r="R52" s="530"/>
      <c r="T52" s="530"/>
      <c r="W52" s="530"/>
      <c r="Y52" s="530"/>
      <c r="AB52" s="530"/>
      <c r="AE52" s="530"/>
    </row>
    <row r="53" spans="3:31" ht="10.35" customHeight="1" x14ac:dyDescent="0.2">
      <c r="C53" s="530"/>
      <c r="R53" s="530"/>
      <c r="T53" s="530"/>
      <c r="W53" s="530"/>
      <c r="Y53" s="530"/>
      <c r="AB53" s="530"/>
      <c r="AE53" s="530"/>
    </row>
    <row r="54" spans="3:31" ht="10.35" customHeight="1" x14ac:dyDescent="0.2">
      <c r="R54" s="530"/>
      <c r="T54" s="530"/>
      <c r="W54" s="530"/>
      <c r="Y54" s="530"/>
      <c r="AB54" s="530"/>
      <c r="AE54" s="530"/>
    </row>
    <row r="55" spans="3:31" ht="10.35" customHeight="1" x14ac:dyDescent="0.2">
      <c r="R55" s="530"/>
      <c r="T55" s="530"/>
      <c r="W55" s="530"/>
      <c r="Y55" s="530"/>
      <c r="AB55" s="530"/>
      <c r="AE55" s="530"/>
    </row>
  </sheetData>
  <mergeCells count="7">
    <mergeCell ref="H52:J52"/>
    <mergeCell ref="A1:Q1"/>
    <mergeCell ref="A2:Q2"/>
    <mergeCell ref="A3:E3"/>
    <mergeCell ref="M3:Q3"/>
    <mergeCell ref="H49:I49"/>
    <mergeCell ref="H50:J50"/>
  </mergeCells>
  <pageMargins left="0.59055118110236227" right="0.59055118110236227" top="0" bottom="0.39370078740157483" header="0.39370078740157483" footer="0.51181102362204722"/>
  <pageSetup paperSize="9" scale="70" orientation="portrait" r:id="rId1"/>
  <headerFooter alignWithMargins="0">
    <oddHeader xml:space="preserve">&amp;R
</oddHeader>
  </headerFooter>
  <rowBreaks count="1" manualBreakCount="1">
    <brk id="53" max="15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Z55"/>
  <sheetViews>
    <sheetView view="pageBreakPreview" zoomScale="90" zoomScaleNormal="60" zoomScaleSheetLayoutView="90" workbookViewId="0">
      <selection activeCell="V6" sqref="V6"/>
    </sheetView>
  </sheetViews>
  <sheetFormatPr defaultColWidth="21.83203125" defaultRowHeight="10.35" customHeight="1" outlineLevelCol="1" x14ac:dyDescent="0.2"/>
  <cols>
    <col min="1" max="1" width="3.1640625" style="536" customWidth="1"/>
    <col min="2" max="2" width="4.33203125" style="536" hidden="1" customWidth="1" outlineLevel="1"/>
    <col min="3" max="3" width="25" style="535" customWidth="1" collapsed="1"/>
    <col min="4" max="4" width="3.1640625" style="535" customWidth="1"/>
    <col min="5" max="5" width="4.6640625" style="535" hidden="1" customWidth="1" outlineLevel="1"/>
    <col min="6" max="6" width="21.5" style="530" customWidth="1" collapsed="1"/>
    <col min="7" max="7" width="3.1640625" style="535" customWidth="1"/>
    <col min="8" max="8" width="5.6640625" style="530" hidden="1" customWidth="1" outlineLevel="1"/>
    <col min="9" max="9" width="21.5" style="535" customWidth="1" collapsed="1"/>
    <col min="10" max="10" width="3.1640625" style="535" customWidth="1"/>
    <col min="11" max="11" width="4.33203125" style="535" hidden="1" customWidth="1" outlineLevel="1"/>
    <col min="12" max="12" width="21.6640625" style="530" customWidth="1" collapsed="1"/>
    <col min="13" max="13" width="3.33203125" style="530" customWidth="1"/>
    <col min="14" max="14" width="5.33203125" style="530" hidden="1" customWidth="1" outlineLevel="1"/>
    <col min="15" max="15" width="21.5" style="535" customWidth="1" collapsed="1"/>
    <col min="16" max="16" width="3.83203125" style="530" customWidth="1"/>
    <col min="17" max="17" width="4.33203125" style="530" customWidth="1"/>
    <col min="18" max="18" width="3.1640625" style="535" customWidth="1"/>
    <col min="19" max="19" width="16" style="530" customWidth="1"/>
    <col min="20" max="20" width="3.1640625" style="535" customWidth="1"/>
    <col min="21" max="21" width="3.1640625" style="530" customWidth="1"/>
    <col min="22" max="22" width="16" style="530" customWidth="1"/>
    <col min="23" max="23" width="3.1640625" style="535" customWidth="1"/>
    <col min="24" max="24" width="3.1640625" style="530" customWidth="1"/>
    <col min="25" max="25" width="16" style="535" customWidth="1"/>
    <col min="26" max="27" width="3.1640625" style="530" customWidth="1"/>
    <col min="28" max="28" width="15.5" style="535" customWidth="1"/>
    <col min="29" max="29" width="3.1640625" style="530" customWidth="1"/>
    <col min="30" max="30" width="16.1640625" style="530" customWidth="1"/>
    <col min="31" max="31" width="3.1640625" style="535" customWidth="1"/>
    <col min="32" max="32" width="3.6640625" style="530" customWidth="1"/>
    <col min="33" max="33" width="21.83203125" style="530" customWidth="1"/>
    <col min="34" max="34" width="21.83203125" style="535" customWidth="1"/>
    <col min="35" max="36" width="21.83203125" style="530" customWidth="1"/>
    <col min="37" max="41" width="21.83203125" style="535" customWidth="1"/>
    <col min="42" max="43" width="21.83203125" style="530" customWidth="1"/>
    <col min="44" max="44" width="21.83203125" style="535" customWidth="1"/>
    <col min="45" max="46" width="21.83203125" style="530" customWidth="1"/>
    <col min="47" max="47" width="21.83203125" style="535" customWidth="1"/>
    <col min="48" max="49" width="21.83203125" style="530" customWidth="1"/>
    <col min="50" max="50" width="21.83203125" style="535" customWidth="1"/>
    <col min="51" max="52" width="21.83203125" style="530" customWidth="1"/>
    <col min="53" max="16384" width="21.83203125" style="535"/>
  </cols>
  <sheetData>
    <row r="1" spans="1:31" ht="48.75" customHeight="1" x14ac:dyDescent="0.2">
      <c r="A1" s="1429" t="str">
        <f>'Списки участников'!A1</f>
        <v xml:space="preserve">X Спартакиада
среди предприятий Нижегородской области ФСК "Профсоюзов",
под девизом "Будь спортивным - будь успешным!"
</v>
      </c>
      <c r="B1" s="1429"/>
      <c r="C1" s="1429"/>
      <c r="D1" s="1429"/>
      <c r="E1" s="1429"/>
      <c r="F1" s="1429"/>
      <c r="G1" s="1429"/>
      <c r="H1" s="1429"/>
      <c r="I1" s="1429"/>
      <c r="J1" s="1429"/>
      <c r="K1" s="1429"/>
      <c r="L1" s="1429"/>
      <c r="M1" s="1429"/>
      <c r="N1" s="1429"/>
      <c r="O1" s="1429"/>
      <c r="P1" s="1429"/>
      <c r="Q1" s="1429"/>
      <c r="R1" s="529"/>
      <c r="T1" s="530"/>
      <c r="W1" s="531"/>
      <c r="X1" s="532"/>
      <c r="Y1" s="533"/>
      <c r="AB1" s="530"/>
      <c r="AD1" s="534"/>
      <c r="AE1" s="530"/>
    </row>
    <row r="2" spans="1:31" ht="14.25" customHeight="1" x14ac:dyDescent="0.2">
      <c r="A2" s="1430"/>
      <c r="B2" s="1430"/>
      <c r="C2" s="1430"/>
      <c r="D2" s="1430"/>
      <c r="E2" s="1430"/>
      <c r="F2" s="1430"/>
      <c r="G2" s="1430"/>
      <c r="H2" s="1430"/>
      <c r="I2" s="1430"/>
      <c r="J2" s="1430"/>
      <c r="K2" s="1430"/>
      <c r="L2" s="1430"/>
      <c r="M2" s="1430"/>
      <c r="N2" s="1430"/>
      <c r="O2" s="1430"/>
      <c r="P2" s="1430"/>
      <c r="Q2" s="1430"/>
      <c r="R2" s="529"/>
      <c r="T2" s="530"/>
      <c r="W2" s="531"/>
      <c r="X2" s="532"/>
      <c r="Y2" s="533"/>
      <c r="AB2" s="530"/>
      <c r="AE2" s="530"/>
    </row>
    <row r="3" spans="1:31" ht="17.25" customHeight="1" x14ac:dyDescent="0.2">
      <c r="A3" s="1266" t="str">
        <f>'Списки участников'!C3</f>
        <v>22 октября 2016 г.</v>
      </c>
      <c r="B3" s="1266"/>
      <c r="C3" s="1266"/>
      <c r="D3" s="1266"/>
      <c r="E3" s="1266"/>
      <c r="I3" s="881" t="s">
        <v>2727</v>
      </c>
      <c r="J3" s="882" t="s">
        <v>38</v>
      </c>
      <c r="K3" s="883"/>
      <c r="L3" s="884" t="s">
        <v>2736</v>
      </c>
      <c r="M3" s="1266" t="str">
        <f>'Списки участников'!F3</f>
        <v xml:space="preserve">                                               г. Н. Новгород</v>
      </c>
      <c r="N3" s="1266"/>
      <c r="O3" s="1266"/>
      <c r="P3" s="1266"/>
      <c r="Q3" s="1266"/>
      <c r="R3" s="529"/>
      <c r="T3" s="530"/>
      <c r="W3" s="530"/>
      <c r="Y3" s="530"/>
      <c r="AB3" s="530"/>
      <c r="AE3" s="530"/>
    </row>
    <row r="4" spans="1:31" ht="15" customHeight="1" x14ac:dyDescent="0.2">
      <c r="A4" s="538">
        <v>1</v>
      </c>
      <c r="B4" s="539"/>
      <c r="C4" s="540" t="str">
        <f>IF(B4="","",VLOOKUP(B4,'Списки участников'!A:K,3,FALSE))</f>
        <v/>
      </c>
      <c r="E4" s="541"/>
      <c r="F4" s="535"/>
      <c r="G4" s="536"/>
      <c r="H4" s="536"/>
      <c r="I4" s="542"/>
      <c r="J4" s="536"/>
      <c r="K4" s="536"/>
      <c r="L4" s="535"/>
      <c r="M4" s="535"/>
      <c r="N4" s="535"/>
      <c r="P4" s="535"/>
      <c r="Q4" s="535"/>
      <c r="R4" s="533"/>
      <c r="S4" s="543"/>
      <c r="T4" s="530"/>
      <c r="W4" s="530"/>
      <c r="Y4" s="530"/>
      <c r="AB4" s="530"/>
      <c r="AE4" s="530"/>
    </row>
    <row r="5" spans="1:31" ht="15" customHeight="1" x14ac:dyDescent="0.2">
      <c r="B5" s="544"/>
      <c r="C5" s="545"/>
      <c r="D5" s="546" t="s">
        <v>10</v>
      </c>
      <c r="E5" s="547">
        <v>2</v>
      </c>
      <c r="F5" s="548" t="str">
        <f>IF(E5="","",VLOOKUP(E5,'Списки участников'!A:K,3,FALSE))</f>
        <v>РОЙТМАН Дмитрий</v>
      </c>
      <c r="G5" s="549"/>
      <c r="I5" s="530"/>
      <c r="K5" s="530"/>
      <c r="M5" s="535"/>
      <c r="N5" s="535"/>
      <c r="O5" s="530"/>
      <c r="Q5" s="535"/>
      <c r="R5" s="529"/>
      <c r="T5" s="530"/>
      <c r="W5" s="533"/>
      <c r="Y5" s="537"/>
      <c r="AB5" s="530"/>
      <c r="AE5" s="530"/>
    </row>
    <row r="6" spans="1:31" ht="15" customHeight="1" x14ac:dyDescent="0.2">
      <c r="A6" s="550" t="s">
        <v>41</v>
      </c>
      <c r="B6" s="539"/>
      <c r="C6" s="540" t="str">
        <f>IF(B6="","",VLOOKUP(B6,'Списки участников'!A:K,3,FALSE))</f>
        <v/>
      </c>
      <c r="D6" s="551"/>
      <c r="E6" s="543"/>
      <c r="F6" s="552"/>
      <c r="G6" s="553"/>
      <c r="H6" s="537"/>
      <c r="I6" s="530"/>
      <c r="K6" s="530"/>
      <c r="M6" s="535"/>
      <c r="N6" s="535"/>
      <c r="O6" s="530"/>
      <c r="Q6" s="535"/>
      <c r="R6" s="533"/>
      <c r="S6" s="543"/>
      <c r="T6" s="530"/>
      <c r="W6" s="530"/>
      <c r="Y6" s="530"/>
      <c r="AB6" s="530"/>
      <c r="AE6" s="530"/>
    </row>
    <row r="7" spans="1:31" ht="15" customHeight="1" x14ac:dyDescent="0.2">
      <c r="B7" s="544"/>
      <c r="C7" s="554"/>
      <c r="E7" s="543"/>
      <c r="F7" s="552"/>
      <c r="G7" s="555">
        <v>9</v>
      </c>
      <c r="H7" s="547">
        <v>2</v>
      </c>
      <c r="I7" s="548" t="str">
        <f>IF(H7="","",VLOOKUP(H7,'Списки участников'!A:K,3,FALSE))</f>
        <v>РОЙТМАН Дмитрий</v>
      </c>
      <c r="J7" s="549"/>
      <c r="K7" s="530"/>
      <c r="M7" s="535"/>
      <c r="N7" s="535"/>
      <c r="O7" s="530"/>
      <c r="Q7" s="535"/>
      <c r="R7" s="529"/>
      <c r="T7" s="533"/>
      <c r="V7" s="543"/>
      <c r="W7" s="530"/>
      <c r="Y7" s="530"/>
      <c r="AB7" s="530"/>
      <c r="AE7" s="530"/>
    </row>
    <row r="8" spans="1:31" ht="15" customHeight="1" x14ac:dyDescent="0.2">
      <c r="A8" s="550" t="s">
        <v>35</v>
      </c>
      <c r="B8" s="539"/>
      <c r="C8" s="540" t="str">
        <f>IF(B8="","",VLOOKUP(B8,'Списки участников'!A:K,3,FALSE))</f>
        <v/>
      </c>
      <c r="D8" s="549"/>
      <c r="E8" s="543"/>
      <c r="F8" s="552"/>
      <c r="G8" s="556"/>
      <c r="H8" s="537"/>
      <c r="I8" s="552" t="s">
        <v>2725</v>
      </c>
      <c r="J8" s="553"/>
      <c r="K8" s="537"/>
      <c r="M8" s="535"/>
      <c r="N8" s="535"/>
      <c r="O8" s="530"/>
      <c r="Q8" s="535"/>
      <c r="R8" s="533"/>
      <c r="S8" s="543"/>
      <c r="T8" s="530"/>
      <c r="W8" s="530"/>
      <c r="Y8" s="530"/>
      <c r="AB8" s="530"/>
      <c r="AE8" s="530"/>
    </row>
    <row r="9" spans="1:31" ht="15" customHeight="1" x14ac:dyDescent="0.2">
      <c r="B9" s="544"/>
      <c r="C9" s="554"/>
      <c r="D9" s="546" t="s">
        <v>41</v>
      </c>
      <c r="E9" s="547">
        <v>21</v>
      </c>
      <c r="F9" s="548" t="str">
        <f>IF(E9="","",VLOOKUP(E9,'Списки участников'!A:K,3,FALSE))</f>
        <v>КОПНОВ Павел</v>
      </c>
      <c r="G9" s="551"/>
      <c r="H9" s="537"/>
      <c r="I9" s="552"/>
      <c r="J9" s="556"/>
      <c r="K9" s="537"/>
      <c r="M9" s="535"/>
      <c r="N9" s="535"/>
      <c r="O9" s="530"/>
      <c r="Q9" s="535"/>
      <c r="R9" s="529"/>
      <c r="T9" s="530"/>
      <c r="W9" s="530"/>
      <c r="Y9" s="530"/>
      <c r="Z9" s="533"/>
      <c r="AB9" s="537"/>
      <c r="AE9" s="530"/>
    </row>
    <row r="10" spans="1:31" ht="15" customHeight="1" x14ac:dyDescent="0.2">
      <c r="A10" s="550" t="s">
        <v>15</v>
      </c>
      <c r="B10" s="539"/>
      <c r="C10" s="540" t="str">
        <f>IF(B10="","",VLOOKUP(B10,'Списки участников'!A:K,3,FALSE))</f>
        <v/>
      </c>
      <c r="D10" s="551"/>
      <c r="E10" s="543"/>
      <c r="F10" s="552"/>
      <c r="H10" s="537"/>
      <c r="I10" s="552"/>
      <c r="J10" s="556"/>
      <c r="K10" s="537"/>
      <c r="M10" s="535"/>
      <c r="N10" s="535"/>
      <c r="O10" s="530"/>
      <c r="Q10" s="535"/>
      <c r="R10" s="533"/>
      <c r="S10" s="543"/>
      <c r="T10" s="530"/>
      <c r="W10" s="530"/>
      <c r="Y10" s="530"/>
      <c r="AB10" s="530"/>
      <c r="AE10" s="530"/>
    </row>
    <row r="11" spans="1:31" ht="15" customHeight="1" x14ac:dyDescent="0.2">
      <c r="B11" s="544"/>
      <c r="C11" s="554"/>
      <c r="E11" s="543"/>
      <c r="F11" s="552"/>
      <c r="H11" s="537"/>
      <c r="I11" s="552"/>
      <c r="J11" s="557" t="s">
        <v>23</v>
      </c>
      <c r="K11" s="547">
        <v>2</v>
      </c>
      <c r="L11" s="548" t="str">
        <f>IF(K11="","",VLOOKUP(K11,'Списки участников'!A:K,3,FALSE))</f>
        <v>РОЙТМАН Дмитрий</v>
      </c>
      <c r="M11" s="549"/>
      <c r="O11" s="530"/>
      <c r="Q11" s="535"/>
      <c r="R11" s="529"/>
      <c r="T11" s="533"/>
      <c r="V11" s="543"/>
      <c r="W11" s="530"/>
      <c r="Y11" s="530"/>
      <c r="AB11" s="530"/>
      <c r="AE11" s="530"/>
    </row>
    <row r="12" spans="1:31" ht="15" customHeight="1" x14ac:dyDescent="0.2">
      <c r="A12" s="550" t="s">
        <v>37</v>
      </c>
      <c r="B12" s="539"/>
      <c r="C12" s="540" t="str">
        <f>IF(B12="","",VLOOKUP(B12,'Списки участников'!A:K,3,FALSE))</f>
        <v/>
      </c>
      <c r="D12" s="549"/>
      <c r="E12" s="543"/>
      <c r="F12" s="552"/>
      <c r="H12" s="537"/>
      <c r="I12" s="552"/>
      <c r="J12" s="556"/>
      <c r="K12" s="537"/>
      <c r="L12" s="552" t="s">
        <v>2726</v>
      </c>
      <c r="M12" s="553"/>
      <c r="O12" s="530"/>
      <c r="Q12" s="535"/>
      <c r="R12" s="533"/>
      <c r="S12" s="543"/>
      <c r="T12" s="530"/>
      <c r="W12" s="530"/>
      <c r="Y12" s="530"/>
      <c r="AB12" s="530"/>
      <c r="AE12" s="530"/>
    </row>
    <row r="13" spans="1:31" ht="15" customHeight="1" x14ac:dyDescent="0.2">
      <c r="B13" s="544"/>
      <c r="C13" s="554"/>
      <c r="D13" s="546" t="s">
        <v>35</v>
      </c>
      <c r="E13" s="547">
        <v>47</v>
      </c>
      <c r="F13" s="548" t="str">
        <f>IF(E13="","",VLOOKUP(E13,'Списки участников'!A:K,3,FALSE))</f>
        <v>БЕЛОУС Денис</v>
      </c>
      <c r="G13" s="549"/>
      <c r="H13" s="537"/>
      <c r="I13" s="552"/>
      <c r="J13" s="556"/>
      <c r="K13" s="537"/>
      <c r="L13" s="552"/>
      <c r="M13" s="556"/>
      <c r="O13" s="530"/>
      <c r="Q13" s="535"/>
      <c r="R13" s="529"/>
      <c r="T13" s="530"/>
      <c r="W13" s="533"/>
      <c r="Y13" s="543"/>
      <c r="AB13" s="530"/>
      <c r="AE13" s="530"/>
    </row>
    <row r="14" spans="1:31" ht="15" customHeight="1" x14ac:dyDescent="0.2">
      <c r="A14" s="550" t="s">
        <v>42</v>
      </c>
      <c r="B14" s="539"/>
      <c r="C14" s="540" t="str">
        <f>IF(B14="","",VLOOKUP(B14,'Списки участников'!A:K,3,FALSE))</f>
        <v/>
      </c>
      <c r="D14" s="551"/>
      <c r="E14" s="543"/>
      <c r="F14" s="552"/>
      <c r="G14" s="553"/>
      <c r="H14" s="537"/>
      <c r="I14" s="552"/>
      <c r="J14" s="556"/>
      <c r="K14" s="537"/>
      <c r="L14" s="552"/>
      <c r="M14" s="556"/>
      <c r="O14" s="530"/>
      <c r="Q14" s="535"/>
      <c r="R14" s="533"/>
      <c r="S14" s="543"/>
      <c r="T14" s="530"/>
      <c r="W14" s="530"/>
      <c r="Y14" s="530"/>
      <c r="AB14" s="530"/>
      <c r="AE14" s="530"/>
    </row>
    <row r="15" spans="1:31" ht="15" customHeight="1" x14ac:dyDescent="0.2">
      <c r="B15" s="544"/>
      <c r="C15" s="554"/>
      <c r="E15" s="543"/>
      <c r="F15" s="552"/>
      <c r="G15" s="557" t="s">
        <v>30</v>
      </c>
      <c r="H15" s="547">
        <v>47</v>
      </c>
      <c r="I15" s="548" t="str">
        <f>IF(H15="","",VLOOKUP(H15,'Списки участников'!A:K,3,FALSE))</f>
        <v>БЕЛОУС Денис</v>
      </c>
      <c r="J15" s="551"/>
      <c r="K15" s="537"/>
      <c r="L15" s="552"/>
      <c r="M15" s="556"/>
      <c r="O15" s="530"/>
      <c r="Q15" s="535"/>
      <c r="R15" s="529"/>
      <c r="T15" s="533"/>
      <c r="V15" s="543"/>
      <c r="W15" s="530"/>
      <c r="Y15" s="530"/>
      <c r="AB15" s="530"/>
      <c r="AE15" s="530"/>
    </row>
    <row r="16" spans="1:31" ht="15" customHeight="1" x14ac:dyDescent="0.2">
      <c r="A16" s="550" t="s">
        <v>28</v>
      </c>
      <c r="B16" s="539"/>
      <c r="C16" s="540" t="str">
        <f>IF(B16="","",VLOOKUP(B16,'Списки участников'!A:K,3,FALSE))</f>
        <v/>
      </c>
      <c r="D16" s="549"/>
      <c r="E16" s="543"/>
      <c r="F16" s="552"/>
      <c r="G16" s="556"/>
      <c r="H16" s="537"/>
      <c r="I16" s="552" t="s">
        <v>2726</v>
      </c>
      <c r="K16" s="537"/>
      <c r="L16" s="552"/>
      <c r="M16" s="556"/>
      <c r="O16" s="530"/>
      <c r="Q16" s="535"/>
      <c r="R16" s="533"/>
      <c r="S16" s="543"/>
      <c r="T16" s="530"/>
      <c r="W16" s="530"/>
      <c r="Y16" s="530"/>
      <c r="AB16" s="530"/>
      <c r="AE16" s="530"/>
    </row>
    <row r="17" spans="1:32" ht="15" customHeight="1" x14ac:dyDescent="0.2">
      <c r="B17" s="544"/>
      <c r="C17" s="554"/>
      <c r="D17" s="546" t="s">
        <v>15</v>
      </c>
      <c r="E17" s="547">
        <v>18</v>
      </c>
      <c r="F17" s="548" t="str">
        <f>IF(E17="","",VLOOKUP(E17,'Списки участников'!A:K,3,FALSE))</f>
        <v>ВОЛКОВ Валерий</v>
      </c>
      <c r="G17" s="551"/>
      <c r="H17" s="537"/>
      <c r="I17" s="552"/>
      <c r="K17" s="537"/>
      <c r="L17" s="552"/>
      <c r="M17" s="556"/>
      <c r="O17" s="530"/>
      <c r="Q17" s="535"/>
      <c r="R17" s="529"/>
      <c r="T17" s="530"/>
      <c r="W17" s="530"/>
      <c r="Y17" s="530"/>
      <c r="AB17" s="530"/>
      <c r="AC17" s="533"/>
      <c r="AD17" s="537"/>
      <c r="AE17" s="530"/>
      <c r="AF17" s="533"/>
    </row>
    <row r="18" spans="1:32" ht="15" customHeight="1" x14ac:dyDescent="0.2">
      <c r="A18" s="550" t="s">
        <v>22</v>
      </c>
      <c r="B18" s="539"/>
      <c r="C18" s="540" t="str">
        <f>IF(B18="","",VLOOKUP(B18,'Списки участников'!A:K,3,FALSE))</f>
        <v/>
      </c>
      <c r="D18" s="551"/>
      <c r="E18" s="543"/>
      <c r="F18" s="552"/>
      <c r="H18" s="537"/>
      <c r="I18" s="552"/>
      <c r="K18" s="537"/>
      <c r="L18" s="552"/>
      <c r="M18" s="556"/>
      <c r="O18" s="558"/>
      <c r="Q18" s="535"/>
      <c r="R18" s="533"/>
      <c r="S18" s="543"/>
      <c r="T18" s="530"/>
      <c r="W18" s="530"/>
      <c r="Y18" s="530"/>
      <c r="AB18" s="530"/>
      <c r="AE18" s="530"/>
    </row>
    <row r="19" spans="1:32" ht="15" customHeight="1" x14ac:dyDescent="0.2">
      <c r="B19" s="544"/>
      <c r="C19" s="554"/>
      <c r="E19" s="543"/>
      <c r="F19" s="552"/>
      <c r="H19" s="537"/>
      <c r="I19" s="552"/>
      <c r="K19" s="537"/>
      <c r="L19" s="552"/>
      <c r="M19" s="557" t="s">
        <v>12</v>
      </c>
      <c r="N19" s="559">
        <v>2</v>
      </c>
      <c r="O19" s="548" t="str">
        <f>IF(N19="","",VLOOKUP(N19,'Списки участников'!A:K,3,FALSE))</f>
        <v>РОЙТМАН Дмитрий</v>
      </c>
      <c r="P19" s="549"/>
      <c r="Q19" s="885" t="str">
        <f>CONCATENATE(J3," ","м")</f>
        <v>9 м</v>
      </c>
      <c r="R19" s="529"/>
      <c r="T19" s="533"/>
      <c r="V19" s="543"/>
      <c r="W19" s="530"/>
      <c r="Y19" s="530"/>
      <c r="AB19" s="530"/>
      <c r="AE19" s="530"/>
    </row>
    <row r="20" spans="1:32" ht="15" customHeight="1" x14ac:dyDescent="0.2">
      <c r="A20" s="550" t="s">
        <v>38</v>
      </c>
      <c r="B20" s="539"/>
      <c r="C20" s="540" t="str">
        <f>IF(B20="","",VLOOKUP(B20,'Списки участников'!A:K,3,FALSE))</f>
        <v/>
      </c>
      <c r="D20" s="549"/>
      <c r="E20" s="543"/>
      <c r="F20" s="552"/>
      <c r="H20" s="537"/>
      <c r="I20" s="552"/>
      <c r="K20" s="537"/>
      <c r="L20" s="552"/>
      <c r="M20" s="556"/>
      <c r="O20" s="552" t="s">
        <v>2725</v>
      </c>
      <c r="Q20" s="535"/>
      <c r="R20" s="533"/>
      <c r="S20" s="543"/>
      <c r="T20" s="530"/>
      <c r="W20" s="530"/>
      <c r="Y20" s="530"/>
      <c r="AB20" s="530"/>
      <c r="AE20" s="530"/>
    </row>
    <row r="21" spans="1:32" ht="15" customHeight="1" x14ac:dyDescent="0.2">
      <c r="B21" s="544"/>
      <c r="C21" s="554"/>
      <c r="D21" s="546" t="s">
        <v>37</v>
      </c>
      <c r="E21" s="547">
        <v>30</v>
      </c>
      <c r="F21" s="548" t="str">
        <f>IF(E21="","",VLOOKUP(E21,'Списки участников'!A:K,3,FALSE))</f>
        <v>ВОЛКОВ Евгений</v>
      </c>
      <c r="G21" s="549"/>
      <c r="H21" s="537"/>
      <c r="I21" s="552"/>
      <c r="K21" s="537"/>
      <c r="L21" s="552"/>
      <c r="M21" s="556"/>
      <c r="O21" s="552"/>
      <c r="Q21" s="535"/>
      <c r="R21" s="529"/>
      <c r="T21" s="530"/>
      <c r="W21" s="533"/>
      <c r="Y21" s="543"/>
      <c r="AB21" s="530"/>
      <c r="AE21" s="530"/>
    </row>
    <row r="22" spans="1:32" ht="15" customHeight="1" x14ac:dyDescent="0.2">
      <c r="A22" s="550" t="s">
        <v>30</v>
      </c>
      <c r="B22" s="539"/>
      <c r="C22" s="540" t="str">
        <f>IF(B22="","",VLOOKUP(B22,'Списки участников'!A:K,3,FALSE))</f>
        <v/>
      </c>
      <c r="D22" s="551"/>
      <c r="E22" s="543"/>
      <c r="F22" s="552"/>
      <c r="G22" s="553"/>
      <c r="H22" s="537"/>
      <c r="I22" s="552"/>
      <c r="K22" s="537"/>
      <c r="L22" s="552"/>
      <c r="M22" s="556"/>
      <c r="O22" s="552"/>
      <c r="Q22" s="535"/>
      <c r="R22" s="533"/>
      <c r="S22" s="543"/>
      <c r="T22" s="530"/>
      <c r="W22" s="530"/>
      <c r="Y22" s="530"/>
      <c r="AB22" s="530"/>
      <c r="AE22" s="530"/>
    </row>
    <row r="23" spans="1:32" ht="15" customHeight="1" x14ac:dyDescent="0.2">
      <c r="B23" s="544"/>
      <c r="C23" s="554"/>
      <c r="E23" s="543"/>
      <c r="F23" s="552"/>
      <c r="G23" s="557" t="s">
        <v>25</v>
      </c>
      <c r="H23" s="547">
        <v>33</v>
      </c>
      <c r="I23" s="548" t="str">
        <f>IF(H23="","",VLOOKUP(H23,'Списки участников'!A:K,3,FALSE))</f>
        <v>ГАЛАНОВ Максим</v>
      </c>
      <c r="J23" s="549"/>
      <c r="K23" s="537"/>
      <c r="L23" s="552"/>
      <c r="M23" s="556"/>
      <c r="O23" s="552"/>
      <c r="Q23" s="535"/>
      <c r="R23" s="529"/>
      <c r="T23" s="533"/>
      <c r="V23" s="543"/>
      <c r="W23" s="530"/>
      <c r="Y23" s="530"/>
      <c r="AB23" s="530"/>
      <c r="AE23" s="530"/>
    </row>
    <row r="24" spans="1:32" ht="15" customHeight="1" x14ac:dyDescent="0.2">
      <c r="A24" s="550" t="s">
        <v>25</v>
      </c>
      <c r="B24" s="539"/>
      <c r="C24" s="540" t="str">
        <f>IF(B24="","",VLOOKUP(B24,'Списки участников'!A:K,3,FALSE))</f>
        <v/>
      </c>
      <c r="D24" s="549"/>
      <c r="E24" s="543"/>
      <c r="F24" s="552"/>
      <c r="G24" s="556"/>
      <c r="H24" s="537"/>
      <c r="I24" s="552" t="s">
        <v>2725</v>
      </c>
      <c r="J24" s="553"/>
      <c r="K24" s="537"/>
      <c r="L24" s="552"/>
      <c r="M24" s="556"/>
      <c r="O24" s="552"/>
      <c r="Q24" s="535"/>
      <c r="R24" s="533"/>
      <c r="S24" s="543"/>
      <c r="T24" s="530"/>
      <c r="W24" s="530"/>
      <c r="Y24" s="530"/>
      <c r="AB24" s="530"/>
      <c r="AE24" s="530"/>
    </row>
    <row r="25" spans="1:32" ht="15" customHeight="1" x14ac:dyDescent="0.2">
      <c r="B25" s="544"/>
      <c r="C25" s="554"/>
      <c r="D25" s="546" t="s">
        <v>42</v>
      </c>
      <c r="E25" s="547">
        <v>33</v>
      </c>
      <c r="F25" s="548" t="str">
        <f>IF(E25="","",VLOOKUP(E25,'Списки участников'!A:K,3,FALSE))</f>
        <v>ГАЛАНОВ Максим</v>
      </c>
      <c r="G25" s="551"/>
      <c r="H25" s="537"/>
      <c r="I25" s="552"/>
      <c r="J25" s="556"/>
      <c r="K25" s="537"/>
      <c r="L25" s="552"/>
      <c r="M25" s="556"/>
      <c r="O25" s="552"/>
      <c r="Q25" s="535"/>
      <c r="R25" s="529"/>
      <c r="T25" s="530"/>
      <c r="W25" s="530"/>
      <c r="Y25" s="530"/>
      <c r="Z25" s="533"/>
      <c r="AB25" s="543"/>
      <c r="AE25" s="530"/>
    </row>
    <row r="26" spans="1:32" ht="15" customHeight="1" x14ac:dyDescent="0.2">
      <c r="A26" s="550" t="s">
        <v>17</v>
      </c>
      <c r="B26" s="539"/>
      <c r="C26" s="540" t="str">
        <f>IF(B26="","",VLOOKUP(B26,'Списки участников'!A:K,3,FALSE))</f>
        <v/>
      </c>
      <c r="D26" s="551"/>
      <c r="E26" s="543"/>
      <c r="F26" s="552"/>
      <c r="H26" s="537"/>
      <c r="I26" s="552"/>
      <c r="J26" s="556"/>
      <c r="K26" s="537"/>
      <c r="L26" s="552"/>
      <c r="M26" s="556"/>
      <c r="O26" s="552"/>
      <c r="Q26" s="535"/>
      <c r="R26" s="533"/>
      <c r="S26" s="543"/>
      <c r="T26" s="530"/>
      <c r="W26" s="530"/>
      <c r="Y26" s="530"/>
      <c r="AB26" s="530"/>
      <c r="AE26" s="530"/>
    </row>
    <row r="27" spans="1:32" ht="15" customHeight="1" x14ac:dyDescent="0.2">
      <c r="B27" s="544"/>
      <c r="C27" s="554"/>
      <c r="E27" s="543"/>
      <c r="F27" s="552"/>
      <c r="H27" s="537"/>
      <c r="I27" s="552"/>
      <c r="J27" s="557" t="s">
        <v>7</v>
      </c>
      <c r="K27" s="547">
        <v>1</v>
      </c>
      <c r="L27" s="548" t="str">
        <f>IF(K27="","",VLOOKUP(K27,'Списки участников'!A:K,3,FALSE))</f>
        <v>НИКИФОРОВ Александр</v>
      </c>
      <c r="M27" s="551"/>
      <c r="O27" s="552"/>
      <c r="Q27" s="535"/>
      <c r="R27" s="529"/>
      <c r="T27" s="533"/>
      <c r="V27" s="543"/>
      <c r="W27" s="530"/>
      <c r="Y27" s="530"/>
      <c r="AB27" s="530"/>
      <c r="AE27" s="530"/>
    </row>
    <row r="28" spans="1:32" ht="15" customHeight="1" x14ac:dyDescent="0.2">
      <c r="A28" s="550" t="s">
        <v>23</v>
      </c>
      <c r="B28" s="539"/>
      <c r="C28" s="540" t="str">
        <f>IF(B28="","",VLOOKUP(B28,'Списки участников'!A:K,3,FALSE))</f>
        <v/>
      </c>
      <c r="D28" s="549"/>
      <c r="E28" s="543"/>
      <c r="F28" s="552"/>
      <c r="H28" s="537"/>
      <c r="I28" s="552"/>
      <c r="J28" s="556"/>
      <c r="K28" s="537"/>
      <c r="L28" s="552" t="s">
        <v>2725</v>
      </c>
      <c r="M28" s="535"/>
      <c r="N28" s="535"/>
      <c r="O28" s="552"/>
      <c r="Q28" s="535"/>
      <c r="R28" s="533"/>
      <c r="S28" s="543"/>
      <c r="T28" s="530"/>
      <c r="W28" s="530"/>
      <c r="Y28" s="530"/>
      <c r="AB28" s="530"/>
      <c r="AE28" s="530"/>
    </row>
    <row r="29" spans="1:32" ht="15" customHeight="1" x14ac:dyDescent="0.2">
      <c r="B29" s="544"/>
      <c r="C29" s="554"/>
      <c r="D29" s="546" t="s">
        <v>28</v>
      </c>
      <c r="E29" s="547">
        <v>45</v>
      </c>
      <c r="F29" s="548" t="str">
        <f>IF(E29="","",VLOOKUP(E29,'Списки участников'!A:K,3,FALSE))</f>
        <v>ПЧЕЛИН Сергей</v>
      </c>
      <c r="G29" s="549"/>
      <c r="H29" s="537"/>
      <c r="I29" s="552"/>
      <c r="J29" s="556"/>
      <c r="K29" s="537"/>
      <c r="L29" s="552"/>
      <c r="M29" s="535"/>
      <c r="N29" s="535"/>
      <c r="O29" s="552"/>
      <c r="Q29" s="535"/>
      <c r="R29" s="529"/>
      <c r="T29" s="530"/>
      <c r="W29" s="533"/>
      <c r="Y29" s="543"/>
      <c r="AB29" s="530"/>
      <c r="AC29" s="529"/>
      <c r="AD29" s="560"/>
      <c r="AE29" s="530"/>
      <c r="AF29" s="533"/>
    </row>
    <row r="30" spans="1:32" ht="15" customHeight="1" x14ac:dyDescent="0.2">
      <c r="A30" s="550" t="s">
        <v>7</v>
      </c>
      <c r="B30" s="539"/>
      <c r="C30" s="540" t="str">
        <f>IF(B30="","",VLOOKUP(B30,'Списки участников'!A:K,3,FALSE))</f>
        <v/>
      </c>
      <c r="D30" s="551"/>
      <c r="E30" s="543"/>
      <c r="F30" s="552"/>
      <c r="G30" s="553"/>
      <c r="H30" s="537"/>
      <c r="I30" s="561"/>
      <c r="J30" s="556"/>
      <c r="K30" s="537"/>
      <c r="M30" s="535"/>
      <c r="N30" s="535"/>
      <c r="O30" s="552"/>
      <c r="Q30" s="535"/>
      <c r="R30" s="533"/>
      <c r="S30" s="543"/>
      <c r="T30" s="530"/>
      <c r="W30" s="530"/>
      <c r="Y30" s="530"/>
      <c r="AB30" s="530"/>
      <c r="AE30" s="530"/>
    </row>
    <row r="31" spans="1:32" ht="15" customHeight="1" x14ac:dyDescent="0.2">
      <c r="B31" s="544"/>
      <c r="C31" s="554"/>
      <c r="E31" s="543"/>
      <c r="F31" s="552"/>
      <c r="G31" s="557" t="s">
        <v>17</v>
      </c>
      <c r="H31" s="547">
        <v>1</v>
      </c>
      <c r="I31" s="548" t="str">
        <f>IF(H31="","",VLOOKUP(H31,'Списки участников'!A:K,3,FALSE))</f>
        <v>НИКИФОРОВ Александр</v>
      </c>
      <c r="J31" s="551"/>
      <c r="K31" s="537"/>
      <c r="M31" s="536" t="s">
        <v>901</v>
      </c>
      <c r="N31" s="562">
        <f>IF(N19="","",IF(N19=K11,K27,IF(N19=K27,K11,"Ошибка")))</f>
        <v>1</v>
      </c>
      <c r="O31" s="563" t="str">
        <f>IF(N31="","",VLOOKUP(N31,'Списки участников'!A:K,3,FALSE))</f>
        <v>НИКИФОРОВ Александр</v>
      </c>
      <c r="P31" s="549"/>
      <c r="Q31" s="885" t="str">
        <f>CONCATENATE(J3+1," ","м")</f>
        <v>10 м</v>
      </c>
      <c r="R31" s="529"/>
      <c r="T31" s="533"/>
      <c r="V31" s="543"/>
      <c r="W31" s="530"/>
      <c r="Y31" s="530"/>
      <c r="AA31" s="533"/>
      <c r="AB31" s="564"/>
      <c r="AE31" s="530"/>
    </row>
    <row r="32" spans="1:32" ht="15" customHeight="1" x14ac:dyDescent="0.2">
      <c r="A32" s="550" t="s">
        <v>12</v>
      </c>
      <c r="B32" s="539"/>
      <c r="C32" s="540" t="str">
        <f>IF(B32="","",VLOOKUP(B32,'Списки участников'!A:K,3,FALSE))</f>
        <v/>
      </c>
      <c r="D32" s="549"/>
      <c r="E32" s="543"/>
      <c r="F32" s="552"/>
      <c r="G32" s="556"/>
      <c r="H32" s="537"/>
      <c r="I32" s="552" t="s">
        <v>2725</v>
      </c>
      <c r="K32" s="530"/>
      <c r="L32" s="552"/>
      <c r="M32" s="535"/>
      <c r="N32" s="535"/>
      <c r="O32" s="552"/>
      <c r="Q32" s="535"/>
      <c r="R32" s="533"/>
      <c r="S32" s="543"/>
      <c r="T32" s="530"/>
      <c r="W32" s="530"/>
      <c r="Y32" s="530"/>
      <c r="AB32" s="530"/>
      <c r="AC32" s="533"/>
      <c r="AD32" s="564"/>
      <c r="AE32" s="530"/>
      <c r="AF32" s="533"/>
    </row>
    <row r="33" spans="1:32" ht="15" customHeight="1" x14ac:dyDescent="0.2">
      <c r="B33" s="544"/>
      <c r="C33" s="554"/>
      <c r="D33" s="546" t="s">
        <v>22</v>
      </c>
      <c r="E33" s="547">
        <v>1</v>
      </c>
      <c r="F33" s="548" t="str">
        <f>IF(E33="","",VLOOKUP(E33,'Списки участников'!A:K,3,FALSE))</f>
        <v>НИКИФОРОВ Александр</v>
      </c>
      <c r="G33" s="551"/>
      <c r="H33" s="537"/>
      <c r="I33" s="552"/>
      <c r="J33" s="549" t="s">
        <v>897</v>
      </c>
      <c r="K33" s="565">
        <f>IF(K11="","",IF(K11=H7,H15,IF(K11=H15,H7,"Ошибка")))</f>
        <v>47</v>
      </c>
      <c r="L33" s="563" t="str">
        <f>IF(K33="","",VLOOKUP(K33,'Списки участников'!A:K,3,FALSE))</f>
        <v>БЕЛОУС Денис</v>
      </c>
      <c r="M33" s="549"/>
      <c r="O33" s="552"/>
      <c r="Q33" s="535"/>
      <c r="R33" s="529"/>
      <c r="T33" s="530"/>
      <c r="W33" s="530"/>
      <c r="Y33" s="530"/>
      <c r="AA33" s="533"/>
      <c r="AB33" s="564"/>
      <c r="AE33" s="530"/>
    </row>
    <row r="34" spans="1:32" ht="15" customHeight="1" x14ac:dyDescent="0.2">
      <c r="A34" s="550" t="s">
        <v>29</v>
      </c>
      <c r="B34" s="539"/>
      <c r="C34" s="540" t="str">
        <f>IF(B34="","",VLOOKUP(B34,'Списки участников'!A:K,3,FALSE))</f>
        <v/>
      </c>
      <c r="D34" s="551"/>
      <c r="E34" s="537"/>
      <c r="F34" s="552"/>
      <c r="I34" s="530"/>
      <c r="K34" s="530"/>
      <c r="L34" s="552"/>
      <c r="M34" s="546" t="s">
        <v>29</v>
      </c>
      <c r="N34" s="559">
        <v>33</v>
      </c>
      <c r="O34" s="563" t="str">
        <f>IF(N34="","",VLOOKUP(N34,'Списки участников'!A:K,3,FALSE))</f>
        <v>ГАЛАНОВ Максим</v>
      </c>
      <c r="P34" s="549"/>
      <c r="Q34" s="885" t="str">
        <f>CONCATENATE(J3+2," ","м")</f>
        <v>11 м</v>
      </c>
      <c r="R34" s="529"/>
      <c r="T34" s="530"/>
      <c r="W34" s="530"/>
      <c r="X34" s="533"/>
      <c r="Y34" s="564"/>
      <c r="AB34" s="530"/>
      <c r="AC34" s="529"/>
      <c r="AD34" s="564"/>
      <c r="AE34" s="530"/>
      <c r="AF34" s="533"/>
    </row>
    <row r="35" spans="1:32" ht="15" customHeight="1" x14ac:dyDescent="0.2">
      <c r="E35" s="530"/>
      <c r="I35" s="530"/>
      <c r="J35" s="549" t="s">
        <v>900</v>
      </c>
      <c r="K35" s="565">
        <f>IF(K27="","",IF(K27=H23,H31,IF(K27=H31,H23,"Ошибка")))</f>
        <v>33</v>
      </c>
      <c r="L35" s="563" t="str">
        <f>IF(K35="","",VLOOKUP(K35,'Списки участников'!A:K,3,FALSE))</f>
        <v>ГАЛАНОВ Максим</v>
      </c>
      <c r="M35" s="551"/>
      <c r="O35" s="552" t="s">
        <v>2726</v>
      </c>
      <c r="Q35" s="972"/>
      <c r="R35" s="529"/>
      <c r="T35" s="530"/>
      <c r="W35" s="530"/>
      <c r="Y35" s="530"/>
      <c r="Z35" s="533"/>
      <c r="AB35" s="543"/>
      <c r="AE35" s="530"/>
    </row>
    <row r="36" spans="1:32" ht="15" customHeight="1" x14ac:dyDescent="0.2">
      <c r="E36" s="530"/>
      <c r="G36" s="549" t="s">
        <v>892</v>
      </c>
      <c r="H36" s="565">
        <v>21</v>
      </c>
      <c r="I36" s="563" t="str">
        <f>IF(H36="","",VLOOKUP(H36,'Списки участников'!A:K,3,FALSE))</f>
        <v>КОПНОВ Павел</v>
      </c>
      <c r="J36" s="549"/>
      <c r="K36" s="530"/>
      <c r="L36" s="552"/>
      <c r="M36" s="536" t="s">
        <v>904</v>
      </c>
      <c r="N36" s="562">
        <f>IF(N34="","",IF(N34=K33,K35,IF(N34=K35,K33,"Ошибка")))</f>
        <v>47</v>
      </c>
      <c r="O36" s="563" t="str">
        <f>IF(N36="","",VLOOKUP(N36,'Списки участников'!A:K,3,FALSE))</f>
        <v>БЕЛОУС Денис</v>
      </c>
      <c r="P36" s="549"/>
      <c r="Q36" s="885" t="str">
        <f>CONCATENATE(J3+3," ","м")</f>
        <v>12 м</v>
      </c>
      <c r="R36" s="529"/>
      <c r="T36" s="530"/>
      <c r="W36" s="530"/>
      <c r="X36" s="533"/>
      <c r="Y36" s="564"/>
      <c r="AB36" s="530"/>
      <c r="AE36" s="530"/>
    </row>
    <row r="37" spans="1:32" ht="15" customHeight="1" x14ac:dyDescent="0.2">
      <c r="E37" s="530"/>
      <c r="I37" s="552"/>
      <c r="J37" s="546" t="s">
        <v>13</v>
      </c>
      <c r="K37" s="567">
        <v>21</v>
      </c>
      <c r="L37" s="563" t="str">
        <f>IF(K37="","",VLOOKUP(K37,'Списки участников'!A:K,3,FALSE))</f>
        <v>КОПНОВ Павел</v>
      </c>
      <c r="M37" s="549"/>
      <c r="O37" s="552"/>
      <c r="Q37" s="972"/>
      <c r="R37" s="529"/>
      <c r="T37" s="530"/>
      <c r="W37" s="530"/>
      <c r="Y37" s="530"/>
      <c r="AB37" s="530"/>
      <c r="AC37" s="533"/>
      <c r="AD37" s="543"/>
      <c r="AE37" s="530"/>
      <c r="AF37" s="533"/>
    </row>
    <row r="38" spans="1:32" ht="15" customHeight="1" x14ac:dyDescent="0.2">
      <c r="E38" s="530"/>
      <c r="G38" s="549" t="s">
        <v>893</v>
      </c>
      <c r="H38" s="566">
        <f>IF(H15="","",IF(H15=E13,E17,IF(H15=E17,E13,"Ошибка")))</f>
        <v>18</v>
      </c>
      <c r="I38" s="563" t="str">
        <f>IF(H38="","",VLOOKUP(H38,'Списки участников'!A:K,3,FALSE))</f>
        <v>ВОЛКОВ Валерий</v>
      </c>
      <c r="J38" s="551"/>
      <c r="K38" s="530"/>
      <c r="L38" s="552"/>
      <c r="M38" s="553"/>
      <c r="O38" s="552"/>
      <c r="Q38" s="972"/>
      <c r="R38" s="529"/>
      <c r="T38" s="530"/>
      <c r="W38" s="530"/>
      <c r="X38" s="533"/>
      <c r="Y38" s="564"/>
      <c r="AB38" s="530"/>
      <c r="AE38" s="530"/>
    </row>
    <row r="39" spans="1:32" ht="15" customHeight="1" x14ac:dyDescent="0.2">
      <c r="E39" s="530"/>
      <c r="I39" s="552"/>
      <c r="K39" s="530"/>
      <c r="L39" s="552"/>
      <c r="M39" s="557" t="s">
        <v>31</v>
      </c>
      <c r="N39" s="568">
        <v>21</v>
      </c>
      <c r="O39" s="563" t="str">
        <f>IF(N39="","",VLOOKUP(N39,'Списки участников'!A:K,3,FALSE))</f>
        <v>КОПНОВ Павел</v>
      </c>
      <c r="P39" s="549"/>
      <c r="Q39" s="885" t="str">
        <f>CONCATENATE(J3+4," ","м")</f>
        <v>13 м</v>
      </c>
      <c r="R39" s="529"/>
      <c r="T39" s="530"/>
      <c r="W39" s="530"/>
      <c r="Y39" s="530"/>
      <c r="Z39" s="533"/>
      <c r="AB39" s="543"/>
      <c r="AE39" s="530"/>
    </row>
    <row r="40" spans="1:32" ht="15" customHeight="1" x14ac:dyDescent="0.2">
      <c r="E40" s="530"/>
      <c r="G40" s="549" t="s">
        <v>2</v>
      </c>
      <c r="H40" s="565">
        <f>IF(H23="","",IF(H23=E21,E25,IF(H23=E25,E21,"Ошибка")))</f>
        <v>30</v>
      </c>
      <c r="I40" s="563" t="str">
        <f>IF(H40="","",VLOOKUP(H40,'Списки участников'!A:K,3,FALSE))</f>
        <v>ВОЛКОВ Евгений</v>
      </c>
      <c r="J40" s="549"/>
      <c r="K40" s="530"/>
      <c r="L40" s="552"/>
      <c r="M40" s="556"/>
      <c r="O40" s="552" t="s">
        <v>2725</v>
      </c>
      <c r="Q40" s="972"/>
      <c r="R40" s="529"/>
      <c r="T40" s="530"/>
      <c r="W40" s="530"/>
      <c r="X40" s="533"/>
      <c r="Y40" s="564"/>
      <c r="AB40" s="530"/>
      <c r="AC40" s="529"/>
      <c r="AD40" s="560"/>
      <c r="AE40" s="530"/>
      <c r="AF40" s="533"/>
    </row>
    <row r="41" spans="1:32" ht="15" customHeight="1" x14ac:dyDescent="0.2">
      <c r="E41" s="530"/>
      <c r="I41" s="552"/>
      <c r="J41" s="546" t="s">
        <v>32</v>
      </c>
      <c r="K41" s="567">
        <v>30</v>
      </c>
      <c r="L41" s="563" t="str">
        <f>IF(K41="","",VLOOKUP(K41,'Списки участников'!A:K,3,FALSE))</f>
        <v>ВОЛКОВ Евгений</v>
      </c>
      <c r="M41" s="551"/>
      <c r="O41" s="552"/>
      <c r="Q41" s="972"/>
      <c r="R41" s="529"/>
      <c r="T41" s="530"/>
      <c r="W41" s="530"/>
      <c r="Y41" s="530"/>
      <c r="AA41" s="533"/>
      <c r="AB41" s="564"/>
      <c r="AE41" s="530"/>
    </row>
    <row r="42" spans="1:32" ht="15" customHeight="1" x14ac:dyDescent="0.2">
      <c r="E42" s="530"/>
      <c r="G42" s="549" t="s">
        <v>895</v>
      </c>
      <c r="H42" s="565">
        <v>45</v>
      </c>
      <c r="I42" s="563" t="str">
        <f>IF(H42="","",VLOOKUP(H42,'Списки участников'!A:K,3,FALSE))</f>
        <v>ПЧЕЛИН Сергей</v>
      </c>
      <c r="J42" s="551"/>
      <c r="K42" s="530"/>
      <c r="L42" s="552"/>
      <c r="M42" s="536" t="s">
        <v>70</v>
      </c>
      <c r="N42" s="569">
        <f>IF(N39="","",IF(N39=K37,K41,IF(N39=K41,K37,"Ошибка")))</f>
        <v>30</v>
      </c>
      <c r="O42" s="563" t="str">
        <f>IF(N42="","",VLOOKUP(N42,'Списки участников'!A:K,3,FALSE))</f>
        <v>ВОЛКОВ Евгений</v>
      </c>
      <c r="P42" s="549"/>
      <c r="Q42" s="885" t="str">
        <f>CONCATENATE(J3+5," ","м")</f>
        <v>14 м</v>
      </c>
      <c r="R42" s="529"/>
      <c r="T42" s="530"/>
      <c r="W42" s="530"/>
      <c r="Y42" s="530"/>
      <c r="AB42" s="530"/>
      <c r="AC42" s="533"/>
      <c r="AD42" s="564"/>
      <c r="AE42" s="530"/>
      <c r="AF42" s="533"/>
    </row>
    <row r="43" spans="1:32" ht="15" customHeight="1" x14ac:dyDescent="0.2">
      <c r="E43" s="530"/>
      <c r="I43" s="552"/>
      <c r="J43" s="570" t="s">
        <v>882</v>
      </c>
      <c r="K43" s="565">
        <v>18</v>
      </c>
      <c r="L43" s="563" t="str">
        <f>IF(K43="","",VLOOKUP(K43,'Списки участников'!A:K,3,FALSE))</f>
        <v>ВОЛКОВ Валерий</v>
      </c>
      <c r="M43" s="549"/>
      <c r="O43" s="552"/>
      <c r="Q43" s="972"/>
      <c r="R43" s="529"/>
      <c r="T43" s="530"/>
      <c r="W43" s="530"/>
      <c r="Y43" s="530"/>
      <c r="AA43" s="533"/>
      <c r="AB43" s="564"/>
      <c r="AE43" s="530"/>
    </row>
    <row r="44" spans="1:32" ht="15" customHeight="1" x14ac:dyDescent="0.2">
      <c r="E44" s="530"/>
      <c r="I44" s="552"/>
      <c r="K44" s="530"/>
      <c r="L44" s="552"/>
      <c r="M44" s="546" t="s">
        <v>34</v>
      </c>
      <c r="N44" s="568">
        <v>18</v>
      </c>
      <c r="O44" s="563" t="str">
        <f>IF(N44="","",VLOOKUP(N44,'Списки участников'!A:K,3,FALSE))</f>
        <v>ВОЛКОВ Валерий</v>
      </c>
      <c r="P44" s="549"/>
      <c r="Q44" s="885" t="str">
        <f>CONCATENATE(J3+6," ","м")</f>
        <v>15 м</v>
      </c>
      <c r="R44" s="529"/>
      <c r="T44" s="530"/>
      <c r="U44" s="533"/>
      <c r="V44" s="564"/>
      <c r="W44" s="530"/>
      <c r="Y44" s="530"/>
      <c r="AB44" s="530"/>
      <c r="AC44" s="529"/>
      <c r="AD44" s="560"/>
      <c r="AE44" s="530"/>
      <c r="AF44" s="533"/>
    </row>
    <row r="45" spans="1:32" ht="15" customHeight="1" x14ac:dyDescent="0.2">
      <c r="E45" s="530"/>
      <c r="I45" s="552"/>
      <c r="J45" s="535" t="s">
        <v>885</v>
      </c>
      <c r="K45" s="565">
        <v>45</v>
      </c>
      <c r="L45" s="563" t="str">
        <f>IF(K45="","",VLOOKUP(K45,'Списки участников'!A:K,3,FALSE))</f>
        <v>ПЧЕЛИН Сергей</v>
      </c>
      <c r="M45" s="551"/>
      <c r="O45" s="552"/>
      <c r="Q45" s="972"/>
      <c r="R45" s="529"/>
      <c r="T45" s="530"/>
      <c r="W45" s="533"/>
      <c r="Y45" s="543"/>
      <c r="AB45" s="530"/>
      <c r="AE45" s="530"/>
    </row>
    <row r="46" spans="1:32" ht="15" customHeight="1" x14ac:dyDescent="0.2">
      <c r="D46" s="530"/>
      <c r="E46" s="971"/>
      <c r="F46" s="967" t="str">
        <f>IF(E46="","",VLOOKUP(E46,'Списки участников'!A:K,3,FALSE))</f>
        <v/>
      </c>
      <c r="G46" s="530"/>
      <c r="I46" s="552"/>
      <c r="K46" s="530"/>
      <c r="L46" s="552"/>
      <c r="M46" s="536" t="s">
        <v>888</v>
      </c>
      <c r="N46" s="569">
        <f>IF(N44="","",IF(N44=K43,K45,IF(N44=K45,K43,"Ошибка")))</f>
        <v>45</v>
      </c>
      <c r="O46" s="967" t="str">
        <f>IF(N46="","",VLOOKUP(N46,'Списки участников'!A:K,3,FALSE))</f>
        <v>ПЧЕЛИН Сергей</v>
      </c>
      <c r="Q46" s="968" t="str">
        <f>CONCATENATE(J3+7," ","м")</f>
        <v>16 м</v>
      </c>
      <c r="R46" s="529"/>
      <c r="T46" s="530"/>
      <c r="U46" s="533"/>
      <c r="V46" s="564"/>
      <c r="W46" s="530"/>
      <c r="Y46" s="530"/>
      <c r="AB46" s="530"/>
      <c r="AE46" s="530"/>
    </row>
    <row r="47" spans="1:32" ht="15" customHeight="1" x14ac:dyDescent="0.2">
      <c r="C47" s="530"/>
      <c r="D47" s="530"/>
      <c r="E47" s="530"/>
      <c r="F47" s="552"/>
      <c r="G47" s="533"/>
      <c r="H47" s="1004"/>
      <c r="I47" s="967"/>
      <c r="J47" s="530"/>
      <c r="K47" s="530"/>
      <c r="L47" s="552"/>
      <c r="O47" s="552"/>
      <c r="Q47" s="973"/>
      <c r="R47" s="529"/>
      <c r="T47" s="530"/>
      <c r="W47" s="530"/>
      <c r="Y47" s="530"/>
      <c r="Z47" s="533"/>
      <c r="AB47" s="543"/>
      <c r="AE47" s="530"/>
    </row>
    <row r="48" spans="1:32" ht="15" customHeight="1" x14ac:dyDescent="0.2">
      <c r="C48" s="530"/>
      <c r="D48" s="530"/>
      <c r="E48" s="530"/>
      <c r="G48" s="530"/>
      <c r="I48" s="530"/>
      <c r="J48" s="530"/>
      <c r="K48" s="530"/>
      <c r="L48" s="552"/>
      <c r="M48" s="529"/>
      <c r="N48" s="1003"/>
      <c r="O48" s="967"/>
      <c r="Q48" s="968"/>
      <c r="R48" s="529"/>
      <c r="T48" s="530"/>
      <c r="W48" s="530"/>
      <c r="Y48" s="530"/>
      <c r="AB48" s="530"/>
      <c r="AE48" s="530"/>
    </row>
    <row r="49" spans="3:31" ht="10.35" customHeight="1" x14ac:dyDescent="0.2">
      <c r="H49" s="1145"/>
      <c r="I49" s="1145"/>
      <c r="J49" s="573"/>
      <c r="R49" s="529"/>
      <c r="T49" s="530"/>
      <c r="V49" s="574"/>
      <c r="W49" s="530"/>
      <c r="Y49" s="530"/>
      <c r="AB49" s="530"/>
      <c r="AE49" s="530"/>
    </row>
    <row r="50" spans="3:31" ht="14.25" customHeight="1" x14ac:dyDescent="0.2">
      <c r="C50" s="575" t="s">
        <v>760</v>
      </c>
      <c r="H50" s="1141"/>
      <c r="I50" s="1141"/>
      <c r="J50" s="1141"/>
      <c r="R50" s="529"/>
      <c r="T50" s="530"/>
      <c r="W50" s="530"/>
      <c r="Y50" s="530"/>
      <c r="AB50" s="530"/>
      <c r="AE50" s="530"/>
    </row>
    <row r="51" spans="3:31" ht="10.35" customHeight="1" x14ac:dyDescent="0.2">
      <c r="C51" s="552"/>
      <c r="J51" s="573"/>
      <c r="R51" s="530"/>
      <c r="T51" s="530"/>
      <c r="V51" s="574"/>
      <c r="W51" s="530"/>
      <c r="Y51" s="530"/>
      <c r="AB51" s="530"/>
      <c r="AE51" s="530"/>
    </row>
    <row r="52" spans="3:31" ht="15.75" customHeight="1" x14ac:dyDescent="0.2">
      <c r="C52" s="575" t="s">
        <v>761</v>
      </c>
      <c r="H52" s="1141"/>
      <c r="I52" s="1141"/>
      <c r="J52" s="1141"/>
      <c r="R52" s="530"/>
      <c r="T52" s="530"/>
      <c r="W52" s="530"/>
      <c r="Y52" s="530"/>
      <c r="AB52" s="530"/>
      <c r="AE52" s="530"/>
    </row>
    <row r="53" spans="3:31" ht="10.35" customHeight="1" x14ac:dyDescent="0.2">
      <c r="C53" s="530"/>
      <c r="R53" s="530"/>
      <c r="T53" s="530"/>
      <c r="W53" s="530"/>
      <c r="Y53" s="530"/>
      <c r="AB53" s="530"/>
      <c r="AE53" s="530"/>
    </row>
    <row r="54" spans="3:31" ht="10.35" customHeight="1" x14ac:dyDescent="0.2">
      <c r="R54" s="530"/>
      <c r="T54" s="530"/>
      <c r="W54" s="530"/>
      <c r="Y54" s="530"/>
      <c r="AB54" s="530"/>
      <c r="AE54" s="530"/>
    </row>
    <row r="55" spans="3:31" ht="10.35" customHeight="1" x14ac:dyDescent="0.2">
      <c r="R55" s="530"/>
      <c r="T55" s="530"/>
      <c r="W55" s="530"/>
      <c r="Y55" s="530"/>
      <c r="AB55" s="530"/>
      <c r="AE55" s="530"/>
    </row>
  </sheetData>
  <mergeCells count="7">
    <mergeCell ref="H52:J52"/>
    <mergeCell ref="A1:Q1"/>
    <mergeCell ref="A2:Q2"/>
    <mergeCell ref="A3:E3"/>
    <mergeCell ref="M3:Q3"/>
    <mergeCell ref="H49:I49"/>
    <mergeCell ref="H50:J50"/>
  </mergeCells>
  <pageMargins left="0.59055118110236227" right="0.59055118110236227" top="0" bottom="0.39370078740157483" header="0.39370078740157483" footer="0.51181102362204722"/>
  <pageSetup paperSize="9" scale="70" orientation="portrait" r:id="rId1"/>
  <headerFooter alignWithMargins="0">
    <oddHeader xml:space="preserve">&amp;R
</oddHeader>
  </headerFooter>
  <rowBreaks count="1" manualBreakCount="1">
    <brk id="53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T72"/>
  <sheetViews>
    <sheetView showZeros="0" view="pageBreakPreview" zoomScaleNormal="100" zoomScaleSheetLayoutView="100" workbookViewId="0">
      <selection activeCell="O13" sqref="O12:O13"/>
    </sheetView>
  </sheetViews>
  <sheetFormatPr defaultRowHeight="12.75" outlineLevelCol="1" x14ac:dyDescent="0.2"/>
  <cols>
    <col min="1" max="1" width="2.83203125" style="202" customWidth="1"/>
    <col min="2" max="2" width="5.5" style="202" hidden="1" customWidth="1" outlineLevel="1"/>
    <col min="3" max="3" width="20.6640625" style="202" customWidth="1" collapsed="1"/>
    <col min="4" max="4" width="5.1640625" style="205" customWidth="1"/>
    <col min="5" max="5" width="5.5" style="202" hidden="1" customWidth="1" outlineLevel="1"/>
    <col min="6" max="6" width="15" style="202" customWidth="1" collapsed="1"/>
    <col min="7" max="7" width="3" style="202" customWidth="1"/>
    <col min="8" max="8" width="5.5" style="202" hidden="1" customWidth="1" outlineLevel="1"/>
    <col min="9" max="9" width="14.83203125" style="202" customWidth="1" collapsed="1"/>
    <col min="10" max="10" width="2.83203125" style="202" customWidth="1"/>
    <col min="11" max="11" width="5.5" style="202" hidden="1" customWidth="1" outlineLevel="1"/>
    <col min="12" max="12" width="14.6640625" style="202" customWidth="1" collapsed="1"/>
    <col min="13" max="13" width="3.6640625" style="202" customWidth="1"/>
    <col min="14" max="14" width="5.5" style="202" hidden="1" customWidth="1" outlineLevel="1"/>
    <col min="15" max="15" width="17" style="202" customWidth="1" collapsed="1"/>
    <col min="16" max="16" width="2.83203125" style="202" customWidth="1"/>
    <col min="17" max="17" width="4.6640625" style="202" hidden="1" customWidth="1" outlineLevel="1"/>
    <col min="18" max="18" width="20.33203125" style="202" customWidth="1" collapsed="1"/>
    <col min="19" max="19" width="3.83203125" style="202" customWidth="1"/>
    <col min="20" max="20" width="5.5" style="202" hidden="1" customWidth="1" outlineLevel="1"/>
    <col min="21" max="21" width="16.1640625" style="202" customWidth="1" collapsed="1"/>
    <col min="22" max="22" width="3.83203125" style="202" customWidth="1"/>
    <col min="23" max="23" width="5.5" style="202" hidden="1" customWidth="1" outlineLevel="1"/>
    <col min="24" max="24" width="23.83203125" style="202" customWidth="1" collapsed="1"/>
    <col min="25" max="25" width="3.6640625" style="202" customWidth="1"/>
    <col min="26" max="26" width="5.1640625" style="202" hidden="1" customWidth="1" outlineLevel="1"/>
    <col min="27" max="27" width="23.1640625" style="202" customWidth="1" collapsed="1"/>
    <col min="28" max="28" width="3.6640625" style="202" customWidth="1"/>
    <col min="29" max="29" width="5.1640625" style="202" hidden="1" customWidth="1" outlineLevel="1"/>
    <col min="30" max="30" width="29.83203125" style="202" customWidth="1" collapsed="1"/>
    <col min="31" max="31" width="3.83203125" style="202" customWidth="1"/>
    <col min="32" max="32" width="7.1640625" style="202" hidden="1" customWidth="1" outlineLevel="1"/>
    <col min="33" max="33" width="16.1640625" style="202" customWidth="1" collapsed="1"/>
    <col min="34" max="34" width="3.83203125" style="202" customWidth="1"/>
    <col min="35" max="35" width="5.6640625" style="202" hidden="1" customWidth="1" outlineLevel="1"/>
    <col min="36" max="36" width="16.1640625" style="202" customWidth="1" collapsed="1"/>
    <col min="37" max="37" width="3.6640625" style="202" customWidth="1"/>
    <col min="38" max="38" width="5.6640625" style="202" hidden="1" customWidth="1" outlineLevel="1"/>
    <col min="39" max="39" width="16.1640625" style="202" customWidth="1" collapsed="1"/>
    <col min="40" max="40" width="3.6640625" style="202" customWidth="1"/>
    <col min="41" max="41" width="5.6640625" style="202" hidden="1" customWidth="1" outlineLevel="1"/>
    <col min="42" max="42" width="16.1640625" style="202" customWidth="1" collapsed="1"/>
    <col min="43" max="43" width="3.6640625" style="202" customWidth="1"/>
    <col min="44" max="44" width="5.5" style="202" hidden="1" customWidth="1" outlineLevel="1"/>
    <col min="45" max="45" width="22.83203125" style="202" customWidth="1" collapsed="1"/>
    <col min="46" max="16384" width="9.33203125" style="202"/>
  </cols>
  <sheetData>
    <row r="1" spans="1:45" ht="15" customHeight="1" x14ac:dyDescent="0.2">
      <c r="A1" s="1134" t="str">
        <f>'Списки участников'!A1</f>
        <v xml:space="preserve">X Спартакиада
среди предприятий Нижегородской области ФСК "Профсоюзов",
под девизом "Будь спортивным - будь успешным!"
</v>
      </c>
      <c r="B1" s="1134"/>
      <c r="C1" s="1134"/>
      <c r="D1" s="1134"/>
      <c r="E1" s="1134"/>
      <c r="F1" s="1134"/>
      <c r="G1" s="1134"/>
      <c r="H1" s="1134"/>
      <c r="I1" s="1134"/>
      <c r="J1" s="1134"/>
      <c r="K1" s="1134"/>
      <c r="L1" s="1134"/>
      <c r="M1" s="1134"/>
      <c r="N1" s="1134"/>
      <c r="O1" s="1134"/>
      <c r="P1" s="1134"/>
      <c r="Q1" s="1134"/>
      <c r="R1" s="1134"/>
      <c r="S1" s="1134" t="str">
        <f>A1</f>
        <v xml:space="preserve">X Спартакиада
среди предприятий Нижегородской области ФСК "Профсоюзов",
под девизом "Будь спортивным - будь успешным!"
</v>
      </c>
      <c r="T1" s="1134"/>
      <c r="U1" s="1134"/>
      <c r="V1" s="1134"/>
      <c r="W1" s="1134"/>
      <c r="X1" s="1134"/>
      <c r="Y1" s="1134"/>
      <c r="Z1" s="1134"/>
      <c r="AA1" s="1134"/>
      <c r="AB1" s="1134"/>
      <c r="AC1" s="1134"/>
      <c r="AD1" s="1134"/>
      <c r="AE1" s="1134" t="str">
        <f>A1</f>
        <v xml:space="preserve">X Спартакиада
среди предприятий Нижегородской области ФСК "Профсоюзов",
под девизом "Будь спортивным - будь успешным!"
</v>
      </c>
      <c r="AF1" s="1134"/>
      <c r="AG1" s="1134"/>
      <c r="AH1" s="1134"/>
      <c r="AI1" s="1134"/>
      <c r="AJ1" s="1134"/>
      <c r="AK1" s="1134"/>
      <c r="AL1" s="1134"/>
      <c r="AM1" s="1134"/>
      <c r="AN1" s="1134"/>
      <c r="AO1" s="1134"/>
      <c r="AP1" s="1134"/>
      <c r="AQ1" s="1134"/>
      <c r="AR1" s="1134"/>
      <c r="AS1" s="1134"/>
    </row>
    <row r="2" spans="1:45" ht="14.25" customHeight="1" thickBot="1" x14ac:dyDescent="0.25">
      <c r="A2" s="690"/>
      <c r="B2" s="690"/>
      <c r="C2" s="797" t="str">
        <f>'Списки участников'!C3</f>
        <v>22 октября 2016 г.</v>
      </c>
      <c r="D2" s="1135" t="str">
        <f>'Списки участников'!A2</f>
        <v>Соревнования по настольному теннису</v>
      </c>
      <c r="E2" s="1135"/>
      <c r="F2" s="1135"/>
      <c r="G2" s="1135"/>
      <c r="H2" s="1135"/>
      <c r="I2" s="1135"/>
      <c r="J2" s="1135"/>
      <c r="K2" s="1135"/>
      <c r="L2" s="1135"/>
      <c r="M2" s="1135"/>
      <c r="N2" s="1135"/>
      <c r="O2" s="1135"/>
      <c r="P2" s="1135"/>
      <c r="Q2" s="690"/>
      <c r="R2" s="691">
        <f>'Списки участников'!L3</f>
        <v>0</v>
      </c>
      <c r="S2" s="1135" t="str">
        <f>D2</f>
        <v>Соревнования по настольному теннису</v>
      </c>
      <c r="T2" s="1135"/>
      <c r="U2" s="1135"/>
      <c r="V2" s="1135"/>
      <c r="W2" s="1135"/>
      <c r="X2" s="1135"/>
      <c r="Y2" s="1135"/>
      <c r="Z2" s="1135"/>
      <c r="AA2" s="1135"/>
      <c r="AB2" s="1135"/>
      <c r="AC2" s="1135"/>
      <c r="AD2" s="1135"/>
      <c r="AE2" s="1135" t="str">
        <f>D2</f>
        <v>Соревнования по настольному теннису</v>
      </c>
      <c r="AF2" s="1135"/>
      <c r="AG2" s="1135"/>
      <c r="AH2" s="1135"/>
      <c r="AI2" s="1135"/>
      <c r="AJ2" s="1135"/>
      <c r="AK2" s="1135"/>
      <c r="AL2" s="1135"/>
      <c r="AM2" s="1135"/>
      <c r="AN2" s="1135"/>
      <c r="AO2" s="1135"/>
      <c r="AP2" s="1135"/>
      <c r="AQ2" s="1135"/>
      <c r="AR2" s="1135"/>
      <c r="AS2" s="1135"/>
    </row>
    <row r="3" spans="1:45" ht="9.75" customHeight="1" x14ac:dyDescent="0.2">
      <c r="A3" s="189"/>
      <c r="B3" s="189"/>
      <c r="C3" s="189"/>
      <c r="D3" s="288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201" t="s">
        <v>89</v>
      </c>
      <c r="S3" s="289"/>
      <c r="T3" s="289"/>
      <c r="U3" s="189"/>
      <c r="V3" s="289"/>
      <c r="W3" s="289"/>
      <c r="X3" s="289"/>
      <c r="Y3" s="289"/>
      <c r="Z3" s="289"/>
      <c r="AA3" s="289"/>
      <c r="AB3" s="289"/>
      <c r="AD3" s="201" t="s">
        <v>90</v>
      </c>
      <c r="AE3" s="289"/>
      <c r="AF3" s="289"/>
      <c r="AG3" s="189"/>
      <c r="AH3" s="289"/>
      <c r="AI3" s="289"/>
      <c r="AJ3" s="289"/>
      <c r="AK3" s="289"/>
      <c r="AL3" s="289"/>
      <c r="AM3" s="289"/>
      <c r="AN3" s="289"/>
      <c r="AS3" s="201" t="s">
        <v>91</v>
      </c>
    </row>
    <row r="4" spans="1:45" ht="13.5" customHeight="1" x14ac:dyDescent="0.2">
      <c r="A4" s="788"/>
      <c r="B4" s="788"/>
      <c r="C4" s="788"/>
      <c r="D4" s="788"/>
      <c r="E4" s="788"/>
      <c r="F4" s="788"/>
      <c r="G4" s="788"/>
      <c r="H4" s="788"/>
      <c r="I4" s="789">
        <f>'Списки участников'!F6</f>
        <v>0</v>
      </c>
      <c r="J4" s="788"/>
      <c r="K4" s="788"/>
      <c r="L4" s="790" t="s">
        <v>2688</v>
      </c>
      <c r="M4" s="788">
        <v>1</v>
      </c>
      <c r="N4" s="788"/>
      <c r="O4" s="788" t="s">
        <v>2737</v>
      </c>
      <c r="P4" s="788"/>
      <c r="Q4" s="788"/>
      <c r="R4" s="788"/>
      <c r="S4" s="1136">
        <f>A4</f>
        <v>0</v>
      </c>
      <c r="T4" s="1136"/>
      <c r="U4" s="1136"/>
      <c r="V4" s="1136"/>
      <c r="W4" s="1136"/>
      <c r="X4" s="1136"/>
      <c r="Y4" s="1136"/>
      <c r="Z4" s="1136"/>
      <c r="AA4" s="1136"/>
      <c r="AB4" s="1136"/>
      <c r="AC4" s="1136"/>
      <c r="AD4" s="1136"/>
      <c r="AE4" s="1136">
        <f>A4</f>
        <v>0</v>
      </c>
      <c r="AF4" s="1136"/>
      <c r="AG4" s="1136"/>
      <c r="AH4" s="1136"/>
      <c r="AI4" s="1136"/>
      <c r="AJ4" s="1136"/>
      <c r="AK4" s="1136"/>
      <c r="AL4" s="1136"/>
      <c r="AM4" s="1136"/>
      <c r="AN4" s="1136"/>
      <c r="AO4" s="1136"/>
      <c r="AP4" s="1136"/>
      <c r="AQ4" s="1136"/>
      <c r="AR4" s="1136"/>
      <c r="AS4" s="1136"/>
    </row>
    <row r="5" spans="1:45" ht="13.5" customHeight="1" x14ac:dyDescent="0.2">
      <c r="A5" s="1010"/>
      <c r="B5" s="1010"/>
      <c r="C5" s="1010"/>
      <c r="D5" s="1010"/>
      <c r="E5" s="1010"/>
      <c r="F5" s="1010"/>
      <c r="G5" s="1010"/>
      <c r="H5" s="1010"/>
      <c r="I5" s="1010"/>
      <c r="J5" s="1010"/>
      <c r="K5" s="1010"/>
      <c r="L5" s="1010"/>
      <c r="M5" s="1010"/>
      <c r="N5" s="1010"/>
      <c r="O5" s="1010"/>
      <c r="P5" s="1010"/>
      <c r="Q5" s="1010"/>
      <c r="R5" s="1010"/>
      <c r="S5" s="1010"/>
      <c r="T5" s="1010"/>
      <c r="U5" s="1010"/>
      <c r="V5" s="1010"/>
      <c r="W5" s="1010"/>
      <c r="X5" s="1010"/>
      <c r="Y5" s="1010"/>
      <c r="Z5" s="1010"/>
      <c r="AA5" s="1010"/>
      <c r="AB5" s="1010"/>
      <c r="AC5" s="1010"/>
      <c r="AD5" s="1010"/>
      <c r="AE5" s="1010"/>
      <c r="AF5" s="1010"/>
      <c r="AG5" s="1010"/>
      <c r="AH5" s="1010"/>
      <c r="AI5" s="1010"/>
      <c r="AJ5" s="1010"/>
      <c r="AK5" s="1010"/>
      <c r="AL5" s="1010"/>
      <c r="AM5" s="1010"/>
      <c r="AN5" s="1010"/>
      <c r="AO5" s="1010"/>
      <c r="AP5" s="1010"/>
      <c r="AQ5" s="1010"/>
      <c r="AR5" s="1010"/>
      <c r="AS5" s="1010"/>
    </row>
    <row r="6" spans="1:45" ht="10.5" customHeight="1" x14ac:dyDescent="0.2">
      <c r="AE6" s="208" t="s">
        <v>881</v>
      </c>
      <c r="AF6" s="290" t="str">
        <f>IF(F9="","",IF(E8=B7,B9,IF(E8=B9,B7)))</f>
        <v/>
      </c>
      <c r="AG6" s="210" t="str">
        <f>IF(F9="",AF6,VLOOKUP(AF6,'Списки участников'!$A:$U,3,FALSE))</f>
        <v/>
      </c>
      <c r="AH6" s="265"/>
      <c r="AI6" s="212"/>
      <c r="AJ6" s="213"/>
      <c r="AK6" s="213"/>
      <c r="AL6" s="213"/>
      <c r="AM6" s="213"/>
      <c r="AN6" s="213"/>
      <c r="AO6" s="213"/>
      <c r="AP6" s="213"/>
      <c r="AQ6" s="213"/>
      <c r="AR6" s="213"/>
      <c r="AS6" s="213"/>
    </row>
    <row r="7" spans="1:45" ht="10.5" customHeight="1" x14ac:dyDescent="0.2">
      <c r="A7" s="208">
        <v>1</v>
      </c>
      <c r="B7" s="209">
        <v>1</v>
      </c>
      <c r="C7" s="210" t="str">
        <f>IF(B7="",B7,VLOOKUP(B7,'Списки участников'!$A:$U,3,FALSE))</f>
        <v>НИКИФОРОВ Александр</v>
      </c>
      <c r="D7" s="211" t="str">
        <f>IF(B7="",B7,VLOOKUP(B7,'Списки участников'!$A:$O,6,FALSE))</f>
        <v>АО ФНПЦ НИИРТ</v>
      </c>
      <c r="E7" s="212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4"/>
      <c r="Q7" s="214"/>
      <c r="R7" s="215"/>
      <c r="S7" s="242"/>
      <c r="T7" s="242"/>
      <c r="U7" s="242"/>
      <c r="V7" s="242"/>
      <c r="W7" s="242"/>
      <c r="X7" s="242"/>
      <c r="Y7" s="231"/>
      <c r="Z7" s="231"/>
      <c r="AA7" s="231"/>
      <c r="AB7" s="231"/>
      <c r="AD7" s="867" t="str">
        <f>CONCATENATE(M4+2," ","место")</f>
        <v>3 место</v>
      </c>
      <c r="AE7" s="217"/>
      <c r="AF7" s="217"/>
      <c r="AG7" s="291"/>
      <c r="AH7" s="218" t="s">
        <v>59</v>
      </c>
      <c r="AI7" s="219">
        <f>'ПРФ(32)'!G52</f>
        <v>35</v>
      </c>
      <c r="AJ7" s="239" t="str">
        <f>IF('ПРФ(32)'!G52="",AI7,VLOOKUP(AI7,'Списки участников'!$A:$U,3,FALSE))</f>
        <v>ГРИШИН Иван</v>
      </c>
      <c r="AK7" s="220"/>
      <c r="AL7" s="220"/>
      <c r="AM7" s="213"/>
      <c r="AN7" s="213"/>
      <c r="AO7" s="213"/>
      <c r="AP7" s="213"/>
      <c r="AQ7" s="213"/>
      <c r="AR7" s="213"/>
      <c r="AS7" s="213"/>
    </row>
    <row r="8" spans="1:45" ht="10.5" customHeight="1" x14ac:dyDescent="0.2">
      <c r="A8" s="217"/>
      <c r="B8" s="217"/>
      <c r="C8" s="292"/>
      <c r="D8" s="218">
        <v>1</v>
      </c>
      <c r="E8" s="219">
        <f>'ПРФ(32)'!G4</f>
        <v>1</v>
      </c>
      <c r="F8" s="210" t="str">
        <f>IF('ПРФ(32)'!G4="",E8,VLOOKUP(E8,'Списки участников'!$A:$U,3,FALSE))</f>
        <v>НИКИФОРОВ Александр</v>
      </c>
      <c r="G8" s="220"/>
      <c r="H8" s="220"/>
      <c r="I8" s="213"/>
      <c r="J8" s="213"/>
      <c r="K8" s="213"/>
      <c r="L8" s="213"/>
      <c r="M8" s="213"/>
      <c r="N8" s="213"/>
      <c r="O8" s="213"/>
      <c r="P8" s="213"/>
      <c r="Q8" s="213"/>
      <c r="R8" s="221"/>
      <c r="S8" s="242"/>
      <c r="T8" s="242"/>
      <c r="U8" s="242"/>
      <c r="V8" s="242"/>
      <c r="W8" s="242"/>
      <c r="X8" s="241"/>
      <c r="Y8" s="208" t="s">
        <v>882</v>
      </c>
      <c r="Z8" s="290">
        <f>IF(O23="","",IF(N22=K14,K30,IF(N22=K30,K14)))</f>
        <v>19</v>
      </c>
      <c r="AA8" s="210" t="str">
        <f>IF(O23="",Z8,VLOOKUP(Z8,'Списки участников'!$A:$U,3,FALSE))</f>
        <v>МАРКЕЛОВ Игорь</v>
      </c>
      <c r="AB8" s="293"/>
      <c r="AC8" s="245"/>
      <c r="AD8" s="211" t="str">
        <f>IF(AC9="",AC9,VLOOKUP(AC9,'Списки участников'!$A:$O,6,FALSE))</f>
        <v>"ГЖД"</v>
      </c>
      <c r="AE8" s="223" t="s">
        <v>883</v>
      </c>
      <c r="AF8" s="294">
        <f>IF(F13="","",IF(E12=B13,B11,IF(E12=B11,B13)))</f>
        <v>35</v>
      </c>
      <c r="AG8" s="239" t="str">
        <f>IF(AF8="",AF8,VLOOKUP(AF8,'Списки участников'!$A:$U,3,FALSE))</f>
        <v>ГРИШИН Иван</v>
      </c>
      <c r="AH8" s="295"/>
      <c r="AI8" s="227"/>
      <c r="AJ8" s="228" t="str">
        <f>'ПРФ(32)'!R52</f>
        <v/>
      </c>
      <c r="AK8" s="229"/>
      <c r="AL8" s="296">
        <f>'ПРФ(32)'!G60</f>
        <v>35</v>
      </c>
      <c r="AM8" s="239" t="str">
        <f>IF('ПРФ(32)'!G60="",AL8,VLOOKUP(AL8,'Списки участников'!$A:$U,3,FALSE))</f>
        <v>ГРИШИН Иван</v>
      </c>
      <c r="AN8" s="231"/>
      <c r="AO8" s="231"/>
      <c r="AP8" s="231"/>
      <c r="AQ8" s="231"/>
      <c r="AR8" s="231"/>
      <c r="AS8" s="231"/>
    </row>
    <row r="9" spans="1:45" ht="10.5" customHeight="1" x14ac:dyDescent="0.2">
      <c r="A9" s="223">
        <v>2</v>
      </c>
      <c r="B9" s="224">
        <v>60</v>
      </c>
      <c r="C9" s="239" t="str">
        <f>IF(B9="",B9,VLOOKUP(B9,'Списки участников'!$A:$U,3,FALSE))</f>
        <v xml:space="preserve"> Х</v>
      </c>
      <c r="D9" s="297">
        <f>IF(B9="",B9,VLOOKUP(B9,'Списки участников'!A:O,6,FALSE))</f>
        <v>0</v>
      </c>
      <c r="E9" s="227"/>
      <c r="F9" s="228" t="str">
        <f>'ПРФ(32)'!R4</f>
        <v/>
      </c>
      <c r="G9" s="229"/>
      <c r="H9" s="230"/>
      <c r="I9" s="231"/>
      <c r="J9" s="231"/>
      <c r="K9" s="231"/>
      <c r="L9" s="231"/>
      <c r="M9" s="231"/>
      <c r="N9" s="231"/>
      <c r="O9" s="231"/>
      <c r="P9" s="231"/>
      <c r="Q9" s="231"/>
      <c r="R9" s="215"/>
      <c r="S9" s="237"/>
      <c r="T9" s="237"/>
      <c r="U9" s="237"/>
      <c r="V9" s="237"/>
      <c r="W9" s="237"/>
      <c r="X9" s="237"/>
      <c r="Y9" s="217"/>
      <c r="Z9" s="217"/>
      <c r="AA9" s="298"/>
      <c r="AB9" s="299" t="s">
        <v>34</v>
      </c>
      <c r="AC9" s="219">
        <f>'ПРФ(32)'!G35</f>
        <v>38</v>
      </c>
      <c r="AD9" s="239" t="str">
        <f>IF('ПРФ(32)'!G35="",AC9,VLOOKUP(AC9,'Списки участников'!$A:$U,3,FALSE))</f>
        <v>СИМУСЕВ Сергей</v>
      </c>
      <c r="AE9" s="208" t="s">
        <v>884</v>
      </c>
      <c r="AF9" s="290">
        <f>IF(F17="","",IF(E16=B15,B17,IF(E16=B17,B15)))</f>
        <v>22</v>
      </c>
      <c r="AG9" s="210" t="str">
        <f>IF(AF9="",AF9,VLOOKUP(AF9,'Списки участников'!$A:$U,3,FALSE))</f>
        <v>ГОГОЛЬ Александр</v>
      </c>
      <c r="AH9" s="265"/>
      <c r="AI9" s="212"/>
      <c r="AJ9" s="300"/>
      <c r="AK9" s="243" t="s">
        <v>67</v>
      </c>
      <c r="AL9" s="237"/>
      <c r="AM9" s="228" t="str">
        <f>'ПРФ(32)'!R60</f>
        <v>3:0</v>
      </c>
      <c r="AN9" s="229"/>
      <c r="AO9" s="230"/>
      <c r="AP9" s="231"/>
      <c r="AQ9" s="231"/>
      <c r="AR9" s="231"/>
      <c r="AS9" s="231"/>
    </row>
    <row r="10" spans="1:45" ht="10.5" customHeight="1" x14ac:dyDescent="0.2">
      <c r="A10" s="208"/>
      <c r="B10" s="208"/>
      <c r="C10" s="213"/>
      <c r="D10" s="233"/>
      <c r="E10" s="231"/>
      <c r="F10" s="300"/>
      <c r="G10" s="1137">
        <v>17</v>
      </c>
      <c r="H10" s="234">
        <f>'ПРФ(32)'!G20</f>
        <v>1</v>
      </c>
      <c r="I10" s="210" t="str">
        <f>IF('ПРФ(32)'!G20="",H10,VLOOKUP(H10,'Списки участников'!$A:$U,3,FALSE))</f>
        <v>НИКИФОРОВ Александр</v>
      </c>
      <c r="J10" s="220"/>
      <c r="K10" s="220"/>
      <c r="L10" s="231"/>
      <c r="M10" s="231"/>
      <c r="N10" s="231"/>
      <c r="O10" s="231"/>
      <c r="P10" s="231"/>
      <c r="Q10" s="231"/>
      <c r="R10" s="215"/>
      <c r="S10" s="237"/>
      <c r="T10" s="237"/>
      <c r="U10" s="241"/>
      <c r="V10" s="237"/>
      <c r="W10" s="237"/>
      <c r="X10" s="237"/>
      <c r="Y10" s="223" t="s">
        <v>885</v>
      </c>
      <c r="Z10" s="294">
        <f>IF(O55="","",IF(N54=K46,K62,IF(N54=K62,K46)))</f>
        <v>38</v>
      </c>
      <c r="AA10" s="239" t="str">
        <f>IF(O55="",Z10,VLOOKUP(Z10,'Списки участников'!$A:$U,3,FALSE))</f>
        <v>СИМУСЕВ Сергей</v>
      </c>
      <c r="AB10" s="301"/>
      <c r="AC10" s="302"/>
      <c r="AD10" s="455" t="str">
        <f>'ПРФ(32)'!R35</f>
        <v>3:1</v>
      </c>
      <c r="AE10" s="217"/>
      <c r="AF10" s="304"/>
      <c r="AG10" s="305"/>
      <c r="AH10" s="218" t="s">
        <v>60</v>
      </c>
      <c r="AI10" s="219">
        <f>'ПРФ(32)'!G53</f>
        <v>22</v>
      </c>
      <c r="AJ10" s="239" t="str">
        <f>IF('ПРФ(32)'!G53="",AI10,VLOOKUP(AI10,'Списки участников'!$A:$U,3,FALSE))</f>
        <v>ГОГОЛЬ Александр</v>
      </c>
      <c r="AK10" s="306"/>
      <c r="AL10" s="237"/>
      <c r="AM10" s="242"/>
      <c r="AN10" s="1009"/>
      <c r="AO10" s="230"/>
      <c r="AP10" s="231"/>
      <c r="AQ10" s="231"/>
      <c r="AR10" s="231"/>
      <c r="AS10" s="231"/>
    </row>
    <row r="11" spans="1:45" ht="10.5" customHeight="1" x14ac:dyDescent="0.2">
      <c r="A11" s="208">
        <v>3</v>
      </c>
      <c r="B11" s="209">
        <v>39</v>
      </c>
      <c r="C11" s="210" t="str">
        <f>IF(B11="",B11,VLOOKUP(B11,'Списки участников'!$A:$U,3,FALSE))</f>
        <v>ИСУПОВ Максим</v>
      </c>
      <c r="D11" s="211" t="str">
        <f>IF(B11="",B11,VLOOKUP(B11,'Списки участников'!A:O,6,FALSE))</f>
        <v>"ГЖД"</v>
      </c>
      <c r="E11" s="212"/>
      <c r="F11" s="300"/>
      <c r="G11" s="1137"/>
      <c r="H11" s="237"/>
      <c r="I11" s="228" t="str">
        <f>'ПРФ(32)'!R20</f>
        <v>3:0</v>
      </c>
      <c r="J11" s="229"/>
      <c r="K11" s="230"/>
      <c r="L11" s="231"/>
      <c r="M11" s="231"/>
      <c r="N11" s="231"/>
      <c r="O11" s="231"/>
      <c r="P11" s="231"/>
      <c r="Q11" s="231"/>
      <c r="R11" s="215"/>
      <c r="S11" s="237"/>
      <c r="T11" s="237"/>
      <c r="U11" s="237"/>
      <c r="V11" s="237"/>
      <c r="W11" s="237"/>
      <c r="X11" s="237"/>
      <c r="Y11" s="231"/>
      <c r="Z11" s="231"/>
      <c r="AA11" s="231"/>
      <c r="AB11" s="231"/>
      <c r="AC11" s="231"/>
      <c r="AD11" s="867" t="str">
        <f>CONCATENATE(M4+3," ","место")</f>
        <v>4 место</v>
      </c>
      <c r="AE11" s="223" t="s">
        <v>886</v>
      </c>
      <c r="AF11" s="294" t="str">
        <f>IF(F21="","",IF(E20=B19,B21,IF(E20=B21,B19)))</f>
        <v/>
      </c>
      <c r="AG11" s="239" t="str">
        <f>IF(AF11="",AF11,VLOOKUP(AF11,'Списки участников'!$A:$U,3,FALSE))</f>
        <v/>
      </c>
      <c r="AH11" s="295"/>
      <c r="AI11" s="227"/>
      <c r="AJ11" s="228" t="str">
        <f>'ПРФ(32)'!R53</f>
        <v/>
      </c>
      <c r="AK11" s="245"/>
      <c r="AL11" s="245"/>
      <c r="AM11" s="242"/>
      <c r="AN11" s="243"/>
      <c r="AO11" s="234">
        <f>'ПРФ(32)'!G64</f>
        <v>35</v>
      </c>
      <c r="AP11" s="239" t="str">
        <f>IF('ПРФ(32)'!G64="",AO11,VLOOKUP(AO11,'Списки участников'!$A:$U,3,FALSE))</f>
        <v>ГРИШИН Иван</v>
      </c>
      <c r="AQ11" s="231"/>
      <c r="AR11" s="231"/>
      <c r="AS11" s="231"/>
    </row>
    <row r="12" spans="1:45" ht="10.5" customHeight="1" x14ac:dyDescent="0.2">
      <c r="A12" s="217"/>
      <c r="B12" s="217"/>
      <c r="C12" s="292"/>
      <c r="D12" s="218">
        <v>2</v>
      </c>
      <c r="E12" s="219">
        <f>'ПРФ(32)'!G5</f>
        <v>39</v>
      </c>
      <c r="F12" s="210" t="str">
        <f>IF('ПРФ(32)'!G5="",E12,VLOOKUP(E12,'Списки участников'!$A:$U,3,FALSE))</f>
        <v>ИСУПОВ Максим</v>
      </c>
      <c r="G12" s="240"/>
      <c r="H12" s="241"/>
      <c r="I12" s="242"/>
      <c r="J12" s="243"/>
      <c r="K12" s="242"/>
      <c r="L12" s="231"/>
      <c r="M12" s="231"/>
      <c r="N12" s="231"/>
      <c r="O12" s="231"/>
      <c r="P12" s="231"/>
      <c r="Q12" s="231"/>
      <c r="R12" s="215"/>
      <c r="S12" s="237"/>
      <c r="T12" s="237"/>
      <c r="U12" s="237"/>
      <c r="V12" s="237"/>
      <c r="W12" s="237"/>
      <c r="X12" s="237"/>
      <c r="Y12" s="231"/>
      <c r="Z12" s="231"/>
      <c r="AA12" s="231"/>
      <c r="AB12" s="231"/>
      <c r="AC12" s="231"/>
      <c r="AD12" s="211" t="str">
        <f>IF(AC13="",AC13,VLOOKUP(AC13,'Списки участников'!$A:$O,6,FALSE))</f>
        <v>НПАП №1</v>
      </c>
      <c r="AE12" s="208" t="s">
        <v>887</v>
      </c>
      <c r="AF12" s="290" t="str">
        <f>IF(F25="","",IF(E24=B23,B25,IF(E24=B25,B23)))</f>
        <v/>
      </c>
      <c r="AG12" s="210" t="str">
        <f>IF(AF12="",AF12,VLOOKUP(AF12,'Списки участников'!$A:$U,3,FALSE))</f>
        <v/>
      </c>
      <c r="AH12" s="265"/>
      <c r="AI12" s="212"/>
      <c r="AJ12" s="231"/>
      <c r="AK12" s="231"/>
      <c r="AL12" s="231"/>
      <c r="AM12" s="242"/>
      <c r="AN12" s="243" t="s">
        <v>730</v>
      </c>
      <c r="AO12" s="237"/>
      <c r="AP12" s="228" t="str">
        <f>'ПРФ(32)'!R64</f>
        <v>3:0</v>
      </c>
      <c r="AQ12" s="229"/>
      <c r="AR12" s="230"/>
      <c r="AS12" s="231"/>
    </row>
    <row r="13" spans="1:45" ht="10.5" customHeight="1" x14ac:dyDescent="0.2">
      <c r="A13" s="223">
        <v>4</v>
      </c>
      <c r="B13" s="224">
        <v>35</v>
      </c>
      <c r="C13" s="239" t="str">
        <f>IF(B13="",B13,VLOOKUP(B13,'Списки участников'!$A:$U,3,FALSE))</f>
        <v>ГРИШИН Иван</v>
      </c>
      <c r="D13" s="297" t="str">
        <f>IF(B13="",B13,VLOOKUP(B13,'Списки участников'!A:O,6,FALSE))</f>
        <v>АО "ОКБМ"</v>
      </c>
      <c r="E13" s="227"/>
      <c r="F13" s="228" t="str">
        <f>'ПРФ(32)'!R5</f>
        <v>3:0</v>
      </c>
      <c r="G13" s="245"/>
      <c r="H13" s="245"/>
      <c r="I13" s="242"/>
      <c r="J13" s="243"/>
      <c r="K13" s="242"/>
      <c r="L13" s="231"/>
      <c r="M13" s="231"/>
      <c r="N13" s="231"/>
      <c r="O13" s="231"/>
      <c r="P13" s="231"/>
      <c r="Q13" s="231"/>
      <c r="R13" s="215"/>
      <c r="S13" s="237"/>
      <c r="T13" s="237"/>
      <c r="U13" s="237"/>
      <c r="V13" s="237"/>
      <c r="W13" s="237"/>
      <c r="X13" s="237"/>
      <c r="Y13" s="231"/>
      <c r="Z13" s="231"/>
      <c r="AA13" s="231"/>
      <c r="AB13" s="307" t="s">
        <v>888</v>
      </c>
      <c r="AC13" s="268">
        <f>IF(AD10="","",IF(AC9=Z8,Z10,IF(AC9=Z10,Z8)))</f>
        <v>19</v>
      </c>
      <c r="AD13" s="239" t="str">
        <f>IF(AD10="",AC13,VLOOKUP(AC13,'Списки участников'!$A:$U,3,FALSE))</f>
        <v>МАРКЕЛОВ Игорь</v>
      </c>
      <c r="AE13" s="217"/>
      <c r="AF13" s="217"/>
      <c r="AG13" s="292"/>
      <c r="AH13" s="218" t="s">
        <v>61</v>
      </c>
      <c r="AI13" s="219">
        <f>'ПРФ(32)'!G54</f>
        <v>6</v>
      </c>
      <c r="AJ13" s="239" t="str">
        <f>IF('ПРФ(32)'!G54="",AI13,VLOOKUP(AI13,'Списки участников'!$A:$U,3,FALSE))</f>
        <v>ЯШУНИН Андрей</v>
      </c>
      <c r="AK13" s="220"/>
      <c r="AL13" s="220"/>
      <c r="AM13" s="242"/>
      <c r="AN13" s="243"/>
      <c r="AO13" s="242"/>
      <c r="AP13" s="242"/>
      <c r="AQ13" s="243"/>
      <c r="AR13" s="242"/>
      <c r="AS13" s="231"/>
    </row>
    <row r="14" spans="1:45" ht="10.5" customHeight="1" x14ac:dyDescent="0.2">
      <c r="A14" s="208"/>
      <c r="B14" s="208"/>
      <c r="C14" s="213"/>
      <c r="D14" s="233"/>
      <c r="E14" s="231"/>
      <c r="F14" s="231"/>
      <c r="G14" s="231"/>
      <c r="H14" s="231"/>
      <c r="I14" s="242"/>
      <c r="J14" s="1137">
        <v>25</v>
      </c>
      <c r="K14" s="234">
        <f>'ПРФ(32)'!G28</f>
        <v>1</v>
      </c>
      <c r="L14" s="210" t="str">
        <f>IF('ПРФ(32)'!G28="",K14,VLOOKUP(K14,'Списки участников'!$A:$U,3,FALSE))</f>
        <v>НИКИФОРОВ Александр</v>
      </c>
      <c r="M14" s="220"/>
      <c r="N14" s="220"/>
      <c r="O14" s="231"/>
      <c r="P14" s="231"/>
      <c r="Q14" s="231"/>
      <c r="R14" s="231"/>
      <c r="S14" s="308"/>
      <c r="T14" s="309"/>
      <c r="U14" s="237"/>
      <c r="V14" s="310" t="s">
        <v>92</v>
      </c>
      <c r="W14" s="311">
        <f>IF(L15="","",IF(K14=H10,H18,IF(K14=H18,H10)))</f>
        <v>34</v>
      </c>
      <c r="X14" s="210" t="str">
        <f>IF(L15="",W14,VLOOKUP(W14,'Списки участников'!$A:$U,3,FALSE))</f>
        <v>ТИНЬКОВ Александр</v>
      </c>
      <c r="Y14" s="231"/>
      <c r="Z14" s="231"/>
      <c r="AA14" s="231"/>
      <c r="AB14" s="231"/>
      <c r="AC14" s="231"/>
      <c r="AD14" s="237"/>
      <c r="AE14" s="223" t="s">
        <v>889</v>
      </c>
      <c r="AF14" s="294">
        <f>IF(F29="","",IF(E28=B27,B29,IF(E28=B29,B27)))</f>
        <v>6</v>
      </c>
      <c r="AG14" s="239" t="str">
        <f>IF(AF14="",AF14,VLOOKUP(AF14,'Списки участников'!$A:$U,3,FALSE))</f>
        <v>ЯШУНИН Андрей</v>
      </c>
      <c r="AH14" s="295"/>
      <c r="AI14" s="227"/>
      <c r="AJ14" s="228" t="str">
        <f>'ПРФ(32)'!R54</f>
        <v/>
      </c>
      <c r="AK14" s="229"/>
      <c r="AL14" s="230"/>
      <c r="AM14" s="242"/>
      <c r="AN14" s="243"/>
      <c r="AO14" s="242"/>
      <c r="AP14" s="242"/>
      <c r="AQ14" s="243"/>
      <c r="AR14" s="242"/>
      <c r="AS14" s="231"/>
    </row>
    <row r="15" spans="1:45" ht="10.5" customHeight="1" x14ac:dyDescent="0.2">
      <c r="A15" s="208">
        <v>5</v>
      </c>
      <c r="B15" s="209">
        <v>22</v>
      </c>
      <c r="C15" s="210" t="str">
        <f>IF(B15="",B15,VLOOKUP(B15,'Списки участников'!$A:$U,3,FALSE))</f>
        <v>ГОГОЛЬ Александр</v>
      </c>
      <c r="D15" s="211" t="str">
        <f>IF(B15="",B15,VLOOKUP(B15,'Списки участников'!A:O,6,FALSE))</f>
        <v>НИИИС</v>
      </c>
      <c r="E15" s="212"/>
      <c r="F15" s="231"/>
      <c r="G15" s="231"/>
      <c r="H15" s="231"/>
      <c r="I15" s="242"/>
      <c r="J15" s="1137"/>
      <c r="K15" s="237"/>
      <c r="L15" s="228" t="str">
        <f>'ПРФ(32)'!R28</f>
        <v>3:0</v>
      </c>
      <c r="M15" s="229"/>
      <c r="N15" s="230"/>
      <c r="O15" s="231"/>
      <c r="P15" s="231"/>
      <c r="Q15" s="231"/>
      <c r="R15" s="215"/>
      <c r="S15" s="308"/>
      <c r="T15" s="308"/>
      <c r="U15" s="237"/>
      <c r="V15" s="217"/>
      <c r="W15" s="217"/>
      <c r="X15" s="298"/>
      <c r="Y15" s="229" t="s">
        <v>24</v>
      </c>
      <c r="Z15" s="219">
        <f>'ПРФ(32)'!G36</f>
        <v>11</v>
      </c>
      <c r="AA15" s="239" t="str">
        <f>IF('ПРФ(32)'!G36="",Z15,VLOOKUP(Z15,'Списки участников'!$A:$U,3,FALSE))</f>
        <v>ФИНАГИН Кирилл</v>
      </c>
      <c r="AB15" s="241"/>
      <c r="AC15" s="241"/>
      <c r="AD15" s="867" t="str">
        <f>CONCATENATE(M4+4," ","место")</f>
        <v>5 место</v>
      </c>
      <c r="AE15" s="208" t="s">
        <v>890</v>
      </c>
      <c r="AF15" s="290">
        <f>IF(F33="","",IF(E32=B31,B33,IF(E32=B33,B31)))</f>
        <v>18</v>
      </c>
      <c r="AG15" s="210" t="str">
        <f>IF(AF15="",AF15,VLOOKUP(AF15,'Списки участников'!$A:$U,3,FALSE))</f>
        <v>ВОЛКОВ Валерий</v>
      </c>
      <c r="AH15" s="265"/>
      <c r="AI15" s="212"/>
      <c r="AJ15" s="300"/>
      <c r="AK15" s="243" t="s">
        <v>727</v>
      </c>
      <c r="AL15" s="296">
        <f>'ПРФ(32)'!G61</f>
        <v>6</v>
      </c>
      <c r="AM15" s="239" t="str">
        <f>IF('ПРФ(32)'!G61="",AL15,VLOOKUP(AL15,'Списки участников'!$A:$U,3,FALSE))</f>
        <v>ЯШУНИН Андрей</v>
      </c>
      <c r="AN15" s="313"/>
      <c r="AO15" s="245"/>
      <c r="AP15" s="242"/>
      <c r="AQ15" s="243"/>
      <c r="AR15" s="242"/>
      <c r="AS15" s="231"/>
    </row>
    <row r="16" spans="1:45" ht="10.5" customHeight="1" x14ac:dyDescent="0.2">
      <c r="A16" s="217"/>
      <c r="B16" s="217"/>
      <c r="C16" s="292"/>
      <c r="D16" s="218">
        <v>3</v>
      </c>
      <c r="E16" s="219">
        <f>'ПРФ(32)'!G6</f>
        <v>26</v>
      </c>
      <c r="F16" s="210" t="str">
        <f>IF('ПРФ(32)'!G6="",E16,VLOOKUP(E16,'Списки участников'!$A:$U,3,FALSE))</f>
        <v>ТЫЛЕЧКИН Валерий</v>
      </c>
      <c r="G16" s="220"/>
      <c r="H16" s="220"/>
      <c r="I16" s="242"/>
      <c r="J16" s="243"/>
      <c r="K16" s="242"/>
      <c r="L16" s="242"/>
      <c r="M16" s="243"/>
      <c r="N16" s="242"/>
      <c r="O16" s="231"/>
      <c r="P16" s="231"/>
      <c r="Q16" s="231"/>
      <c r="R16" s="215"/>
      <c r="S16" s="308"/>
      <c r="T16" s="309"/>
      <c r="U16" s="237"/>
      <c r="V16" s="223" t="s">
        <v>58</v>
      </c>
      <c r="W16" s="294">
        <f>IF(L31="","",IF(K30=H26,H34,IF(K30=H34,H26)))</f>
        <v>11</v>
      </c>
      <c r="X16" s="239" t="str">
        <f>IF(L31="",W16,VLOOKUP(W16,'Списки участников'!$A:$U,3,FALSE))</f>
        <v>ФИНАГИН Кирилл</v>
      </c>
      <c r="Y16" s="306"/>
      <c r="Z16" s="302"/>
      <c r="AA16" s="455" t="str">
        <f>'ПРФ(32)'!R36</f>
        <v>3:1</v>
      </c>
      <c r="AB16" s="229"/>
      <c r="AC16" s="230"/>
      <c r="AD16" s="211" t="str">
        <f>IF(AC17="",AC17,VLOOKUP(AC17,'Списки участников'!$A:$O,6,FALSE))</f>
        <v>АО ФНПЦ НИИРТ</v>
      </c>
      <c r="AE16" s="217"/>
      <c r="AF16" s="217"/>
      <c r="AG16" s="292"/>
      <c r="AH16" s="218" t="s">
        <v>62</v>
      </c>
      <c r="AI16" s="219">
        <f>'ПРФ(32)'!G55</f>
        <v>18</v>
      </c>
      <c r="AJ16" s="239" t="str">
        <f>IF('ПРФ(32)'!G55="",AI16,VLOOKUP(AI16,'Списки участников'!$A:$U,3,FALSE))</f>
        <v>ВОЛКОВ Валерий</v>
      </c>
      <c r="AK16" s="240"/>
      <c r="AL16" s="237"/>
      <c r="AM16" s="228" t="str">
        <f>'ПРФ(32)'!R61</f>
        <v>3:0</v>
      </c>
      <c r="AN16" s="231"/>
      <c r="AO16" s="231"/>
      <c r="AP16" s="242"/>
      <c r="AQ16" s="243"/>
      <c r="AR16" s="242"/>
    </row>
    <row r="17" spans="1:46" ht="10.5" customHeight="1" x14ac:dyDescent="0.2">
      <c r="A17" s="223">
        <v>6</v>
      </c>
      <c r="B17" s="224">
        <v>26</v>
      </c>
      <c r="C17" s="239" t="str">
        <f>IF(B17="",B17,VLOOKUP(B17,'Списки участников'!$A:$U,3,FALSE))</f>
        <v>ТЫЛЕЧКИН Валерий</v>
      </c>
      <c r="D17" s="315" t="str">
        <f>IF(B17="",B17,VLOOKUP(B17,'Списки участников'!A:O,6,FALSE))</f>
        <v>"КРАСНОЕ СОРМОВО"</v>
      </c>
      <c r="E17" s="227"/>
      <c r="F17" s="228" t="str">
        <f>'ПРФ(32)'!R6</f>
        <v>3:0</v>
      </c>
      <c r="G17" s="229"/>
      <c r="H17" s="230"/>
      <c r="I17" s="242"/>
      <c r="J17" s="243"/>
      <c r="K17" s="242"/>
      <c r="L17" s="242"/>
      <c r="M17" s="243"/>
      <c r="N17" s="242"/>
      <c r="O17" s="231"/>
      <c r="P17" s="231"/>
      <c r="Q17" s="231"/>
      <c r="R17" s="215"/>
      <c r="S17" s="308"/>
      <c r="T17" s="308"/>
      <c r="U17" s="241"/>
      <c r="V17" s="310"/>
      <c r="W17" s="310"/>
      <c r="X17" s="241"/>
      <c r="Y17" s="310"/>
      <c r="Z17" s="310"/>
      <c r="AA17" s="230"/>
      <c r="AB17" s="1137" t="s">
        <v>16</v>
      </c>
      <c r="AC17" s="219">
        <f>'ПРФ(32)'!G38</f>
        <v>2</v>
      </c>
      <c r="AD17" s="239" t="str">
        <f>IF('ПРФ(32)'!G38="",AC17,VLOOKUP(AC17,'Списки участников'!$A:$U,3,FALSE))</f>
        <v>РОЙТМАН Дмитрий</v>
      </c>
      <c r="AE17" s="223" t="s">
        <v>891</v>
      </c>
      <c r="AF17" s="294" t="str">
        <f>IF(F37="","",IF(E36=B35,B37,IF(E36=B37,B35)))</f>
        <v/>
      </c>
      <c r="AG17" s="239" t="str">
        <f>IF(AF17="",AF17,VLOOKUP(AF17,'Списки участников'!$A:$U,3,FALSE))</f>
        <v/>
      </c>
      <c r="AH17" s="295"/>
      <c r="AI17" s="227"/>
      <c r="AJ17" s="228" t="str">
        <f>'ПРФ(32)'!R55</f>
        <v/>
      </c>
      <c r="AK17" s="245"/>
      <c r="AL17" s="245"/>
      <c r="AM17" s="231"/>
      <c r="AN17" s="231"/>
      <c r="AO17" s="231"/>
      <c r="AP17" s="242"/>
      <c r="AQ17" s="243"/>
      <c r="AR17" s="242"/>
      <c r="AS17" s="867" t="str">
        <f>CONCATENATE(M4+16," ","место")</f>
        <v>17 место</v>
      </c>
    </row>
    <row r="18" spans="1:46" ht="10.5" customHeight="1" x14ac:dyDescent="0.2">
      <c r="A18" s="208"/>
      <c r="B18" s="208"/>
      <c r="C18" s="213"/>
      <c r="D18" s="233"/>
      <c r="E18" s="231"/>
      <c r="F18" s="300"/>
      <c r="G18" s="1137" t="s">
        <v>14</v>
      </c>
      <c r="H18" s="234">
        <f>'ПРФ(32)'!G21</f>
        <v>34</v>
      </c>
      <c r="I18" s="210" t="str">
        <f>IF('ПРФ(32)'!G21="",H18,VLOOKUP(H18,'Списки участников'!$A:$U,3,FALSE))</f>
        <v>ТИНЬКОВ Александр</v>
      </c>
      <c r="J18" s="240"/>
      <c r="K18" s="241"/>
      <c r="L18" s="242"/>
      <c r="M18" s="243"/>
      <c r="N18" s="242"/>
      <c r="O18" s="231"/>
      <c r="P18" s="231"/>
      <c r="Q18" s="231"/>
      <c r="R18" s="215"/>
      <c r="S18" s="308"/>
      <c r="T18" s="309"/>
      <c r="U18" s="230"/>
      <c r="V18" s="310" t="s">
        <v>56</v>
      </c>
      <c r="W18" s="311">
        <f>IF(L47="","",IF(K46=H42,H50,IF(K46=H50,H42)))</f>
        <v>46</v>
      </c>
      <c r="X18" s="210" t="str">
        <f>IF(W18="",W18,VLOOKUP(W18,'Списки участников'!$A:$U,3,FALSE))</f>
        <v>МАТВЕЕВ Сергей</v>
      </c>
      <c r="Y18" s="310"/>
      <c r="Z18" s="310"/>
      <c r="AA18" s="237"/>
      <c r="AB18" s="1137"/>
      <c r="AC18" s="302"/>
      <c r="AD18" s="455" t="str">
        <f>'ПРФ(32)'!R38</f>
        <v>3:1</v>
      </c>
      <c r="AE18" s="208" t="s">
        <v>892</v>
      </c>
      <c r="AF18" s="290" t="str">
        <f>IF(F41="","",IF(E40=B39,B41,IF(E40=B41,B39)))</f>
        <v/>
      </c>
      <c r="AG18" s="210" t="str">
        <f>IF(AF18="",AF18,VLOOKUP(AF18,'Списки участников'!$A:$U,3,FALSE))</f>
        <v/>
      </c>
      <c r="AH18" s="265"/>
      <c r="AI18" s="212"/>
      <c r="AJ18" s="231"/>
      <c r="AK18" s="231"/>
      <c r="AL18" s="231"/>
      <c r="AM18" s="231"/>
      <c r="AN18" s="231"/>
      <c r="AO18" s="231"/>
      <c r="AP18" s="242"/>
      <c r="AQ18" s="1137" t="s">
        <v>68</v>
      </c>
      <c r="AR18" s="219">
        <f>'ПРФ(32)'!G66</f>
        <v>13</v>
      </c>
      <c r="AS18" s="239" t="str">
        <f>IF('ПРФ(32)'!G66="",AR18,VLOOKUP(AR18,'Списки участников'!$A:$U,3,FALSE))</f>
        <v>ВАХРОМОВ Андрей</v>
      </c>
    </row>
    <row r="19" spans="1:46" ht="10.5" customHeight="1" x14ac:dyDescent="0.2">
      <c r="A19" s="208">
        <v>7</v>
      </c>
      <c r="B19" s="209">
        <v>60</v>
      </c>
      <c r="C19" s="210" t="str">
        <f>IF(B19="",B19,VLOOKUP(B19,'Списки участников'!$A:$U,3,FALSE))</f>
        <v xml:space="preserve"> Х</v>
      </c>
      <c r="D19" s="211">
        <f>IF(B19="",B19,VLOOKUP(B19,'Списки участников'!A:O,6,FALSE))</f>
        <v>0</v>
      </c>
      <c r="E19" s="212"/>
      <c r="F19" s="300"/>
      <c r="G19" s="1137"/>
      <c r="H19" s="237"/>
      <c r="I19" s="228" t="str">
        <f>'ПРФ(32)'!R21</f>
        <v>3:0</v>
      </c>
      <c r="J19" s="245"/>
      <c r="K19" s="245"/>
      <c r="L19" s="242"/>
      <c r="M19" s="243"/>
      <c r="N19" s="242"/>
      <c r="O19" s="231"/>
      <c r="P19" s="231"/>
      <c r="Q19" s="231"/>
      <c r="R19" s="215"/>
      <c r="S19" s="308"/>
      <c r="T19" s="308"/>
      <c r="U19" s="237"/>
      <c r="V19" s="217"/>
      <c r="W19" s="217"/>
      <c r="X19" s="298"/>
      <c r="Y19" s="229" t="s">
        <v>20</v>
      </c>
      <c r="Z19" s="219">
        <f>'ПРФ(32)'!G37</f>
        <v>2</v>
      </c>
      <c r="AA19" s="239" t="str">
        <f>IF('ПРФ(32)'!G37="",Z19,VLOOKUP(Z19,'Списки участников'!$A:$U,3,FALSE))</f>
        <v>РОЙТМАН Дмитрий</v>
      </c>
      <c r="AB19" s="240"/>
      <c r="AC19" s="241"/>
      <c r="AD19" s="867" t="str">
        <f>CONCATENATE(M4+5," ","место")</f>
        <v>6 место</v>
      </c>
      <c r="AE19" s="217"/>
      <c r="AF19" s="217"/>
      <c r="AG19" s="292"/>
      <c r="AH19" s="218" t="s">
        <v>63</v>
      </c>
      <c r="AI19" s="219">
        <f>'ПРФ(32)'!G56</f>
        <v>13</v>
      </c>
      <c r="AJ19" s="239" t="str">
        <f>IF('ПРФ(32)'!G56="",AI19,VLOOKUP(AI19,'Списки участников'!$A:$U,3,FALSE))</f>
        <v>ВАХРОМОВ Андрей</v>
      </c>
      <c r="AK19" s="220"/>
      <c r="AL19" s="220"/>
      <c r="AM19" s="231"/>
      <c r="AN19" s="231"/>
      <c r="AO19" s="231"/>
      <c r="AP19" s="242"/>
      <c r="AQ19" s="1137"/>
      <c r="AR19" s="242"/>
      <c r="AS19" s="244" t="str">
        <f>'ПРФ(32)'!R66</f>
        <v>3:0</v>
      </c>
    </row>
    <row r="20" spans="1:46" ht="10.5" customHeight="1" x14ac:dyDescent="0.2">
      <c r="A20" s="217"/>
      <c r="B20" s="217"/>
      <c r="C20" s="292"/>
      <c r="D20" s="218">
        <v>4</v>
      </c>
      <c r="E20" s="219">
        <f>'ПРФ(32)'!G7</f>
        <v>34</v>
      </c>
      <c r="F20" s="239" t="str">
        <f>IF('ПРФ(32)'!G7="",E20,VLOOKUP(E20,'Списки участников'!$A:$U,3,FALSE))</f>
        <v>ТИНЬКОВ Александр</v>
      </c>
      <c r="G20" s="240"/>
      <c r="H20" s="241"/>
      <c r="I20" s="231"/>
      <c r="J20" s="231"/>
      <c r="K20" s="231"/>
      <c r="L20" s="242"/>
      <c r="M20" s="243"/>
      <c r="N20" s="242"/>
      <c r="O20" s="231"/>
      <c r="P20" s="231"/>
      <c r="Q20" s="231"/>
      <c r="R20" s="215"/>
      <c r="S20" s="308"/>
      <c r="T20" s="309"/>
      <c r="U20" s="237"/>
      <c r="V20" s="223" t="s">
        <v>93</v>
      </c>
      <c r="W20" s="294">
        <f>IF(L63="","",IF(K62=H58,H66,IF(K62=H66,H58)))</f>
        <v>2</v>
      </c>
      <c r="X20" s="239" t="str">
        <f>IF(L63="",W20,VLOOKUP(W20,'Списки участников'!$A:$U,3,FALSE))</f>
        <v>РОЙТМАН Дмитрий</v>
      </c>
      <c r="Y20" s="306"/>
      <c r="Z20" s="302"/>
      <c r="AA20" s="455" t="str">
        <f>'ПРФ(32)'!R37</f>
        <v>3:1</v>
      </c>
      <c r="AB20" s="230"/>
      <c r="AC20" s="230"/>
      <c r="AD20" s="211" t="str">
        <f>IF(AC21="",AC21,VLOOKUP(AC21,'Списки участников'!$A:$O,6,FALSE))</f>
        <v>ОАО "НИАЭП"</v>
      </c>
      <c r="AE20" s="223" t="s">
        <v>893</v>
      </c>
      <c r="AF20" s="294">
        <f>IF(F45="","",IF(E44=B45,B43,IF(E44=B43,B45)))</f>
        <v>13</v>
      </c>
      <c r="AG20" s="239" t="str">
        <f>IF(AF20="",AF20,VLOOKUP(AF20,'Списки участников'!$A:$U,3,FALSE))</f>
        <v>ВАХРОМОВ Андрей</v>
      </c>
      <c r="AH20" s="295"/>
      <c r="AI20" s="227"/>
      <c r="AJ20" s="228" t="str">
        <f>'ПРФ(32)'!R56</f>
        <v/>
      </c>
      <c r="AK20" s="229"/>
      <c r="AL20" s="296">
        <f>'ПРФ(32)'!G62</f>
        <v>13</v>
      </c>
      <c r="AM20" s="239" t="str">
        <f>IF('ПРФ(32)'!G62="",AL20,VLOOKUP(AL20,'Списки участников'!$A:$U,3,FALSE))</f>
        <v>ВАХРОМОВ Андрей</v>
      </c>
      <c r="AN20" s="231"/>
      <c r="AO20" s="231"/>
      <c r="AP20" s="242"/>
      <c r="AQ20" s="243"/>
      <c r="AR20" s="242"/>
      <c r="AS20" s="231"/>
    </row>
    <row r="21" spans="1:46" ht="10.5" customHeight="1" x14ac:dyDescent="0.2">
      <c r="A21" s="223">
        <v>8</v>
      </c>
      <c r="B21" s="224">
        <v>34</v>
      </c>
      <c r="C21" s="239" t="str">
        <f>IF(B21="",B21,VLOOKUP(B21,'Списки участников'!$A:$U,3,FALSE))</f>
        <v>ТИНЬКОВ Александр</v>
      </c>
      <c r="D21" s="297" t="str">
        <f>IF(B21="",B21,VLOOKUP(B21,'Списки участников'!A:O,6,FALSE))</f>
        <v>АО "ОКБМ"</v>
      </c>
      <c r="E21" s="227"/>
      <c r="F21" s="228" t="str">
        <f>'ПРФ(32)'!R7</f>
        <v/>
      </c>
      <c r="G21" s="245"/>
      <c r="H21" s="245"/>
      <c r="I21" s="231"/>
      <c r="J21" s="231"/>
      <c r="K21" s="231"/>
      <c r="L21" s="242"/>
      <c r="M21" s="243"/>
      <c r="N21" s="242"/>
      <c r="O21" s="231"/>
      <c r="P21" s="231"/>
      <c r="Q21" s="231"/>
      <c r="R21" s="215"/>
      <c r="S21" s="237"/>
      <c r="T21" s="237"/>
      <c r="U21" s="237"/>
      <c r="V21" s="237"/>
      <c r="W21" s="237"/>
      <c r="X21" s="237"/>
      <c r="Y21" s="310"/>
      <c r="Z21" s="310"/>
      <c r="AA21" s="237"/>
      <c r="AB21" s="316" t="s">
        <v>894</v>
      </c>
      <c r="AC21" s="317">
        <f>IF(AD18="","",IF(AC17=Z15,Z19,IF(AC17=Z19,Z15)))</f>
        <v>11</v>
      </c>
      <c r="AD21" s="239" t="str">
        <f>IF(AD18="",AC21,VLOOKUP(AC21,'Списки участников'!$A:$U,3,FALSE))</f>
        <v>ФИНАГИН Кирилл</v>
      </c>
      <c r="AE21" s="208" t="s">
        <v>2</v>
      </c>
      <c r="AF21" s="290">
        <f>IF(F49="","",IF(E48=B47,B49,IF(E48=B49,B47)))</f>
        <v>43</v>
      </c>
      <c r="AG21" s="210" t="str">
        <f>IF(AF21="",AF21,VLOOKUP(AF21,'Списки участников'!$A:$U,3,FALSE))</f>
        <v>ЕСЬКИН Михаил</v>
      </c>
      <c r="AH21" s="265"/>
      <c r="AI21" s="212"/>
      <c r="AJ21" s="300"/>
      <c r="AK21" s="243" t="s">
        <v>728</v>
      </c>
      <c r="AL21" s="237"/>
      <c r="AM21" s="228" t="str">
        <f>'ПРФ(32)'!R62</f>
        <v>3:0</v>
      </c>
      <c r="AN21" s="229"/>
      <c r="AO21" s="230"/>
      <c r="AP21" s="242"/>
      <c r="AQ21" s="243"/>
      <c r="AR21" s="242"/>
      <c r="AS21" s="231"/>
    </row>
    <row r="22" spans="1:46" ht="10.5" customHeight="1" x14ac:dyDescent="0.2">
      <c r="A22" s="208"/>
      <c r="B22" s="208"/>
      <c r="C22" s="213"/>
      <c r="D22" s="233"/>
      <c r="E22" s="231"/>
      <c r="F22" s="231"/>
      <c r="G22" s="231"/>
      <c r="H22" s="231"/>
      <c r="I22" s="231"/>
      <c r="J22" s="231"/>
      <c r="K22" s="231"/>
      <c r="L22" s="242"/>
      <c r="M22" s="1137">
        <v>29</v>
      </c>
      <c r="N22" s="234">
        <f>'ПРФ(32)'!G32</f>
        <v>1</v>
      </c>
      <c r="O22" s="239" t="str">
        <f>IF('ПРФ(32)'!G32="",N22,VLOOKUP(N22,'Списки участников'!$A:$U,3,FALSE))</f>
        <v>НИКИФОРОВ Александр</v>
      </c>
      <c r="P22" s="220"/>
      <c r="Q22" s="220"/>
      <c r="R22" s="215"/>
      <c r="S22" s="237"/>
      <c r="T22" s="237"/>
      <c r="U22" s="237"/>
      <c r="V22" s="237"/>
      <c r="W22" s="237"/>
      <c r="X22" s="237"/>
      <c r="Y22" s="310"/>
      <c r="Z22" s="310"/>
      <c r="AA22" s="302"/>
      <c r="AB22" s="302"/>
      <c r="AC22" s="302" t="str">
        <f>IF(AB1="","",IF(AB1=#REF!,Y17,IF(AB1=Y17,#REF!)))</f>
        <v/>
      </c>
      <c r="AD22" s="237"/>
      <c r="AE22" s="217"/>
      <c r="AF22" s="217"/>
      <c r="AG22" s="292"/>
      <c r="AH22" s="218" t="s">
        <v>64</v>
      </c>
      <c r="AI22" s="219">
        <f>'ПРФ(32)'!G57</f>
        <v>43</v>
      </c>
      <c r="AJ22" s="239" t="str">
        <f>IF('ПРФ(32)'!G57="",AI22,VLOOKUP(AI22,'Списки участников'!$A:$U,3,FALSE))</f>
        <v>ЕСЬКИН Михаил</v>
      </c>
      <c r="AK22" s="240"/>
      <c r="AL22" s="241"/>
      <c r="AM22" s="242"/>
      <c r="AN22" s="243"/>
      <c r="AO22" s="242"/>
      <c r="AP22" s="242"/>
      <c r="AQ22" s="243"/>
      <c r="AR22" s="242"/>
      <c r="AT22" s="318"/>
    </row>
    <row r="23" spans="1:46" ht="10.5" customHeight="1" x14ac:dyDescent="0.2">
      <c r="A23" s="208">
        <v>9</v>
      </c>
      <c r="B23" s="209">
        <v>11</v>
      </c>
      <c r="C23" s="210" t="str">
        <f>IF(B23="",B23,VLOOKUP(B23,'Списки участников'!$A:$U,3,FALSE))</f>
        <v>ФИНАГИН Кирилл</v>
      </c>
      <c r="D23" s="211" t="str">
        <f>IF(B23="",B23,VLOOKUP(B23,'Списки участников'!A:O,6,FALSE))</f>
        <v>ОАО "НИАЭП"</v>
      </c>
      <c r="E23" s="212"/>
      <c r="F23" s="231"/>
      <c r="G23" s="231"/>
      <c r="H23" s="231"/>
      <c r="I23" s="231"/>
      <c r="J23" s="231"/>
      <c r="K23" s="231"/>
      <c r="L23" s="242"/>
      <c r="M23" s="1137"/>
      <c r="N23" s="237"/>
      <c r="O23" s="244" t="str">
        <f>'ПРФ(32)'!R32</f>
        <v>3:0</v>
      </c>
      <c r="P23" s="229"/>
      <c r="Q23" s="230"/>
      <c r="R23" s="215"/>
      <c r="S23" s="237"/>
      <c r="T23" s="237"/>
      <c r="U23" s="237"/>
      <c r="V23" s="237"/>
      <c r="W23" s="237"/>
      <c r="X23" s="237"/>
      <c r="Y23" s="231"/>
      <c r="Z23" s="231"/>
      <c r="AA23" s="231"/>
      <c r="AB23" s="231"/>
      <c r="AC23" s="231"/>
      <c r="AD23" s="867" t="str">
        <f>CONCATENATE(M4+6," ","место")</f>
        <v>7 место</v>
      </c>
      <c r="AE23" s="223" t="s">
        <v>895</v>
      </c>
      <c r="AF23" s="294" t="str">
        <f>IF(F53="","",IF(E52=B51,B53,IF(E52=B53,B51)))</f>
        <v/>
      </c>
      <c r="AG23" s="239" t="str">
        <f>IF(AF23="",AF23,VLOOKUP(AF23,'Списки участников'!$A:$U,3,FALSE))</f>
        <v/>
      </c>
      <c r="AH23" s="295"/>
      <c r="AI23" s="227"/>
      <c r="AJ23" s="228" t="str">
        <f>'ПРФ(32)'!R57</f>
        <v/>
      </c>
      <c r="AK23" s="245"/>
      <c r="AL23" s="245"/>
      <c r="AM23" s="242"/>
      <c r="AN23" s="243"/>
      <c r="AO23" s="242"/>
      <c r="AP23" s="242"/>
      <c r="AQ23" s="243"/>
      <c r="AR23" s="242"/>
      <c r="AT23" s="318"/>
    </row>
    <row r="24" spans="1:46" ht="10.5" customHeight="1" x14ac:dyDescent="0.2">
      <c r="A24" s="217"/>
      <c r="B24" s="217"/>
      <c r="C24" s="292"/>
      <c r="D24" s="218">
        <v>5</v>
      </c>
      <c r="E24" s="219">
        <f>'ПРФ(32)'!G8</f>
        <v>11</v>
      </c>
      <c r="F24" s="210" t="str">
        <f>IF('ПРФ(32)'!G8="",E24,VLOOKUP(E24,'Списки участников'!$A:$U,3,FALSE))</f>
        <v>ФИНАГИН Кирилл</v>
      </c>
      <c r="G24" s="220"/>
      <c r="H24" s="220"/>
      <c r="I24" s="231"/>
      <c r="J24" s="231"/>
      <c r="K24" s="231"/>
      <c r="L24" s="242"/>
      <c r="M24" s="243"/>
      <c r="N24" s="242"/>
      <c r="O24" s="231"/>
      <c r="P24" s="243"/>
      <c r="Q24" s="242"/>
      <c r="R24" s="215"/>
      <c r="S24" s="237"/>
      <c r="T24" s="237"/>
      <c r="U24" s="241"/>
      <c r="V24" s="237"/>
      <c r="W24" s="237"/>
      <c r="X24" s="241"/>
      <c r="Y24" s="208" t="s">
        <v>896</v>
      </c>
      <c r="Z24" s="290">
        <f>IF(AA16="","",IF(Z15=W14,W16,IF(Z15=W16,W14)))</f>
        <v>34</v>
      </c>
      <c r="AA24" s="210" t="str">
        <f>IF(AA16="",Z24,VLOOKUP(Z24,'Списки участников'!$A:$U,3,FALSE))</f>
        <v>ТИНЬКОВ Александр</v>
      </c>
      <c r="AB24" s="293"/>
      <c r="AC24" s="293"/>
      <c r="AD24" s="211" t="str">
        <f>IF(AC25="",AC25,VLOOKUP(AC25,'Списки участников'!$A:$O,6,FALSE))</f>
        <v>АО "ОКБМ"</v>
      </c>
      <c r="AE24" s="208" t="s">
        <v>897</v>
      </c>
      <c r="AF24" s="290" t="str">
        <f>IF(F57="","",IF(E56=B55,B57,IF(E56=B57,B55)))</f>
        <v/>
      </c>
      <c r="AG24" s="210" t="str">
        <f>IF(AF24="",AF24,VLOOKUP(AF24,'Списки участников'!$A:$U,3,FALSE))</f>
        <v/>
      </c>
      <c r="AH24" s="265"/>
      <c r="AI24" s="212"/>
      <c r="AJ24" s="231"/>
      <c r="AK24" s="231"/>
      <c r="AL24" s="231"/>
      <c r="AM24" s="242"/>
      <c r="AN24" s="243" t="s">
        <v>731</v>
      </c>
      <c r="AO24" s="219">
        <f>'ПРФ(32)'!G65</f>
        <v>13</v>
      </c>
      <c r="AP24" s="239" t="str">
        <f>IF('ПРФ(32)'!G65="",AO24,VLOOKUP(AO24,'Списки участников'!$A:$U,3,FALSE))</f>
        <v>ВАХРОМОВ Андрей</v>
      </c>
      <c r="AQ24" s="313"/>
      <c r="AR24" s="245"/>
      <c r="AS24" s="867" t="str">
        <f>CONCATENATE(M4+17," ","место")</f>
        <v>18 место</v>
      </c>
      <c r="AT24" s="318"/>
    </row>
    <row r="25" spans="1:46" ht="10.5" customHeight="1" x14ac:dyDescent="0.2">
      <c r="A25" s="223">
        <v>10</v>
      </c>
      <c r="B25" s="224">
        <v>60</v>
      </c>
      <c r="C25" s="239" t="str">
        <f>IF(B25="",B25,VLOOKUP(B25,'Списки участников'!$A:$U,3,FALSE))</f>
        <v xml:space="preserve"> Х</v>
      </c>
      <c r="D25" s="315">
        <f>IF(B25="",B25,VLOOKUP(B25,'Списки участников'!A:O,6,FALSE))</f>
        <v>0</v>
      </c>
      <c r="E25" s="227"/>
      <c r="F25" s="228" t="str">
        <f>'ПРФ(32)'!R8</f>
        <v/>
      </c>
      <c r="G25" s="229"/>
      <c r="H25" s="230"/>
      <c r="I25" s="231"/>
      <c r="J25" s="231"/>
      <c r="K25" s="231"/>
      <c r="L25" s="242"/>
      <c r="M25" s="243"/>
      <c r="N25" s="242"/>
      <c r="O25" s="231"/>
      <c r="P25" s="243"/>
      <c r="Q25" s="242"/>
      <c r="R25" s="215"/>
      <c r="S25" s="237"/>
      <c r="T25" s="237"/>
      <c r="U25" s="237"/>
      <c r="V25" s="237"/>
      <c r="W25" s="237"/>
      <c r="X25" s="230"/>
      <c r="Y25" s="217"/>
      <c r="Z25" s="217"/>
      <c r="AA25" s="298"/>
      <c r="AB25" s="299" t="s">
        <v>11</v>
      </c>
      <c r="AC25" s="219">
        <f>'ПРФ(32)'!G39</f>
        <v>34</v>
      </c>
      <c r="AD25" s="239" t="str">
        <f>IF('ПРФ(32)'!G39="",AC25,VLOOKUP(AC25,'Списки участников'!$A:$U,3,FALSE))</f>
        <v>ТИНЬКОВ Александр</v>
      </c>
      <c r="AE25" s="217"/>
      <c r="AF25" s="217"/>
      <c r="AG25" s="292"/>
      <c r="AH25" s="218" t="s">
        <v>65</v>
      </c>
      <c r="AI25" s="219">
        <f>'ПРФ(32)'!G58</f>
        <v>21</v>
      </c>
      <c r="AJ25" s="239" t="str">
        <f>IF('ПРФ(32)'!G58="",AI25,VLOOKUP(AI25,'Списки участников'!$A:$U,3,FALSE))</f>
        <v>КОПНОВ Павел</v>
      </c>
      <c r="AK25" s="220"/>
      <c r="AL25" s="220"/>
      <c r="AM25" s="242"/>
      <c r="AN25" s="243"/>
      <c r="AO25" s="242"/>
      <c r="AP25" s="244" t="str">
        <f>'ПРФ(32)'!R65</f>
        <v>3:0</v>
      </c>
      <c r="AQ25" s="307" t="s">
        <v>898</v>
      </c>
      <c r="AR25" s="268">
        <f>IF(AS19="","",IF(AR18=AO11,AO24,IF(AR18=AO24,AO11)))</f>
        <v>35</v>
      </c>
      <c r="AS25" s="239" t="str">
        <f>IF(AR25="",AR25,VLOOKUP(AR25,'Списки участников'!$A:$U,3,FALSE))</f>
        <v>ГРИШИН Иван</v>
      </c>
      <c r="AT25" s="318"/>
    </row>
    <row r="26" spans="1:46" ht="10.5" customHeight="1" x14ac:dyDescent="0.2">
      <c r="A26" s="208"/>
      <c r="B26" s="208"/>
      <c r="C26" s="213"/>
      <c r="D26" s="233"/>
      <c r="E26" s="231"/>
      <c r="F26" s="300"/>
      <c r="G26" s="1137" t="s">
        <v>43</v>
      </c>
      <c r="H26" s="234">
        <f>'ПРФ(32)'!G22</f>
        <v>11</v>
      </c>
      <c r="I26" s="210" t="str">
        <f>IF('ПРФ(32)'!G22="",H26,VLOOKUP(H26,'Списки участников'!$A:$U,3,FALSE))</f>
        <v>ФИНАГИН Кирилл</v>
      </c>
      <c r="J26" s="220"/>
      <c r="K26" s="220"/>
      <c r="L26" s="242"/>
      <c r="M26" s="243"/>
      <c r="N26" s="242"/>
      <c r="O26" s="231"/>
      <c r="P26" s="243"/>
      <c r="Q26" s="242"/>
      <c r="R26" s="215"/>
      <c r="S26" s="237"/>
      <c r="T26" s="237"/>
      <c r="U26" s="237"/>
      <c r="V26" s="237"/>
      <c r="W26" s="237"/>
      <c r="X26" s="237"/>
      <c r="Y26" s="223" t="s">
        <v>899</v>
      </c>
      <c r="Z26" s="294">
        <f>IF(AA20="","",IF(Z19=W18,W20,IF(Z19=W20,W18)))</f>
        <v>46</v>
      </c>
      <c r="AA26" s="239" t="str">
        <f>IF(Z26="",Z26,VLOOKUP(Z26,'Списки участников'!$A:$U,3,FALSE))</f>
        <v>МАТВЕЕВ Сергей</v>
      </c>
      <c r="AB26" s="301"/>
      <c r="AC26" s="302"/>
      <c r="AD26" s="455" t="str">
        <f>'ПРФ(32)'!R39</f>
        <v>3:1</v>
      </c>
      <c r="AE26" s="223" t="s">
        <v>900</v>
      </c>
      <c r="AF26" s="294">
        <f>IF(F61="","",IF(E60=B61,B59,IF(E60=B59,B61)))</f>
        <v>21</v>
      </c>
      <c r="AG26" s="239" t="str">
        <f>IF(AF26="",AF26,VLOOKUP(AF26,'Списки участников'!$A:$U,3,FALSE))</f>
        <v>КОПНОВ Павел</v>
      </c>
      <c r="AH26" s="295"/>
      <c r="AI26" s="227"/>
      <c r="AJ26" s="228" t="str">
        <f>'ПРФ(32)'!R58</f>
        <v/>
      </c>
      <c r="AK26" s="229"/>
      <c r="AL26" s="230"/>
      <c r="AM26" s="242"/>
      <c r="AN26" s="243"/>
      <c r="AO26" s="242"/>
      <c r="AP26" s="231"/>
      <c r="AQ26" s="231"/>
      <c r="AR26" s="231"/>
      <c r="AS26" s="231"/>
      <c r="AT26" s="318"/>
    </row>
    <row r="27" spans="1:46" ht="10.5" customHeight="1" x14ac:dyDescent="0.2">
      <c r="A27" s="208">
        <v>11</v>
      </c>
      <c r="B27" s="209">
        <v>14</v>
      </c>
      <c r="C27" s="210" t="str">
        <f>IF(B27="",B27,VLOOKUP(B27,'Списки участников'!$A:$U,3,FALSE))</f>
        <v>КОНОВ Сергей</v>
      </c>
      <c r="D27" s="211" t="str">
        <f>IF(B27="",B27,VLOOKUP(B27,'Списки участников'!A:O,6,FALSE))</f>
        <v>ТПП</v>
      </c>
      <c r="E27" s="212"/>
      <c r="F27" s="300"/>
      <c r="G27" s="1137"/>
      <c r="H27" s="237"/>
      <c r="I27" s="228" t="str">
        <f>'ПРФ(32)'!R22</f>
        <v>3:0</v>
      </c>
      <c r="J27" s="229"/>
      <c r="K27" s="230"/>
      <c r="L27" s="242"/>
      <c r="M27" s="243"/>
      <c r="N27" s="242"/>
      <c r="O27" s="231"/>
      <c r="P27" s="243"/>
      <c r="Q27" s="242"/>
      <c r="R27" s="215"/>
      <c r="S27" s="237"/>
      <c r="T27" s="237"/>
      <c r="U27" s="302"/>
      <c r="V27" s="237"/>
      <c r="W27" s="237"/>
      <c r="X27" s="237"/>
      <c r="Y27" s="231"/>
      <c r="Z27" s="231"/>
      <c r="AA27" s="231"/>
      <c r="AB27" s="231"/>
      <c r="AC27" s="231"/>
      <c r="AD27" s="867" t="str">
        <f>CONCATENATE(M4+7," ","место")</f>
        <v>8 место</v>
      </c>
      <c r="AE27" s="208" t="s">
        <v>901</v>
      </c>
      <c r="AF27" s="290">
        <f>IF(F65="","",IF(E64=B65,B63,IF(E64=B63,B65)))</f>
        <v>42</v>
      </c>
      <c r="AG27" s="210" t="str">
        <f>IF(AF27="",AF27,VLOOKUP(AF27,'Списки участников'!$A:$U,3,FALSE))</f>
        <v>ПАНИН Сергей</v>
      </c>
      <c r="AH27" s="265"/>
      <c r="AI27" s="212"/>
      <c r="AJ27" s="300"/>
      <c r="AK27" s="243" t="s">
        <v>729</v>
      </c>
      <c r="AL27" s="296">
        <f>'ПРФ(32)'!G63</f>
        <v>21</v>
      </c>
      <c r="AM27" s="239" t="str">
        <f>IF('ПРФ(32)'!G63="",AL27,VLOOKUP(AL27,'Списки участников'!$A:$U,3,FALSE))</f>
        <v>КОПНОВ Павел</v>
      </c>
      <c r="AN27" s="313"/>
      <c r="AO27" s="245"/>
      <c r="AP27" s="231"/>
      <c r="AQ27" s="231"/>
      <c r="AR27" s="231"/>
      <c r="AT27" s="318"/>
    </row>
    <row r="28" spans="1:46" ht="10.5" customHeight="1" x14ac:dyDescent="0.2">
      <c r="A28" s="217"/>
      <c r="B28" s="217"/>
      <c r="C28" s="292"/>
      <c r="D28" s="218">
        <v>6</v>
      </c>
      <c r="E28" s="219">
        <f>'ПРФ(32)'!G9</f>
        <v>14</v>
      </c>
      <c r="F28" s="239" t="str">
        <f>IF('ПРФ(32)'!G9="",E28,VLOOKUP(E28,'Списки участников'!$A:$U,3,FALSE))</f>
        <v>КОНОВ Сергей</v>
      </c>
      <c r="G28" s="240"/>
      <c r="H28" s="241"/>
      <c r="I28" s="242"/>
      <c r="J28" s="243"/>
      <c r="K28" s="242"/>
      <c r="L28" s="242"/>
      <c r="M28" s="243"/>
      <c r="N28" s="242"/>
      <c r="O28" s="231"/>
      <c r="P28" s="243"/>
      <c r="Q28" s="242"/>
      <c r="R28" s="215"/>
      <c r="S28" s="231"/>
      <c r="T28" s="231"/>
      <c r="U28" s="212"/>
      <c r="V28" s="231"/>
      <c r="W28" s="231"/>
      <c r="X28" s="231"/>
      <c r="Y28" s="231"/>
      <c r="Z28" s="231"/>
      <c r="AA28" s="231"/>
      <c r="AB28" s="231"/>
      <c r="AC28" s="231"/>
      <c r="AD28" s="211" t="str">
        <f>IF(AC29="",AC29,VLOOKUP(AC29,'Списки участников'!$A:$O,6,FALSE))</f>
        <v>ПАО НАЗ "СОКОЛ"</v>
      </c>
      <c r="AE28" s="217"/>
      <c r="AF28" s="217"/>
      <c r="AG28" s="292"/>
      <c r="AH28" s="218" t="s">
        <v>66</v>
      </c>
      <c r="AI28" s="219">
        <f>'ПРФ(32)'!G59</f>
        <v>42</v>
      </c>
      <c r="AJ28" s="239" t="str">
        <f>IF('ПРФ(32)'!G59="",AI28,VLOOKUP(AI28,'Списки участников'!$A:$U,3,FALSE))</f>
        <v>ПАНИН Сергей</v>
      </c>
      <c r="AK28" s="240"/>
      <c r="AL28" s="237"/>
      <c r="AM28" s="228" t="str">
        <f>'ПРФ(32)'!R63</f>
        <v>3:0</v>
      </c>
      <c r="AN28" s="208" t="s">
        <v>902</v>
      </c>
      <c r="AO28" s="290">
        <f>IF(AP12="","",IF(AO11=AL8,AL15,IF(AO11=AL15,AL8)))</f>
        <v>6</v>
      </c>
      <c r="AP28" s="210" t="str">
        <f>IF(AO28="",AO28,VLOOKUP(AO28,'Списки участников'!$A:$U,3,FALSE))</f>
        <v>ЯШУНИН Андрей</v>
      </c>
      <c r="AQ28" s="293"/>
      <c r="AR28" s="293"/>
      <c r="AS28" s="867" t="str">
        <f>CONCATENATE(M4+18," ","место")</f>
        <v>19 место</v>
      </c>
      <c r="AT28" s="318"/>
    </row>
    <row r="29" spans="1:46" ht="10.5" customHeight="1" x14ac:dyDescent="0.2">
      <c r="A29" s="223">
        <v>12</v>
      </c>
      <c r="B29" s="224">
        <v>6</v>
      </c>
      <c r="C29" s="239" t="str">
        <f>IF(B29="",B29,VLOOKUP(B29,'Списки участников'!$A:$U,3,FALSE))</f>
        <v>ЯШУНИН Андрей</v>
      </c>
      <c r="D29" s="315" t="str">
        <f>IF(B29="",B29,VLOOKUP(B29,'Списки участников'!A:O,6,FALSE))</f>
        <v>ОАО АНПП "ТЕМП-АВИА"</v>
      </c>
      <c r="E29" s="227"/>
      <c r="F29" s="228" t="str">
        <f>'ПРФ(32)'!R9</f>
        <v>3:0</v>
      </c>
      <c r="G29" s="245"/>
      <c r="H29" s="245"/>
      <c r="I29" s="242"/>
      <c r="J29" s="243"/>
      <c r="K29" s="242"/>
      <c r="L29" s="242"/>
      <c r="M29" s="243"/>
      <c r="N29" s="242"/>
      <c r="O29" s="231"/>
      <c r="P29" s="243"/>
      <c r="Q29" s="242"/>
      <c r="R29" s="215"/>
      <c r="S29" s="242"/>
      <c r="T29" s="242"/>
      <c r="U29" s="237"/>
      <c r="V29" s="242"/>
      <c r="W29" s="242"/>
      <c r="X29" s="241"/>
      <c r="Y29" s="231"/>
      <c r="Z29" s="231"/>
      <c r="AA29" s="231"/>
      <c r="AB29" s="307" t="s">
        <v>903</v>
      </c>
      <c r="AC29" s="268">
        <f>IF(AD26="","",IF(AC25=Z24,Z26,IF(AC25=Z26,Z24)))</f>
        <v>46</v>
      </c>
      <c r="AD29" s="239" t="str">
        <f>IF(AD26="",AC29,VLOOKUP(AC29,'Списки участников'!$A:$U,3,FALSE))</f>
        <v>МАТВЕЕВ Сергей</v>
      </c>
      <c r="AE29" s="223" t="s">
        <v>904</v>
      </c>
      <c r="AF29" s="294" t="str">
        <f>IF(F69="","",IF(E68=B67,B69,IF(E68=B69,B67)))</f>
        <v/>
      </c>
      <c r="AG29" s="239" t="str">
        <f>IF(AF29="",AF29,VLOOKUP(AF29,'Списки участников'!$A:$U,3,FALSE))</f>
        <v/>
      </c>
      <c r="AH29" s="295"/>
      <c r="AI29" s="227"/>
      <c r="AJ29" s="228" t="str">
        <f>'ПРФ(32)'!R59</f>
        <v/>
      </c>
      <c r="AK29" s="245"/>
      <c r="AL29" s="245"/>
      <c r="AM29" s="231"/>
      <c r="AN29" s="217"/>
      <c r="AO29" s="217"/>
      <c r="AP29" s="298"/>
      <c r="AQ29" s="299" t="s">
        <v>69</v>
      </c>
      <c r="AR29" s="219">
        <f>'ПРФ(32)'!G67</f>
        <v>6</v>
      </c>
      <c r="AS29" s="239" t="str">
        <f>IF('ПРФ(32)'!G67="",AR29,VLOOKUP(AR29,'Списки участников'!$A:$U,3,FALSE))</f>
        <v>ЯШУНИН Андрей</v>
      </c>
      <c r="AT29" s="318"/>
    </row>
    <row r="30" spans="1:46" ht="10.5" customHeight="1" x14ac:dyDescent="0.2">
      <c r="A30" s="208"/>
      <c r="B30" s="208"/>
      <c r="C30" s="213"/>
      <c r="D30" s="233"/>
      <c r="E30" s="231"/>
      <c r="F30" s="231"/>
      <c r="G30" s="231"/>
      <c r="H30" s="231"/>
      <c r="I30" s="242"/>
      <c r="J30" s="1137">
        <v>26</v>
      </c>
      <c r="K30" s="234">
        <f>'ПРФ(32)'!G29</f>
        <v>19</v>
      </c>
      <c r="L30" s="210" t="str">
        <f>IF('ПРФ(32)'!G29="",K30,VLOOKUP(K30,'Списки участников'!$A:$U,3,FALSE))</f>
        <v>МАРКЕЛОВ Игорь</v>
      </c>
      <c r="M30" s="240"/>
      <c r="N30" s="241"/>
      <c r="O30" s="231"/>
      <c r="P30" s="243"/>
      <c r="Q30" s="242"/>
      <c r="R30" s="215"/>
      <c r="S30" s="208" t="s">
        <v>905</v>
      </c>
      <c r="T30" s="290">
        <f>IF(I11="","",IF(H10=E8,E12,IF(H10=E12,E8)))</f>
        <v>39</v>
      </c>
      <c r="U30" s="210" t="str">
        <f>IF(I11="",T30,VLOOKUP(T30,'Списки участников'!$A:$U,3,FALSE))</f>
        <v>ИСУПОВ Максим</v>
      </c>
      <c r="V30" s="265"/>
      <c r="W30" s="212"/>
      <c r="X30" s="213"/>
      <c r="Y30" s="213"/>
      <c r="Z30" s="213"/>
      <c r="AA30" s="213"/>
      <c r="AB30" s="213"/>
      <c r="AC30" s="213"/>
      <c r="AD30" s="213"/>
      <c r="AE30" s="310"/>
      <c r="AF30" s="309"/>
      <c r="AG30" s="319"/>
      <c r="AH30" s="320"/>
      <c r="AI30" s="227"/>
      <c r="AJ30" s="231"/>
      <c r="AK30" s="245"/>
      <c r="AL30" s="245"/>
      <c r="AM30" s="231"/>
      <c r="AN30" s="223" t="s">
        <v>906</v>
      </c>
      <c r="AO30" s="294">
        <f>IF(AP25="","",IF(AO24=AL20,AL27,IF(AO24=AL27,AL20)))</f>
        <v>21</v>
      </c>
      <c r="AP30" s="239" t="str">
        <f>IF(AO30="",AO30,VLOOKUP(AO30,'Списки участников'!$A:$U,3,FALSE))</f>
        <v>КОПНОВ Павел</v>
      </c>
      <c r="AQ30" s="301"/>
      <c r="AR30" s="302"/>
      <c r="AS30" s="455" t="str">
        <f>'ПРФ(32)'!R67</f>
        <v>3:0</v>
      </c>
      <c r="AT30" s="318"/>
    </row>
    <row r="31" spans="1:46" ht="10.5" customHeight="1" x14ac:dyDescent="0.2">
      <c r="A31" s="208">
        <v>13</v>
      </c>
      <c r="B31" s="209">
        <v>18</v>
      </c>
      <c r="C31" s="210" t="str">
        <f>IF(B31="",B31,VLOOKUP(B31,'Списки участников'!$A:$U,3,FALSE))</f>
        <v>ВОЛКОВ Валерий</v>
      </c>
      <c r="D31" s="211" t="str">
        <f>IF(B31="",B31,VLOOKUP(B31,'Списки участников'!A:O,6,FALSE))</f>
        <v>НПАП №1</v>
      </c>
      <c r="E31" s="212"/>
      <c r="F31" s="231"/>
      <c r="G31" s="231"/>
      <c r="H31" s="231"/>
      <c r="I31" s="242"/>
      <c r="J31" s="1137"/>
      <c r="K31" s="237"/>
      <c r="L31" s="228" t="str">
        <f>'ПРФ(32)'!R29</f>
        <v>3:0</v>
      </c>
      <c r="M31" s="245"/>
      <c r="N31" s="245"/>
      <c r="O31" s="231"/>
      <c r="P31" s="243"/>
      <c r="Q31" s="242"/>
      <c r="R31" s="215"/>
      <c r="S31" s="217"/>
      <c r="T31" s="217"/>
      <c r="U31" s="292"/>
      <c r="V31" s="218" t="s">
        <v>21</v>
      </c>
      <c r="W31" s="219">
        <f>'ПРФ(32)'!G40</f>
        <v>39</v>
      </c>
      <c r="X31" s="239" t="str">
        <f>IF('ПРФ(32)'!G40="",W31,VLOOKUP(W31,'Списки участников'!$A:$U,3,FALSE))</f>
        <v>ИСУПОВ Максим</v>
      </c>
      <c r="Y31" s="220"/>
      <c r="Z31" s="220"/>
      <c r="AA31" s="213"/>
      <c r="AB31" s="213"/>
      <c r="AC31" s="213"/>
      <c r="AD31" s="213"/>
      <c r="AE31" s="310"/>
      <c r="AF31" s="309"/>
      <c r="AG31" s="319"/>
      <c r="AH31" s="320"/>
      <c r="AI31" s="227"/>
      <c r="AJ31" s="231"/>
      <c r="AK31" s="245"/>
      <c r="AL31" s="245"/>
      <c r="AM31" s="231"/>
      <c r="AN31" s="310"/>
      <c r="AO31" s="309"/>
      <c r="AP31" s="302"/>
      <c r="AQ31" s="230"/>
      <c r="AR31" s="230"/>
      <c r="AS31" s="867" t="str">
        <f>CONCATENATE(M4+19," ","место")</f>
        <v>20 место</v>
      </c>
      <c r="AT31" s="318"/>
    </row>
    <row r="32" spans="1:46" ht="10.5" customHeight="1" x14ac:dyDescent="0.2">
      <c r="A32" s="217"/>
      <c r="B32" s="217"/>
      <c r="C32" s="292"/>
      <c r="D32" s="218">
        <v>7</v>
      </c>
      <c r="E32" s="219">
        <f>'ПРФ(32)'!G10</f>
        <v>45</v>
      </c>
      <c r="F32" s="321" t="str">
        <f>IF('ПРФ(32)'!G10="",E32,VLOOKUP(E32,'Списки участников'!$A:$U,3,FALSE))</f>
        <v>ПЧЕЛИН Сергей</v>
      </c>
      <c r="G32" s="220"/>
      <c r="H32" s="220"/>
      <c r="I32" s="242"/>
      <c r="J32" s="243"/>
      <c r="K32" s="242"/>
      <c r="L32" s="231"/>
      <c r="M32" s="231"/>
      <c r="N32" s="231"/>
      <c r="O32" s="231"/>
      <c r="P32" s="243"/>
      <c r="Q32" s="242"/>
      <c r="R32" s="215"/>
      <c r="S32" s="223" t="s">
        <v>907</v>
      </c>
      <c r="T32" s="294">
        <f>IF(I19="","",IF(H18=E16,E20,IF(H18=E20,E16)))</f>
        <v>26</v>
      </c>
      <c r="U32" s="239" t="str">
        <f>IF(I19="",T32,VLOOKUP(T32,'Списки участников'!$A:$U,3,FALSE))</f>
        <v>ТЫЛЕЧКИН Валерий</v>
      </c>
      <c r="V32" s="295"/>
      <c r="W32" s="302"/>
      <c r="X32" s="455" t="str">
        <f>'ПРФ(32)'!R40</f>
        <v>3:0</v>
      </c>
      <c r="Y32" s="229"/>
      <c r="Z32" s="230"/>
      <c r="AA32" s="231"/>
      <c r="AB32" s="231"/>
      <c r="AC32" s="231"/>
      <c r="AD32" s="231"/>
      <c r="AE32" s="310"/>
      <c r="AK32" s="310" t="s">
        <v>908</v>
      </c>
      <c r="AL32" s="311">
        <f>IF(AM9="","",IF(AL8=AI7,AI10,IF(AL8=AI10,AI7)))</f>
        <v>22</v>
      </c>
      <c r="AM32" s="210" t="str">
        <f>IF(AM9="",AL32,VLOOKUP(AL32,'Списки участников'!$A:$U,3,FALSE))</f>
        <v>ГОГОЛЬ Александр</v>
      </c>
      <c r="AN32" s="231"/>
      <c r="AO32" s="231"/>
      <c r="AP32" s="231"/>
      <c r="AQ32" s="316" t="s">
        <v>909</v>
      </c>
      <c r="AR32" s="317">
        <f>IF(AS30="","",IF(AR29=AO28,AO30,IF(AR29=AO30,AO28)))</f>
        <v>21</v>
      </c>
      <c r="AS32" s="239" t="str">
        <f>IF(AR32="",AR32,VLOOKUP(AR32,'Списки участников'!$A:$U,3,FALSE))</f>
        <v>КОПНОВ Павел</v>
      </c>
      <c r="AT32" s="318"/>
    </row>
    <row r="33" spans="1:46" ht="10.5" customHeight="1" x14ac:dyDescent="0.2">
      <c r="A33" s="223">
        <v>14</v>
      </c>
      <c r="B33" s="224">
        <v>45</v>
      </c>
      <c r="C33" s="239" t="str">
        <f>IF(B33="",B33,VLOOKUP(B33,'Списки участников'!$A:$U,3,FALSE))</f>
        <v>ПЧЕЛИН Сергей</v>
      </c>
      <c r="D33" s="315" t="str">
        <f>IF(B33="",B33,VLOOKUP(B33,'Списки участников'!A:O,6,FALSE))</f>
        <v>ПАО НАЗ "СОКОЛ"</v>
      </c>
      <c r="E33" s="227"/>
      <c r="F33" s="228" t="str">
        <f>'ПРФ(32)'!R10</f>
        <v>3:1</v>
      </c>
      <c r="G33" s="229"/>
      <c r="H33" s="230"/>
      <c r="I33" s="242"/>
      <c r="J33" s="243"/>
      <c r="K33" s="242"/>
      <c r="L33" s="231"/>
      <c r="M33" s="231"/>
      <c r="N33" s="231"/>
      <c r="O33" s="231"/>
      <c r="P33" s="243"/>
      <c r="Q33" s="242"/>
      <c r="R33" s="215"/>
      <c r="S33" s="208"/>
      <c r="T33" s="208"/>
      <c r="U33" s="213"/>
      <c r="V33" s="233"/>
      <c r="W33" s="231"/>
      <c r="X33" s="1138"/>
      <c r="Y33" s="1137" t="s">
        <v>48</v>
      </c>
      <c r="Z33" s="219">
        <f>'ПРФ(32)'!G44</f>
        <v>39</v>
      </c>
      <c r="AA33" s="239" t="str">
        <f>IF('ПРФ(32)'!G44="",Z33,VLOOKUP(Z33,'Списки участников'!$A:$U,3,FALSE))</f>
        <v>ИСУПОВ Максим</v>
      </c>
      <c r="AB33" s="220"/>
      <c r="AC33" s="220"/>
      <c r="AD33" s="231"/>
      <c r="AE33" s="310"/>
      <c r="AK33" s="217"/>
      <c r="AL33" s="217"/>
      <c r="AM33" s="298"/>
      <c r="AN33" s="229" t="s">
        <v>732</v>
      </c>
      <c r="AO33" s="312">
        <f>'ПРФ(32)'!G68</f>
        <v>22</v>
      </c>
      <c r="AP33" s="239" t="str">
        <f>IF('ПРФ(32)'!G68="",AO33,VLOOKUP(AO33,'Списки участников'!$A:$U,3,FALSE))</f>
        <v>ГОГОЛЬ Александр</v>
      </c>
      <c r="AQ33" s="241"/>
      <c r="AR33" s="241"/>
      <c r="AS33" s="254"/>
      <c r="AT33" s="318"/>
    </row>
    <row r="34" spans="1:46" ht="10.5" customHeight="1" x14ac:dyDescent="0.2">
      <c r="A34" s="208"/>
      <c r="B34" s="208"/>
      <c r="C34" s="213"/>
      <c r="D34" s="233"/>
      <c r="E34" s="231"/>
      <c r="F34" s="300"/>
      <c r="G34" s="1137" t="s">
        <v>19</v>
      </c>
      <c r="H34" s="234">
        <f>'ПРФ(32)'!G23</f>
        <v>19</v>
      </c>
      <c r="I34" s="210" t="str">
        <f>IF('ПРФ(32)'!G23="",H34,VLOOKUP(H34,'Списки участников'!$A:$U,3,FALSE))</f>
        <v>МАРКЕЛОВ Игорь</v>
      </c>
      <c r="J34" s="240"/>
      <c r="K34" s="241"/>
      <c r="L34" s="231"/>
      <c r="M34" s="231"/>
      <c r="N34" s="231"/>
      <c r="O34" s="231"/>
      <c r="P34" s="243"/>
      <c r="Q34" s="242"/>
      <c r="R34" s="215"/>
      <c r="S34" s="208" t="s">
        <v>910</v>
      </c>
      <c r="T34" s="290">
        <f>IF(I27="","",IF(H26=E24,E28,IF(H26=E28,E24)))</f>
        <v>14</v>
      </c>
      <c r="U34" s="210" t="str">
        <f>IF(I27="",T34,VLOOKUP(T34,'Списки участников'!$A:$U,3,FALSE))</f>
        <v>КОНОВ Сергей</v>
      </c>
      <c r="V34" s="265"/>
      <c r="W34" s="212"/>
      <c r="X34" s="1138"/>
      <c r="Y34" s="1137"/>
      <c r="Z34" s="302"/>
      <c r="AA34" s="455" t="str">
        <f>'ПРФ(32)'!R44</f>
        <v>3:0</v>
      </c>
      <c r="AB34" s="229"/>
      <c r="AC34" s="230"/>
      <c r="AD34" s="231"/>
      <c r="AE34" s="310"/>
      <c r="AK34" s="223" t="s">
        <v>911</v>
      </c>
      <c r="AL34" s="294">
        <f>IF(AM16="","",IF(AL15=AI13,AI16,IF(AL15=AI16,AI13)))</f>
        <v>18</v>
      </c>
      <c r="AM34" s="239" t="str">
        <f>IF(AL34="",AL34,VLOOKUP(AL34,'Списки участников'!$A:$U,3,FALSE))</f>
        <v>ВОЛКОВ Валерий</v>
      </c>
      <c r="AN34" s="306"/>
      <c r="AO34" s="217"/>
      <c r="AP34" s="455" t="str">
        <f>'ПРФ(32)'!R68</f>
        <v>3:0</v>
      </c>
      <c r="AQ34" s="229"/>
      <c r="AR34" s="230"/>
      <c r="AS34" s="867" t="str">
        <f>CONCATENATE(M4+20," ","место")</f>
        <v>21 место</v>
      </c>
      <c r="AT34" s="318"/>
    </row>
    <row r="35" spans="1:46" ht="10.5" customHeight="1" x14ac:dyDescent="0.2">
      <c r="A35" s="208">
        <v>15</v>
      </c>
      <c r="B35" s="209">
        <v>60</v>
      </c>
      <c r="C35" s="210" t="str">
        <f>IF(B35="",B35,VLOOKUP(B35,'Списки участников'!$A:$U,3,FALSE))</f>
        <v xml:space="preserve"> Х</v>
      </c>
      <c r="D35" s="211">
        <f>IF(B35="",B35,VLOOKUP(B35,'Списки участников'!A:O,6,FALSE))</f>
        <v>0</v>
      </c>
      <c r="E35" s="212"/>
      <c r="F35" s="300"/>
      <c r="G35" s="1137"/>
      <c r="H35" s="237"/>
      <c r="I35" s="228" t="str">
        <f>'ПРФ(32)'!R23</f>
        <v>3:1</v>
      </c>
      <c r="J35" s="245"/>
      <c r="K35" s="245"/>
      <c r="L35" s="231"/>
      <c r="M35" s="231"/>
      <c r="N35" s="231"/>
      <c r="O35" s="231"/>
      <c r="P35" s="243"/>
      <c r="Q35" s="242"/>
      <c r="R35" s="867" t="str">
        <f>CONCATENATE(M4," ","место")</f>
        <v>1 место</v>
      </c>
      <c r="S35" s="217"/>
      <c r="T35" s="217"/>
      <c r="U35" s="292"/>
      <c r="V35" s="218" t="s">
        <v>45</v>
      </c>
      <c r="W35" s="219">
        <f>'ПРФ(32)'!G41</f>
        <v>45</v>
      </c>
      <c r="X35" s="239" t="str">
        <f>IF('ПРФ(32)'!G41="",W35,VLOOKUP(W35,'Списки участников'!$A:$U,3,FALSE))</f>
        <v>ПЧЕЛИН Сергей</v>
      </c>
      <c r="Y35" s="240"/>
      <c r="Z35" s="241"/>
      <c r="AA35" s="242"/>
      <c r="AB35" s="243"/>
      <c r="AC35" s="242"/>
      <c r="AD35" s="867" t="str">
        <f>CONCATENATE(M4+8," ","место")</f>
        <v>9 место</v>
      </c>
      <c r="AE35" s="310"/>
      <c r="AK35" s="310"/>
      <c r="AL35" s="310"/>
      <c r="AM35" s="241"/>
      <c r="AN35" s="310"/>
      <c r="AO35" s="310"/>
      <c r="AP35" s="230"/>
      <c r="AQ35" s="1137" t="s">
        <v>78</v>
      </c>
      <c r="AR35" s="296">
        <f>'ПРФ(32)'!G70</f>
        <v>22</v>
      </c>
      <c r="AS35" s="239" t="str">
        <f>IF('ПРФ(32)'!G70="",AR35,VLOOKUP(AR35,'Списки участников'!$A:$U,3,FALSE))</f>
        <v>ГОГОЛЬ Александр</v>
      </c>
      <c r="AT35" s="318"/>
    </row>
    <row r="36" spans="1:46" ht="10.5" customHeight="1" x14ac:dyDescent="0.2">
      <c r="A36" s="217"/>
      <c r="B36" s="217"/>
      <c r="C36" s="292"/>
      <c r="D36" s="218">
        <v>8</v>
      </c>
      <c r="E36" s="219">
        <f>'ПРФ(32)'!G11</f>
        <v>19</v>
      </c>
      <c r="F36" s="239" t="str">
        <f>IF('ПРФ(32)'!G11="",E36,VLOOKUP(E36,'Списки участников'!$A:$U,3,FALSE))</f>
        <v>МАРКЕЛОВ Игорь</v>
      </c>
      <c r="G36" s="240"/>
      <c r="H36" s="241"/>
      <c r="I36" s="231"/>
      <c r="J36" s="231"/>
      <c r="K36" s="231"/>
      <c r="L36" s="231"/>
      <c r="M36" s="231"/>
      <c r="N36" s="231"/>
      <c r="O36" s="231"/>
      <c r="P36" s="243"/>
      <c r="Q36" s="242"/>
      <c r="R36" s="215"/>
      <c r="S36" s="223" t="s">
        <v>912</v>
      </c>
      <c r="T36" s="294">
        <f>IF(I35="","",IF(H34=E32,E36,IF(H34=E36,E32)))</f>
        <v>45</v>
      </c>
      <c r="U36" s="239" t="str">
        <f>IF(I35="",T36,VLOOKUP(T36,'Списки участников'!$A:$U,3,FALSE))</f>
        <v>ПЧЕЛИН Сергей</v>
      </c>
      <c r="V36" s="295"/>
      <c r="W36" s="302"/>
      <c r="X36" s="455" t="str">
        <f>'ПРФ(32)'!R41</f>
        <v>3:0</v>
      </c>
      <c r="Y36" s="245"/>
      <c r="Z36" s="245"/>
      <c r="AA36" s="242"/>
      <c r="AB36" s="243"/>
      <c r="AC36" s="242"/>
      <c r="AD36" s="211" t="str">
        <f>IF(AC37="",AC37,VLOOKUP(AC37,'Списки участников'!$A:$O,6,FALSE))</f>
        <v>"ГЖД"</v>
      </c>
      <c r="AE36" s="310"/>
      <c r="AK36" s="310" t="s">
        <v>913</v>
      </c>
      <c r="AL36" s="311">
        <f>IF(AM21="","",IF(AL20=AI19,AI22,IF(AL20=AI22,AI19)))</f>
        <v>43</v>
      </c>
      <c r="AM36" s="210" t="str">
        <f>IF(AL36="",AL36,VLOOKUP(AL36,'Списки участников'!$A:$U,3,FALSE))</f>
        <v>ЕСЬКИН Михаил</v>
      </c>
      <c r="AN36" s="310"/>
      <c r="AO36" s="310"/>
      <c r="AP36" s="237"/>
      <c r="AQ36" s="1137"/>
      <c r="AR36" s="237"/>
      <c r="AS36" s="455" t="str">
        <f>'ПРФ(32)'!R70</f>
        <v>3:0</v>
      </c>
      <c r="AT36" s="318"/>
    </row>
    <row r="37" spans="1:46" ht="10.5" customHeight="1" x14ac:dyDescent="0.2">
      <c r="A37" s="223">
        <v>16</v>
      </c>
      <c r="B37" s="224">
        <v>19</v>
      </c>
      <c r="C37" s="239" t="str">
        <f>IF(B37="",B37,VLOOKUP(B37,'Списки участников'!$A:$U,3,FALSE))</f>
        <v>МАРКЕЛОВ Игорь</v>
      </c>
      <c r="D37" s="297" t="str">
        <f>IF(B37="",B37,VLOOKUP(B37,'Списки участников'!A:O,6,FALSE))</f>
        <v>НПАП №1</v>
      </c>
      <c r="E37" s="227"/>
      <c r="F37" s="228" t="str">
        <f>'ПРФ(32)'!R11</f>
        <v/>
      </c>
      <c r="G37" s="245"/>
      <c r="H37" s="245"/>
      <c r="I37" s="231"/>
      <c r="J37" s="231"/>
      <c r="K37" s="231"/>
      <c r="L37" s="242"/>
      <c r="M37" s="242"/>
      <c r="N37" s="242"/>
      <c r="O37" s="242"/>
      <c r="P37" s="243"/>
      <c r="Q37" s="242"/>
      <c r="R37" s="211" t="str">
        <f>IF(Q38="",Q38,VLOOKUP(Q38,'Списки участников'!$A:$O,6,FALSE))</f>
        <v>АО ФНПЦ НИИРТ</v>
      </c>
      <c r="S37" s="208"/>
      <c r="T37" s="208"/>
      <c r="U37" s="213"/>
      <c r="V37" s="233"/>
      <c r="W37" s="231"/>
      <c r="X37" s="208"/>
      <c r="Y37" s="231"/>
      <c r="Z37" s="231"/>
      <c r="AA37" s="242"/>
      <c r="AB37" s="1137" t="s">
        <v>50</v>
      </c>
      <c r="AC37" s="219">
        <f>'ПРФ(32)'!G46</f>
        <v>39</v>
      </c>
      <c r="AD37" s="239" t="str">
        <f>IF('ПРФ(32)'!G46="",AC37,VLOOKUP(AC37,'Списки участников'!$A:$U,3,FALSE))</f>
        <v>ИСУПОВ Максим</v>
      </c>
      <c r="AK37" s="217"/>
      <c r="AL37" s="217"/>
      <c r="AM37" s="298"/>
      <c r="AN37" s="229" t="s">
        <v>77</v>
      </c>
      <c r="AO37" s="224">
        <f>'ПРФ(32)'!G69</f>
        <v>42</v>
      </c>
      <c r="AP37" s="239" t="str">
        <f>IF('ПРФ(32)'!G69="",AO37,VLOOKUP(AO37,'Списки участников'!$A:$U,3,FALSE))</f>
        <v>ПАНИН Сергей</v>
      </c>
      <c r="AQ37" s="240"/>
      <c r="AR37" s="241"/>
      <c r="AS37" s="867" t="str">
        <f>CONCATENATE(M4+21," ","место")</f>
        <v>22 место</v>
      </c>
    </row>
    <row r="38" spans="1:46" ht="10.5" customHeight="1" x14ac:dyDescent="0.2">
      <c r="A38" s="213"/>
      <c r="B38" s="213"/>
      <c r="C38" s="213"/>
      <c r="D38" s="258"/>
      <c r="E38" s="213"/>
      <c r="F38" s="213"/>
      <c r="G38" s="259"/>
      <c r="H38" s="259"/>
      <c r="I38" s="213"/>
      <c r="J38" s="213"/>
      <c r="K38" s="213"/>
      <c r="L38" s="260"/>
      <c r="M38" s="242"/>
      <c r="N38" s="242"/>
      <c r="O38" s="260"/>
      <c r="P38" s="1137">
        <v>31</v>
      </c>
      <c r="Q38" s="234">
        <f>'ПРФ(32)'!G34</f>
        <v>1</v>
      </c>
      <c r="R38" s="239" t="str">
        <f>IF('ПРФ(32)'!G34="",Q38,VLOOKUP(Q38,'Списки участников'!$A:$U,3,FALSE))</f>
        <v>НИКИФОРОВ Александр</v>
      </c>
      <c r="S38" s="208" t="s">
        <v>914</v>
      </c>
      <c r="T38" s="290">
        <f>IF(I43="","",IF(H42=E44,E40,IF(H42=E40,E44)))</f>
        <v>25</v>
      </c>
      <c r="U38" s="210" t="str">
        <f>IF(I43="",T38,VLOOKUP(T38,'Списки участников'!$A:$U,3,FALSE))</f>
        <v>ФИЛЬЧУГОВ Сергей</v>
      </c>
      <c r="V38" s="265"/>
      <c r="W38" s="212"/>
      <c r="X38" s="231"/>
      <c r="Y38" s="231"/>
      <c r="Z38" s="231"/>
      <c r="AA38" s="242"/>
      <c r="AB38" s="1137"/>
      <c r="AC38" s="302"/>
      <c r="AD38" s="455" t="str">
        <f>'ПРФ(32)'!R46</f>
        <v>3:0</v>
      </c>
      <c r="AK38" s="223" t="s">
        <v>915</v>
      </c>
      <c r="AL38" s="294">
        <f>IF(AM28="","",IF(AL27=AI28,AI25,IF(AL27=AI25,AI28)))</f>
        <v>42</v>
      </c>
      <c r="AM38" s="239" t="str">
        <f>IF(AL38="",AL38,VLOOKUP(AL38,'Списки участников'!$A:$U,3,FALSE))</f>
        <v>ПАНИН Сергей</v>
      </c>
      <c r="AN38" s="306"/>
      <c r="AO38" s="310"/>
      <c r="AP38" s="456" t="str">
        <f>'ПРФ(32)'!R69</f>
        <v>3:0</v>
      </c>
      <c r="AQ38" s="322" t="s">
        <v>916</v>
      </c>
      <c r="AR38" s="323">
        <f>IF(AS36="","",IF(AR35=AO33,AO37,IF(AR35=AO37,AO33)))</f>
        <v>42</v>
      </c>
      <c r="AS38" s="239" t="str">
        <f>IF(AS36="",AR38,VLOOKUP(AR38,'Списки участников'!$A:$U,3,FALSE))</f>
        <v>ПАНИН Сергей</v>
      </c>
    </row>
    <row r="39" spans="1:46" ht="10.5" customHeight="1" x14ac:dyDescent="0.2">
      <c r="A39" s="208">
        <v>17</v>
      </c>
      <c r="B39" s="209">
        <v>38</v>
      </c>
      <c r="C39" s="210" t="str">
        <f>IF(B39="",B39,VLOOKUP(B39,'Списки участников'!$A:$U,3,FALSE))</f>
        <v>СИМУСЕВ Сергей</v>
      </c>
      <c r="D39" s="211" t="str">
        <f>IF(B39="",B39,VLOOKUP(B39,'Списки участников'!A:O,6,FALSE))</f>
        <v>"ГЖД"</v>
      </c>
      <c r="E39" s="212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1137"/>
      <c r="Q39" s="237"/>
      <c r="R39" s="244" t="str">
        <f>'ПРФ(32)'!R34</f>
        <v>3:0</v>
      </c>
      <c r="S39" s="217"/>
      <c r="T39" s="217"/>
      <c r="U39" s="292"/>
      <c r="V39" s="218" t="s">
        <v>46</v>
      </c>
      <c r="W39" s="219">
        <f>'ПРФ(32)'!G42</f>
        <v>25</v>
      </c>
      <c r="X39" s="239" t="str">
        <f>IF('ПРФ(32)'!G42="",W39,VLOOKUP(W39,'Списки участников'!$A:$U,3,FALSE))</f>
        <v>ФИЛЬЧУГОВ Сергей</v>
      </c>
      <c r="Y39" s="220"/>
      <c r="Z39" s="220"/>
      <c r="AA39" s="242"/>
      <c r="AB39" s="243"/>
      <c r="AC39" s="242"/>
      <c r="AD39" s="242"/>
      <c r="AK39" s="237"/>
      <c r="AL39" s="237"/>
      <c r="AM39" s="241"/>
      <c r="AN39" s="208" t="s">
        <v>917</v>
      </c>
      <c r="AO39" s="290">
        <f>IF(AP34="","",IF(AO33=AL32,AL34,IF(AO33=AL34,AL32)))</f>
        <v>18</v>
      </c>
      <c r="AP39" s="210" t="str">
        <f>IF(AO39="",AO39,VLOOKUP(AO39,'Списки участников'!$A:$U,3,FALSE))</f>
        <v>ВОЛКОВ Валерий</v>
      </c>
      <c r="AQ39" s="293"/>
      <c r="AR39" s="293"/>
      <c r="AS39" s="867" t="str">
        <f>CONCATENATE(M4+22," ","место")</f>
        <v>23 место</v>
      </c>
    </row>
    <row r="40" spans="1:46" ht="10.5" customHeight="1" x14ac:dyDescent="0.2">
      <c r="A40" s="217"/>
      <c r="B40" s="217"/>
      <c r="C40" s="292"/>
      <c r="D40" s="218">
        <v>9</v>
      </c>
      <c r="E40" s="219">
        <f>'ПРФ(32)'!G12</f>
        <v>38</v>
      </c>
      <c r="F40" s="210" t="str">
        <f>IF('ПРФ(32)'!G12="",E40,VLOOKUP(E40,'Списки участников'!$A:$U,3,FALSE))</f>
        <v>СИМУСЕВ Сергей</v>
      </c>
      <c r="G40" s="220"/>
      <c r="H40" s="220"/>
      <c r="I40" s="213"/>
      <c r="J40" s="213"/>
      <c r="K40" s="213"/>
      <c r="L40" s="213"/>
      <c r="M40" s="213"/>
      <c r="N40" s="213"/>
      <c r="O40" s="213"/>
      <c r="P40" s="263"/>
      <c r="Q40" s="260"/>
      <c r="R40" s="834"/>
      <c r="S40" s="223" t="s">
        <v>918</v>
      </c>
      <c r="T40" s="294">
        <f>IF(I51="","",IF(H50=E48,E52,IF(H50=E52,E48)))</f>
        <v>33</v>
      </c>
      <c r="U40" s="239" t="str">
        <f>IF(I51="",T40,VLOOKUP(T40,'Списки участников'!$A:$U,3,FALSE))</f>
        <v>ГАЛАНОВ Максим</v>
      </c>
      <c r="V40" s="295"/>
      <c r="W40" s="302"/>
      <c r="X40" s="455" t="str">
        <f>'ПРФ(32)'!R42</f>
        <v>3:0</v>
      </c>
      <c r="Y40" s="229"/>
      <c r="Z40" s="230"/>
      <c r="AA40" s="242"/>
      <c r="AB40" s="243"/>
      <c r="AC40" s="242"/>
      <c r="AD40" s="242"/>
      <c r="AK40" s="237"/>
      <c r="AL40" s="237"/>
      <c r="AM40" s="230"/>
      <c r="AN40" s="217"/>
      <c r="AO40" s="217"/>
      <c r="AP40" s="298"/>
      <c r="AQ40" s="299" t="s">
        <v>79</v>
      </c>
      <c r="AR40" s="219">
        <f>'ПРФ(32)'!G71</f>
        <v>18</v>
      </c>
      <c r="AS40" s="239" t="str">
        <f>IF('ПРФ(32)'!G71="",AR40,VLOOKUP(AR40,'Списки участников'!$A:$U,3,FALSE))</f>
        <v>ВОЛКОВ Валерий</v>
      </c>
    </row>
    <row r="41" spans="1:46" ht="10.5" customHeight="1" x14ac:dyDescent="0.2">
      <c r="A41" s="223">
        <v>18</v>
      </c>
      <c r="B41" s="224">
        <v>60</v>
      </c>
      <c r="C41" s="239" t="str">
        <f>IF(B41="",B41,VLOOKUP(B41,'Списки участников'!$A:$U,3,FALSE))</f>
        <v xml:space="preserve"> Х</v>
      </c>
      <c r="D41" s="315">
        <f>IF(B41="",B41,VLOOKUP(B41,'Списки участников'!A:O,6,FALSE))</f>
        <v>0</v>
      </c>
      <c r="E41" s="227"/>
      <c r="F41" s="228" t="str">
        <f>'ПРФ(32)'!R12</f>
        <v/>
      </c>
      <c r="G41" s="229"/>
      <c r="H41" s="230"/>
      <c r="I41" s="231"/>
      <c r="J41" s="231"/>
      <c r="K41" s="231"/>
      <c r="L41" s="231"/>
      <c r="M41" s="231"/>
      <c r="N41" s="231"/>
      <c r="O41" s="231"/>
      <c r="P41" s="243"/>
      <c r="Q41" s="242"/>
      <c r="R41" s="215"/>
      <c r="S41" s="208"/>
      <c r="T41" s="208"/>
      <c r="U41" s="213"/>
      <c r="V41" s="233"/>
      <c r="W41" s="231"/>
      <c r="X41" s="1138"/>
      <c r="Y41" s="1137" t="s">
        <v>49</v>
      </c>
      <c r="Z41" s="219">
        <f>'ПРФ(32)'!G45</f>
        <v>17</v>
      </c>
      <c r="AA41" s="239" t="str">
        <f>IF('ПРФ(32)'!G45="",Z41,VLOOKUP(Z41,'Списки участников'!$A:$U,3,FALSE))</f>
        <v>ЕГОРОВ Игорь</v>
      </c>
      <c r="AB41" s="240"/>
      <c r="AC41" s="241"/>
      <c r="AD41" s="867" t="str">
        <f>CONCATENATE(M4+9," ","место")</f>
        <v>10 место</v>
      </c>
      <c r="AJ41" s="319"/>
      <c r="AK41" s="237"/>
      <c r="AL41" s="237"/>
      <c r="AM41" s="237"/>
      <c r="AN41" s="223" t="s">
        <v>98</v>
      </c>
      <c r="AO41" s="294">
        <f>IF(AP38="","",IF(AO37=AL36,AL38,IF(AO37=AL38,AL36)))</f>
        <v>43</v>
      </c>
      <c r="AP41" s="239" t="str">
        <f>IF(AO41="",AO41,VLOOKUP(AO41,'Списки участников'!$A:$U,3,FALSE))</f>
        <v>ЕСЬКИН Михаил</v>
      </c>
      <c r="AQ41" s="301"/>
      <c r="AR41" s="302"/>
      <c r="AS41" s="455" t="str">
        <f>'ПРФ(32)'!R71</f>
        <v>3:0</v>
      </c>
    </row>
    <row r="42" spans="1:46" ht="10.5" customHeight="1" x14ac:dyDescent="0.2">
      <c r="A42" s="208"/>
      <c r="B42" s="208"/>
      <c r="C42" s="213"/>
      <c r="D42" s="233"/>
      <c r="E42" s="231"/>
      <c r="F42" s="300"/>
      <c r="G42" s="1137" t="s">
        <v>36</v>
      </c>
      <c r="H42" s="234">
        <f>'ПРФ(32)'!G24</f>
        <v>38</v>
      </c>
      <c r="I42" s="210" t="str">
        <f>IF('ПРФ(32)'!G24="",H42,VLOOKUP(H42,'Списки участников'!$A:$U,3,FALSE))</f>
        <v>СИМУСЕВ Сергей</v>
      </c>
      <c r="J42" s="220"/>
      <c r="K42" s="220"/>
      <c r="L42" s="231"/>
      <c r="M42" s="231"/>
      <c r="N42" s="231"/>
      <c r="O42" s="231"/>
      <c r="P42" s="243"/>
      <c r="Q42" s="242"/>
      <c r="R42" s="215"/>
      <c r="S42" s="208" t="s">
        <v>919</v>
      </c>
      <c r="T42" s="290">
        <f>IF(I59="","",IF(H58=E60,E56,IF(H58=E56,E60)))</f>
        <v>25</v>
      </c>
      <c r="U42" s="210" t="str">
        <f>IF(I59="",T42,VLOOKUP(T42,'Списки участников'!$A:$U,3,FALSE))</f>
        <v>ФИЛЬЧУГОВ Сергей</v>
      </c>
      <c r="V42" s="265"/>
      <c r="W42" s="212"/>
      <c r="X42" s="1138"/>
      <c r="Y42" s="1137"/>
      <c r="Z42" s="302"/>
      <c r="AA42" s="455" t="str">
        <f>'ПРФ(32)'!R45</f>
        <v>3:0</v>
      </c>
      <c r="AB42" s="245"/>
      <c r="AC42" s="245"/>
      <c r="AD42" s="211" t="str">
        <f>IF(AC43="",AC43,VLOOKUP(AC43,'Списки участников'!$A:$O,6,FALSE))</f>
        <v>НПАП №1</v>
      </c>
      <c r="AH42" s="324">
        <v>-49</v>
      </c>
      <c r="AI42" s="325" t="str">
        <f>IF(AJ8="","",IF(AI7=AF6,AF8,IF(AI7=AF8,AF6)))</f>
        <v/>
      </c>
      <c r="AJ42" s="239" t="str">
        <f>IF(AI42="",AI42,VLOOKUP(AI42,'Списки участников'!$A:$U,3,FALSE))</f>
        <v/>
      </c>
      <c r="AK42" s="242"/>
      <c r="AL42" s="242"/>
      <c r="AM42" s="241"/>
      <c r="AN42" s="231"/>
      <c r="AO42" s="231"/>
      <c r="AP42" s="231"/>
      <c r="AQ42" s="231"/>
      <c r="AR42" s="231"/>
      <c r="AS42" s="867" t="str">
        <f>CONCATENATE(M4+23," ","место")</f>
        <v>24 место</v>
      </c>
    </row>
    <row r="43" spans="1:46" ht="10.5" customHeight="1" x14ac:dyDescent="0.2">
      <c r="A43" s="208">
        <v>19</v>
      </c>
      <c r="B43" s="209">
        <v>13</v>
      </c>
      <c r="C43" s="210" t="str">
        <f>IF(B43="",B43,VLOOKUP(B43,'Списки участников'!$A:$U,3,FALSE))</f>
        <v>ВАХРОМОВ Андрей</v>
      </c>
      <c r="D43" s="211" t="str">
        <f>IF(B43="",B43,VLOOKUP(B43,'Списки участников'!A:O,6,FALSE))</f>
        <v>ТПП</v>
      </c>
      <c r="E43" s="212"/>
      <c r="F43" s="300"/>
      <c r="G43" s="1137"/>
      <c r="H43" s="237"/>
      <c r="I43" s="228" t="str">
        <f>'ПРФ(32)'!R24</f>
        <v>3:1</v>
      </c>
      <c r="J43" s="229"/>
      <c r="K43" s="230"/>
      <c r="L43" s="231"/>
      <c r="M43" s="231"/>
      <c r="N43" s="231"/>
      <c r="O43" s="231"/>
      <c r="P43" s="243"/>
      <c r="Q43" s="242"/>
      <c r="R43" s="215"/>
      <c r="S43" s="217"/>
      <c r="T43" s="217"/>
      <c r="U43" s="292"/>
      <c r="V43" s="218" t="s">
        <v>47</v>
      </c>
      <c r="W43" s="219">
        <f>'ПРФ(32)'!G43</f>
        <v>17</v>
      </c>
      <c r="X43" s="239" t="str">
        <f>IF('ПРФ(32)'!G43="",W43,VLOOKUP(W43,'Списки участников'!$A:$U,3,FALSE))</f>
        <v>ЕГОРОВ Игорь</v>
      </c>
      <c r="Y43" s="240"/>
      <c r="Z43" s="241"/>
      <c r="AA43" s="231"/>
      <c r="AB43" s="307" t="s">
        <v>920</v>
      </c>
      <c r="AC43" s="268">
        <f>IF(AD38="","",IF(AC37=Z33,Z41,IF(AC37=Z41,Z33)))</f>
        <v>17</v>
      </c>
      <c r="AD43" s="239" t="str">
        <f>IF(AD38="",AC43,VLOOKUP(AC43,'Списки участников'!$A:$U,3,FALSE))</f>
        <v>ЕГОРОВ Игорь</v>
      </c>
      <c r="AE43" s="310"/>
      <c r="AF43" s="309"/>
      <c r="AG43" s="319"/>
      <c r="AH43" s="303"/>
      <c r="AI43" s="217"/>
      <c r="AJ43" s="292"/>
      <c r="AK43" s="218" t="s">
        <v>733</v>
      </c>
      <c r="AL43" s="219" t="str">
        <f>'ПРФ(32)'!G72</f>
        <v/>
      </c>
      <c r="AM43" s="239" t="str">
        <f>IF('ПРФ(32)'!G72="",AL43,VLOOKUP(AL43,'Списки участников'!$A:$U,3,FALSE))</f>
        <v/>
      </c>
      <c r="AN43" s="231"/>
      <c r="AO43" s="231"/>
      <c r="AP43" s="231"/>
      <c r="AQ43" s="307" t="s">
        <v>921</v>
      </c>
      <c r="AR43" s="268">
        <f>IF(AS41="","",IF(AR40=AO39,AO41,IF(AR40=AO41,AO39)))</f>
        <v>43</v>
      </c>
      <c r="AS43" s="239" t="str">
        <f>IF(AR43="",AR43,VLOOKUP(AR43,'Списки участников'!$A:$U,3,FALSE))</f>
        <v>ЕСЬКИН Михаил</v>
      </c>
    </row>
    <row r="44" spans="1:46" ht="10.5" customHeight="1" x14ac:dyDescent="0.2">
      <c r="A44" s="217"/>
      <c r="B44" s="217"/>
      <c r="C44" s="292"/>
      <c r="D44" s="218">
        <v>10</v>
      </c>
      <c r="E44" s="219">
        <f>'ПРФ(32)'!G13</f>
        <v>25</v>
      </c>
      <c r="F44" s="239" t="str">
        <f>IF('ПРФ(32)'!G13="",E44,VLOOKUP(E44,'Списки участников'!$A:$U,3,FALSE))</f>
        <v>ФИЛЬЧУГОВ Сергей</v>
      </c>
      <c r="G44" s="240"/>
      <c r="H44" s="241"/>
      <c r="I44" s="242"/>
      <c r="J44" s="243"/>
      <c r="K44" s="242"/>
      <c r="L44" s="231"/>
      <c r="M44" s="231"/>
      <c r="N44" s="231"/>
      <c r="O44" s="231"/>
      <c r="P44" s="243"/>
      <c r="Q44" s="242"/>
      <c r="R44" s="215"/>
      <c r="S44" s="223" t="s">
        <v>922</v>
      </c>
      <c r="T44" s="294">
        <f>IF(I67="","",IF(H66=E64,E68,IF(H66=E68,E64)))</f>
        <v>17</v>
      </c>
      <c r="U44" s="239" t="str">
        <f>IF(I67="",T44,VLOOKUP(T44,'Списки участников'!$A:$U,3,FALSE))</f>
        <v>ЕГОРОВ Игорь</v>
      </c>
      <c r="V44" s="295"/>
      <c r="W44" s="302"/>
      <c r="X44" s="455" t="str">
        <f>'ПРФ(32)'!R43</f>
        <v>3:0</v>
      </c>
      <c r="Y44" s="245"/>
      <c r="Z44" s="245"/>
      <c r="AA44" s="231"/>
      <c r="AB44" s="231"/>
      <c r="AC44" s="231"/>
      <c r="AD44" s="242"/>
      <c r="AE44" s="310"/>
      <c r="AF44" s="309"/>
      <c r="AG44" s="319"/>
      <c r="AH44" s="322" t="s">
        <v>923</v>
      </c>
      <c r="AI44" s="294" t="str">
        <f>IF(AJ11="","",IF(AI10=AF9,AF11,IF(AI10=AF11,AF9)))</f>
        <v/>
      </c>
      <c r="AJ44" s="239" t="str">
        <f>IF(AI44="",AI44,VLOOKUP(AI44,'Списки участников'!$A:$U,3,FALSE))</f>
        <v/>
      </c>
      <c r="AK44" s="295"/>
      <c r="AL44" s="227"/>
      <c r="AM44" s="228" t="str">
        <f>'ПРФ(32)'!R72</f>
        <v/>
      </c>
      <c r="AN44" s="229"/>
      <c r="AO44" s="219" t="str">
        <f>'ПРФ(32)'!G76</f>
        <v/>
      </c>
      <c r="AP44" s="239" t="str">
        <f>IF('ПРФ(32)'!G76="",AO44,VLOOKUP(AO44,'Списки участников'!$A:$U,3,FALSE))</f>
        <v/>
      </c>
      <c r="AQ44" s="231"/>
      <c r="AR44" s="231"/>
      <c r="AS44" s="231"/>
    </row>
    <row r="45" spans="1:46" ht="10.5" customHeight="1" x14ac:dyDescent="0.2">
      <c r="A45" s="223">
        <v>20</v>
      </c>
      <c r="B45" s="224">
        <v>25</v>
      </c>
      <c r="C45" s="239" t="str">
        <f>IF(B45="",B45,VLOOKUP(B45,'Списки участников'!$A:$U,3,FALSE))</f>
        <v>ФИЛЬЧУГОВ Сергей</v>
      </c>
      <c r="D45" s="297" t="str">
        <f>IF(B45="",B45,VLOOKUP(B45,'Списки участников'!A:O,6,FALSE))</f>
        <v>"КРАСНОЕ СОРМОВО"</v>
      </c>
      <c r="E45" s="227"/>
      <c r="F45" s="228" t="str">
        <f>'ПРФ(32)'!R13</f>
        <v>3:1</v>
      </c>
      <c r="G45" s="245"/>
      <c r="H45" s="245"/>
      <c r="I45" s="242"/>
      <c r="J45" s="243"/>
      <c r="K45" s="242"/>
      <c r="L45" s="231"/>
      <c r="M45" s="231"/>
      <c r="N45" s="231"/>
      <c r="O45" s="231"/>
      <c r="P45" s="243"/>
      <c r="Q45" s="242"/>
      <c r="R45" s="215"/>
      <c r="S45" s="310"/>
      <c r="T45" s="309"/>
      <c r="U45" s="319"/>
      <c r="V45" s="320"/>
      <c r="W45" s="227"/>
      <c r="X45" s="231"/>
      <c r="Y45" s="245"/>
      <c r="Z45" s="245"/>
      <c r="AA45" s="231"/>
      <c r="AB45" s="231"/>
      <c r="AC45" s="231"/>
      <c r="AD45" s="867" t="str">
        <f>CONCATENATE(M4+10," ","место")</f>
        <v>11 место</v>
      </c>
      <c r="AE45" s="310"/>
      <c r="AF45" s="309"/>
      <c r="AG45" s="319"/>
      <c r="AH45" s="245" t="s">
        <v>924</v>
      </c>
      <c r="AI45" s="290" t="str">
        <f>IF(AJ14="","",IF(AI13=AF12,AF14,IF(AI13=AF14,AF12)))</f>
        <v/>
      </c>
      <c r="AJ45" s="239" t="str">
        <f>IF(AI45="",AI45,VLOOKUP(AI45,'Списки участников'!$A:$U,3,FALSE))</f>
        <v/>
      </c>
      <c r="AK45" s="265"/>
      <c r="AL45" s="212"/>
      <c r="AM45" s="1011"/>
      <c r="AN45" s="243" t="s">
        <v>87</v>
      </c>
      <c r="AO45" s="227"/>
      <c r="AP45" s="228" t="str">
        <f>'ПРФ(32)'!R76</f>
        <v/>
      </c>
      <c r="AQ45" s="229"/>
      <c r="AR45" s="230"/>
      <c r="AS45" s="231"/>
    </row>
    <row r="46" spans="1:46" ht="10.5" customHeight="1" x14ac:dyDescent="0.2">
      <c r="A46" s="208"/>
      <c r="B46" s="208"/>
      <c r="C46" s="213"/>
      <c r="D46" s="233"/>
      <c r="E46" s="231"/>
      <c r="F46" s="231"/>
      <c r="G46" s="231"/>
      <c r="H46" s="231"/>
      <c r="I46" s="242"/>
      <c r="J46" s="1137">
        <v>27</v>
      </c>
      <c r="K46" s="234">
        <f>'ПРФ(32)'!G30</f>
        <v>38</v>
      </c>
      <c r="L46" s="210" t="str">
        <f>IF('ПРФ(32)'!G30="",K46,VLOOKUP(K46,'Списки участников'!$A:$U,3,FALSE))</f>
        <v>СИМУСЕВ Сергей</v>
      </c>
      <c r="M46" s="220"/>
      <c r="N46" s="220"/>
      <c r="O46" s="231"/>
      <c r="P46" s="243"/>
      <c r="Q46" s="242"/>
      <c r="R46" s="215"/>
      <c r="Y46" s="208" t="s">
        <v>925</v>
      </c>
      <c r="Z46" s="290">
        <f>IF(AA34="","",IF(Z33=W35,W31,IF(Z33=W31,W35)))</f>
        <v>45</v>
      </c>
      <c r="AA46" s="210" t="str">
        <f>IF(AA34="",Z46,VLOOKUP(Z46,'Списки участников'!$A:$U,3,FALSE))</f>
        <v>ПЧЕЛИН Сергей</v>
      </c>
      <c r="AB46" s="293"/>
      <c r="AC46" s="293"/>
      <c r="AD46" s="211" t="str">
        <f>IF(AC47="",AC47,VLOOKUP(AC47,'Списки участников'!$A:$O,6,FALSE))</f>
        <v>ПАО НАЗ "СОКОЛ"</v>
      </c>
      <c r="AE46" s="310"/>
      <c r="AF46" s="309"/>
      <c r="AG46" s="319"/>
      <c r="AH46" s="303"/>
      <c r="AI46" s="217"/>
      <c r="AJ46" s="210">
        <f>IF(AI46="",AI46,VLOOKUP(AI46,'Списки участников'!$A:$U,3,FALSE))</f>
        <v>0</v>
      </c>
      <c r="AK46" s="218" t="s">
        <v>81</v>
      </c>
      <c r="AL46" s="219" t="str">
        <f>'ПРФ(32)'!G73</f>
        <v/>
      </c>
      <c r="AM46" s="239" t="str">
        <f>IF('ПРФ(32)'!G73="",AL46,VLOOKUP(AL46,'Списки участников'!$A:$U,3,FALSE))</f>
        <v/>
      </c>
      <c r="AN46" s="240"/>
      <c r="AO46" s="241"/>
      <c r="AP46" s="242"/>
      <c r="AQ46" s="243"/>
      <c r="AR46" s="242"/>
      <c r="AS46" s="867" t="str">
        <f>CONCATENATE(M4+24," ","место")</f>
        <v>25 место</v>
      </c>
    </row>
    <row r="47" spans="1:46" ht="10.5" customHeight="1" x14ac:dyDescent="0.2">
      <c r="A47" s="208">
        <v>21</v>
      </c>
      <c r="B47" s="209">
        <v>43</v>
      </c>
      <c r="C47" s="210" t="str">
        <f>IF(B47="",B47,VLOOKUP(B47,'Списки участников'!$A:$U,3,FALSE))</f>
        <v>ЕСЬКИН Михаил</v>
      </c>
      <c r="D47" s="211" t="str">
        <f>IF(B47="",B47,VLOOKUP(B47,'Списки участников'!A:O,6,FALSE))</f>
        <v>ЗАО "НПП "Салют-27"</v>
      </c>
      <c r="E47" s="212"/>
      <c r="F47" s="231"/>
      <c r="G47" s="231"/>
      <c r="H47" s="231"/>
      <c r="I47" s="242"/>
      <c r="J47" s="1137"/>
      <c r="K47" s="237"/>
      <c r="L47" s="228" t="str">
        <f>'ПРФ(32)'!R30</f>
        <v>3:0</v>
      </c>
      <c r="M47" s="229"/>
      <c r="N47" s="230"/>
      <c r="O47" s="231"/>
      <c r="P47" s="243"/>
      <c r="Q47" s="242"/>
      <c r="R47" s="215"/>
      <c r="Y47" s="217"/>
      <c r="Z47" s="217"/>
      <c r="AA47" s="298"/>
      <c r="AB47" s="299" t="s">
        <v>51</v>
      </c>
      <c r="AC47" s="219">
        <f>'ПРФ(32)'!G47</f>
        <v>45</v>
      </c>
      <c r="AD47" s="239" t="str">
        <f>IF('ПРФ(32)'!G47="",AC47,VLOOKUP(AC47,'Списки участников'!$A:$U,3,FALSE))</f>
        <v>ПЧЕЛИН Сергей</v>
      </c>
      <c r="AE47" s="310"/>
      <c r="AF47" s="309"/>
      <c r="AG47" s="319"/>
      <c r="AH47" s="322" t="s">
        <v>926</v>
      </c>
      <c r="AI47" s="294" t="str">
        <f>IF(AJ17="","",IF(AI16=AF17,AF15,IF(AI16=AF15,AF17)))</f>
        <v/>
      </c>
      <c r="AJ47" s="239" t="str">
        <f>IF(AI47="",AI47,VLOOKUP(AI47,'Списки участников'!$A:$U,3,FALSE))</f>
        <v/>
      </c>
      <c r="AK47" s="295"/>
      <c r="AL47" s="227"/>
      <c r="AM47" s="244" t="str">
        <f>'ПРФ(32)'!R73</f>
        <v/>
      </c>
      <c r="AN47" s="245"/>
      <c r="AO47" s="245"/>
      <c r="AP47" s="242"/>
      <c r="AQ47" s="243"/>
      <c r="AR47" s="219" t="str">
        <f>'ПРФ(32)'!G78</f>
        <v/>
      </c>
      <c r="AS47" s="239" t="str">
        <f>IF('ПРФ(32)'!G78="",AR47,VLOOKUP(AR47,'Списки участников'!$A:$U,3,FALSE))</f>
        <v/>
      </c>
    </row>
    <row r="48" spans="1:46" ht="10.5" customHeight="1" x14ac:dyDescent="0.2">
      <c r="A48" s="217"/>
      <c r="B48" s="217"/>
      <c r="C48" s="292"/>
      <c r="D48" s="218">
        <v>11</v>
      </c>
      <c r="E48" s="219">
        <f>'ПРФ(32)'!G14</f>
        <v>46</v>
      </c>
      <c r="F48" s="210" t="str">
        <f>IF('ПРФ(32)'!G14="",E48,VLOOKUP(E48,'Списки участников'!$A:$U,3,FALSE))</f>
        <v>МАТВЕЕВ Сергей</v>
      </c>
      <c r="G48" s="220"/>
      <c r="H48" s="220"/>
      <c r="I48" s="242"/>
      <c r="J48" s="243"/>
      <c r="K48" s="242"/>
      <c r="L48" s="242"/>
      <c r="M48" s="243"/>
      <c r="N48" s="242"/>
      <c r="O48" s="231"/>
      <c r="P48" s="243"/>
      <c r="Q48" s="242"/>
      <c r="R48" s="215"/>
      <c r="Y48" s="223" t="s">
        <v>927</v>
      </c>
      <c r="Z48" s="294">
        <f>IF(AA42="","",IF(Z41=W39,W43,IF(Z41=W43,W39)))</f>
        <v>25</v>
      </c>
      <c r="AA48" s="239" t="str">
        <f>IF(AA42="",Z48,VLOOKUP(Z48,'Списки участников'!$A:$U,3,FALSE))</f>
        <v>ФИЛЬЧУГОВ Сергей</v>
      </c>
      <c r="AB48" s="301"/>
      <c r="AC48" s="302"/>
      <c r="AD48" s="455" t="str">
        <f>'ПРФ(32)'!R47</f>
        <v>3:0</v>
      </c>
      <c r="AE48" s="310"/>
      <c r="AF48" s="309"/>
      <c r="AG48" s="319"/>
      <c r="AH48" s="245" t="s">
        <v>928</v>
      </c>
      <c r="AI48" s="290" t="str">
        <f>IF(AJ20="","",IF(AI19=AF20,AF18,IF(AI19=AF18,AF20)))</f>
        <v/>
      </c>
      <c r="AJ48" s="210" t="str">
        <f>IF(AI48="",AI48,VLOOKUP(AI48,'Списки участников'!$A:$U,3,FALSE))</f>
        <v/>
      </c>
      <c r="AK48" s="265"/>
      <c r="AL48" s="212"/>
      <c r="AM48" s="231"/>
      <c r="AN48" s="231"/>
      <c r="AO48" s="231"/>
      <c r="AP48" s="242"/>
      <c r="AQ48" s="1137" t="s">
        <v>861</v>
      </c>
      <c r="AR48" s="227"/>
      <c r="AS48" s="228" t="str">
        <f>'ПРФ(32)'!R78</f>
        <v/>
      </c>
    </row>
    <row r="49" spans="1:45" ht="10.5" customHeight="1" x14ac:dyDescent="0.2">
      <c r="A49" s="223">
        <v>22</v>
      </c>
      <c r="B49" s="224">
        <v>46</v>
      </c>
      <c r="C49" s="239" t="str">
        <f>IF(B49="",B49,VLOOKUP(B49,'Списки участников'!$A:$U,3,FALSE))</f>
        <v>МАТВЕЕВ Сергей</v>
      </c>
      <c r="D49" s="297" t="str">
        <f>IF(B49="",B49,VLOOKUP(B49,'Списки участников'!A:O,6,FALSE))</f>
        <v>ПАО НАЗ "СОКОЛ"</v>
      </c>
      <c r="E49" s="227"/>
      <c r="F49" s="228" t="str">
        <f>'ПРФ(32)'!R14</f>
        <v>3:2</v>
      </c>
      <c r="G49" s="229"/>
      <c r="H49" s="230"/>
      <c r="I49" s="242"/>
      <c r="J49" s="243"/>
      <c r="K49" s="242"/>
      <c r="L49" s="242"/>
      <c r="M49" s="243"/>
      <c r="N49" s="242"/>
      <c r="O49" s="231"/>
      <c r="P49" s="243"/>
      <c r="Q49" s="242"/>
      <c r="R49" s="215"/>
      <c r="Y49" s="231"/>
      <c r="Z49" s="231"/>
      <c r="AA49" s="231"/>
      <c r="AB49" s="231"/>
      <c r="AC49" s="231"/>
      <c r="AD49" s="867" t="str">
        <f>CONCATENATE(M4+11," ","место")</f>
        <v>12 место</v>
      </c>
      <c r="AE49" s="310"/>
      <c r="AF49" s="309"/>
      <c r="AG49" s="319"/>
      <c r="AH49" s="303"/>
      <c r="AI49" s="217"/>
      <c r="AJ49" s="292"/>
      <c r="AK49" s="218" t="s">
        <v>82</v>
      </c>
      <c r="AL49" s="219" t="str">
        <f>'ПРФ(32)'!G74</f>
        <v/>
      </c>
      <c r="AM49" s="239" t="str">
        <f>IF('ПРФ(32)'!G74="",AL49,VLOOKUP(AL49,'Списки участников'!$A:$U,3,FALSE))</f>
        <v/>
      </c>
      <c r="AN49" s="220"/>
      <c r="AO49" s="220"/>
      <c r="AP49" s="242"/>
      <c r="AQ49" s="1137"/>
      <c r="AR49" s="242"/>
      <c r="AS49" s="242"/>
    </row>
    <row r="50" spans="1:45" ht="10.5" customHeight="1" x14ac:dyDescent="0.2">
      <c r="A50" s="208"/>
      <c r="B50" s="208"/>
      <c r="C50" s="213"/>
      <c r="D50" s="265"/>
      <c r="E50" s="212"/>
      <c r="F50" s="300"/>
      <c r="G50" s="1137" t="s">
        <v>27</v>
      </c>
      <c r="H50" s="234">
        <f>'ПРФ(32)'!G25</f>
        <v>46</v>
      </c>
      <c r="I50" s="210" t="str">
        <f>IF('ПРФ(32)'!G25="",H50,VLOOKUP(H50,'Списки участников'!$A:$U,3,FALSE))</f>
        <v>МАТВЕЕВ Сергей</v>
      </c>
      <c r="J50" s="240"/>
      <c r="K50" s="241"/>
      <c r="L50" s="242"/>
      <c r="M50" s="243"/>
      <c r="N50" s="242"/>
      <c r="O50" s="231"/>
      <c r="P50" s="243"/>
      <c r="Q50" s="242"/>
      <c r="R50" s="215"/>
      <c r="Y50" s="231"/>
      <c r="Z50" s="231"/>
      <c r="AA50" s="231"/>
      <c r="AB50" s="231"/>
      <c r="AC50" s="231"/>
      <c r="AD50" s="211" t="str">
        <f>IF(AC51="",AC51,VLOOKUP(AC51,'Списки участников'!$A:$O,6,FALSE))</f>
        <v>"КРАСНОЕ СОРМОВО"</v>
      </c>
      <c r="AE50" s="310"/>
      <c r="AF50" s="309"/>
      <c r="AG50" s="319"/>
      <c r="AH50" s="322" t="s">
        <v>929</v>
      </c>
      <c r="AI50" s="294" t="str">
        <f>IF(AJ23="","",IF(AI22=AF21,AF23,IF(AI22=AF23,AF21)))</f>
        <v/>
      </c>
      <c r="AJ50" s="239" t="str">
        <f>IF(AI50="",AI50,VLOOKUP(AI50,'Списки участников'!$A:$U,3,FALSE))</f>
        <v/>
      </c>
      <c r="AK50" s="295"/>
      <c r="AL50" s="227"/>
      <c r="AM50" s="228" t="str">
        <f>'ПРФ(32)'!R74</f>
        <v/>
      </c>
      <c r="AN50" s="229"/>
      <c r="AO50" s="230"/>
      <c r="AP50" s="242"/>
      <c r="AQ50" s="243"/>
      <c r="AR50" s="242"/>
      <c r="AS50" s="242"/>
    </row>
    <row r="51" spans="1:45" ht="10.5" customHeight="1" x14ac:dyDescent="0.2">
      <c r="A51" s="208">
        <v>23</v>
      </c>
      <c r="B51" s="209">
        <v>60</v>
      </c>
      <c r="C51" s="210" t="str">
        <f>IF(B51="",B51,VLOOKUP(B51,'Списки участников'!$A:$U,3,FALSE))</f>
        <v xml:space="preserve"> Х</v>
      </c>
      <c r="D51" s="211">
        <f>IF(B51="",B51,VLOOKUP(B51,'Списки участников'!A:O,6,FALSE))</f>
        <v>0</v>
      </c>
      <c r="E51" s="212"/>
      <c r="F51" s="300"/>
      <c r="G51" s="1137"/>
      <c r="H51" s="237"/>
      <c r="I51" s="228" t="str">
        <f>'ПРФ(32)'!R25</f>
        <v>3:0</v>
      </c>
      <c r="J51" s="245"/>
      <c r="K51" s="245"/>
      <c r="L51" s="242"/>
      <c r="M51" s="243"/>
      <c r="N51" s="242"/>
      <c r="O51" s="231"/>
      <c r="P51" s="243"/>
      <c r="Q51" s="242"/>
      <c r="R51" s="215"/>
      <c r="Y51" s="231"/>
      <c r="Z51" s="231"/>
      <c r="AA51" s="231"/>
      <c r="AB51" s="307" t="s">
        <v>930</v>
      </c>
      <c r="AC51" s="268">
        <f>IF(AD48="","",IF(AC47=Z46,Z48,IF(AC47=Z48,Z46)))</f>
        <v>25</v>
      </c>
      <c r="AD51" s="239" t="str">
        <f>IF(AD48="",AC51,VLOOKUP(AC51,'Списки участников'!$A:$U,3,FALSE))</f>
        <v>ФИЛЬЧУГОВ Сергей</v>
      </c>
      <c r="AE51" s="310"/>
      <c r="AH51" s="245" t="s">
        <v>931</v>
      </c>
      <c r="AI51" s="290" t="str">
        <f>IF(AJ26="","",IF(AI25=AF24,AF26,IF(AI25=AF26,AF24)))</f>
        <v/>
      </c>
      <c r="AJ51" s="210" t="str">
        <f>IF(AI51="",AI51,VLOOKUP(AI51,'Списки участников'!$A:$U,3,FALSE))</f>
        <v/>
      </c>
      <c r="AK51" s="265"/>
      <c r="AL51" s="212"/>
      <c r="AM51" s="1011"/>
      <c r="AN51" s="243" t="s">
        <v>88</v>
      </c>
      <c r="AO51" s="219" t="str">
        <f>'ПРФ(32)'!G77</f>
        <v/>
      </c>
      <c r="AP51" s="239" t="str">
        <f>IF('ПРФ(32)'!G77="",AO51,VLOOKUP(AO51,'Списки участников'!$A:$U,3,FALSE))</f>
        <v/>
      </c>
      <c r="AQ51" s="313"/>
      <c r="AR51" s="245"/>
      <c r="AS51" s="867" t="str">
        <f>CONCATENATE(M4+25," ","место")</f>
        <v>26 место</v>
      </c>
    </row>
    <row r="52" spans="1:45" ht="10.5" customHeight="1" x14ac:dyDescent="0.2">
      <c r="A52" s="217"/>
      <c r="B52" s="217"/>
      <c r="C52" s="292"/>
      <c r="D52" s="218">
        <v>12</v>
      </c>
      <c r="E52" s="219">
        <f>'ПРФ(32)'!G15</f>
        <v>33</v>
      </c>
      <c r="F52" s="239" t="str">
        <f>IF('ПРФ(32)'!G15="",E52,VLOOKUP(E52,'Списки участников'!$A:$U,3,FALSE))</f>
        <v>ГАЛАНОВ Максим</v>
      </c>
      <c r="G52" s="240"/>
      <c r="H52" s="241"/>
      <c r="I52" s="231"/>
      <c r="J52" s="231"/>
      <c r="K52" s="231"/>
      <c r="L52" s="242"/>
      <c r="M52" s="243"/>
      <c r="N52" s="242"/>
      <c r="O52" s="231"/>
      <c r="P52" s="243"/>
      <c r="Q52" s="242"/>
      <c r="R52" s="215"/>
      <c r="V52" s="310" t="s">
        <v>932</v>
      </c>
      <c r="W52" s="311">
        <f>IF(X32="","",IF(W31=T30,T32,IF(W31=T32,T30)))</f>
        <v>26</v>
      </c>
      <c r="X52" s="210" t="str">
        <f>IF(W52="",W52,VLOOKUP(W52,'Списки участников'!$A:$U,3,FALSE))</f>
        <v>ТЫЛЕЧКИН Валерий</v>
      </c>
      <c r="Y52" s="231"/>
      <c r="Z52" s="231"/>
      <c r="AA52" s="231"/>
      <c r="AB52" s="231"/>
      <c r="AC52" s="231"/>
      <c r="AD52" s="237"/>
      <c r="AE52" s="310"/>
      <c r="AH52" s="303"/>
      <c r="AI52" s="217"/>
      <c r="AJ52" s="292"/>
      <c r="AK52" s="218" t="s">
        <v>86</v>
      </c>
      <c r="AL52" s="219" t="str">
        <f>'ПРФ(32)'!G75</f>
        <v/>
      </c>
      <c r="AM52" s="239" t="str">
        <f>IF('ПРФ(32)'!G75="",AL52,VLOOKUP(AL52,'Списки участников'!$A:$U,3,FALSE))</f>
        <v/>
      </c>
      <c r="AN52" s="240"/>
      <c r="AO52" s="227"/>
      <c r="AP52" s="228" t="str">
        <f>'ПРФ(32)'!R77</f>
        <v/>
      </c>
      <c r="AQ52" s="307" t="s">
        <v>933</v>
      </c>
      <c r="AR52" s="268" t="str">
        <f>IF(AR47="","",IF(AR47=AO44,AO51,IF(AR47=AO51,AO44)))</f>
        <v/>
      </c>
      <c r="AS52" s="239" t="str">
        <f>IF(AS48="","",VLOOKUP(AR52,'Списки участников'!$A:$U,3,FALSE))</f>
        <v/>
      </c>
    </row>
    <row r="53" spans="1:45" ht="10.5" customHeight="1" x14ac:dyDescent="0.2">
      <c r="A53" s="223">
        <v>24</v>
      </c>
      <c r="B53" s="224">
        <v>33</v>
      </c>
      <c r="C53" s="239" t="str">
        <f>IF(B53="",B53,VLOOKUP(B53,'Списки участников'!$A:$U,3,FALSE))</f>
        <v>ГАЛАНОВ Максим</v>
      </c>
      <c r="D53" s="297" t="str">
        <f>IF(B53="",B53,VLOOKUP(B53,'Списки участников'!A:O,6,FALSE))</f>
        <v>АО "ОКБМ"</v>
      </c>
      <c r="E53" s="227"/>
      <c r="F53" s="228" t="str">
        <f>'ПРФ(32)'!R15</f>
        <v/>
      </c>
      <c r="G53" s="245"/>
      <c r="H53" s="245"/>
      <c r="I53" s="231"/>
      <c r="J53" s="231"/>
      <c r="K53" s="231"/>
      <c r="L53" s="242"/>
      <c r="M53" s="243"/>
      <c r="N53" s="242"/>
      <c r="O53" s="231"/>
      <c r="P53" s="243"/>
      <c r="Q53" s="242"/>
      <c r="R53" s="215"/>
      <c r="V53" s="217"/>
      <c r="W53" s="217"/>
      <c r="X53" s="298"/>
      <c r="Y53" s="229" t="s">
        <v>52</v>
      </c>
      <c r="Z53" s="219">
        <f>'ПРФ(32)'!G48</f>
        <v>14</v>
      </c>
      <c r="AA53" s="239" t="str">
        <f>IF('ПРФ(32)'!G48="",Z53,VLOOKUP(Z53,'Списки участников'!$A:$U,3,FALSE))</f>
        <v>КОНОВ Сергей</v>
      </c>
      <c r="AB53" s="241"/>
      <c r="AC53" s="241"/>
      <c r="AD53" s="867" t="str">
        <f>CONCATENATE(M4+12," ","место")</f>
        <v>13 место</v>
      </c>
      <c r="AE53" s="310"/>
      <c r="AH53" s="322" t="s">
        <v>934</v>
      </c>
      <c r="AI53" s="294" t="str">
        <f>IF(AJ29="","",IF(AI28=AF27,AF29,IF(AI28=AF29,AF27)))</f>
        <v/>
      </c>
      <c r="AJ53" s="239" t="str">
        <f>IF(AI53="",AI53,VLOOKUP(AI53,'Списки участников'!$A:$U,3,FALSE))</f>
        <v/>
      </c>
      <c r="AK53" s="295"/>
      <c r="AL53" s="227"/>
      <c r="AM53" s="457" t="str">
        <f>'ПРФ(32)'!R75</f>
        <v/>
      </c>
      <c r="AN53" s="208" t="s">
        <v>935</v>
      </c>
      <c r="AO53" s="290" t="str">
        <f>IF(AP45="","",IF(AO44=AL46,AL43,IF(AO44=AL43,AL46)))</f>
        <v/>
      </c>
      <c r="AP53" s="210" t="str">
        <f>IF(AP45="",AO53,VLOOKUP(AO53,'Списки участников'!$A:$U,3,FALSE))</f>
        <v/>
      </c>
      <c r="AQ53" s="293"/>
      <c r="AR53" s="293"/>
      <c r="AS53" s="867" t="str">
        <f>CONCATENATE(M4+26," ","место")</f>
        <v>27 место</v>
      </c>
    </row>
    <row r="54" spans="1:45" ht="10.5" customHeight="1" x14ac:dyDescent="0.2">
      <c r="A54" s="208"/>
      <c r="B54" s="208"/>
      <c r="C54" s="213"/>
      <c r="D54" s="233"/>
      <c r="E54" s="231"/>
      <c r="F54" s="231"/>
      <c r="G54" s="231"/>
      <c r="H54" s="231"/>
      <c r="I54" s="231"/>
      <c r="J54" s="231"/>
      <c r="K54" s="231"/>
      <c r="L54" s="242"/>
      <c r="M54" s="1137">
        <v>30</v>
      </c>
      <c r="N54" s="219">
        <f>'ПРФ(32)'!G33</f>
        <v>37</v>
      </c>
      <c r="O54" s="239" t="str">
        <f>IF('ПРФ(32)'!G33="",N54,VLOOKUP(N54,'Списки участников'!$A:$U,3,FALSE))</f>
        <v>РОДИНОВ Андрей</v>
      </c>
      <c r="P54" s="240"/>
      <c r="Q54" s="241"/>
      <c r="R54" s="215"/>
      <c r="V54" s="223" t="s">
        <v>936</v>
      </c>
      <c r="W54" s="294">
        <f>IF(X36="","",IF(W35=T36,T34,IF(W35=T34,T36)))</f>
        <v>14</v>
      </c>
      <c r="X54" s="239" t="str">
        <f>IF(X36="",W54,VLOOKUP(W54,'Списки участников'!$A:$U,3,FALSE))</f>
        <v>КОНОВ Сергей</v>
      </c>
      <c r="Y54" s="306"/>
      <c r="Z54" s="302"/>
      <c r="AA54" s="455" t="str">
        <f>'ПРФ(32)'!R48</f>
        <v>3:0</v>
      </c>
      <c r="AB54" s="229"/>
      <c r="AC54" s="230"/>
      <c r="AD54" s="211" t="str">
        <f>IF(AC55="",AC55,VLOOKUP(AC55,'Списки участников'!$A:$O,6,FALSE))</f>
        <v>ТПП</v>
      </c>
      <c r="AE54" s="310"/>
      <c r="AN54" s="217"/>
      <c r="AO54" s="217"/>
      <c r="AP54" s="298"/>
      <c r="AQ54" s="299" t="s">
        <v>862</v>
      </c>
      <c r="AR54" s="219" t="str">
        <f>'ПРФ(32)'!G79</f>
        <v/>
      </c>
      <c r="AS54" s="239" t="str">
        <f>IF('ПРФ(32)'!G79="",AR54,VLOOKUP(AR54,'Списки участников'!$A:$U,3,FALSE))</f>
        <v/>
      </c>
    </row>
    <row r="55" spans="1:45" ht="10.5" customHeight="1" x14ac:dyDescent="0.2">
      <c r="A55" s="208">
        <v>25</v>
      </c>
      <c r="B55" s="209">
        <v>2</v>
      </c>
      <c r="C55" s="210" t="str">
        <f>IF(B55="",B55,VLOOKUP(B55,'Списки участников'!$A:$U,3,FALSE))</f>
        <v>РОЙТМАН Дмитрий</v>
      </c>
      <c r="D55" s="211" t="str">
        <f>IF(B55="",B55,VLOOKUP(B55,'Списки участников'!A:O,6,FALSE))</f>
        <v>АО ФНПЦ НИИРТ</v>
      </c>
      <c r="E55" s="212"/>
      <c r="F55" s="231"/>
      <c r="G55" s="231"/>
      <c r="H55" s="231"/>
      <c r="I55" s="231"/>
      <c r="J55" s="231"/>
      <c r="K55" s="231"/>
      <c r="L55" s="242"/>
      <c r="M55" s="1137"/>
      <c r="N55" s="237"/>
      <c r="O55" s="244" t="str">
        <f>'ПРФ(32)'!R33</f>
        <v>3:0</v>
      </c>
      <c r="P55" s="245"/>
      <c r="Q55" s="245"/>
      <c r="R55" s="215"/>
      <c r="V55" s="310"/>
      <c r="W55" s="310"/>
      <c r="X55" s="241"/>
      <c r="Y55" s="310"/>
      <c r="Z55" s="310"/>
      <c r="AA55" s="230"/>
      <c r="AB55" s="1137" t="s">
        <v>54</v>
      </c>
      <c r="AC55" s="219">
        <f>'ПРФ(32)'!G50</f>
        <v>14</v>
      </c>
      <c r="AD55" s="239" t="str">
        <f>IF('ПРФ(32)'!G50="",AC55,VLOOKUP(AC55,'Списки участников'!$A:$U,3,FALSE))</f>
        <v>КОНОВ Сергей</v>
      </c>
      <c r="AE55" s="310"/>
      <c r="AN55" s="223" t="s">
        <v>937</v>
      </c>
      <c r="AO55" s="294" t="str">
        <f>IF(AP52="","",IF(AO51=AL49,AL52,IF(AO51=AL52,AL49)))</f>
        <v/>
      </c>
      <c r="AP55" s="239" t="str">
        <f>IF(AP52="",AO55,VLOOKUP(AO55,'Списки участников'!$A:$U,3,FALSE))</f>
        <v/>
      </c>
      <c r="AQ55" s="301"/>
      <c r="AR55" s="227"/>
      <c r="AS55" s="228" t="str">
        <f>'ПРФ(32)'!R79</f>
        <v/>
      </c>
    </row>
    <row r="56" spans="1:45" ht="10.5" customHeight="1" x14ac:dyDescent="0.2">
      <c r="A56" s="217"/>
      <c r="B56" s="217"/>
      <c r="C56" s="292"/>
      <c r="D56" s="218">
        <v>13</v>
      </c>
      <c r="E56" s="219">
        <f>'ПРФ(32)'!G16</f>
        <v>2</v>
      </c>
      <c r="F56" s="210" t="str">
        <f>IF('ПРФ(32)'!G16="",E56,VLOOKUP(E56,'Списки участников'!$A:$U,3,FALSE))</f>
        <v>РОЙТМАН Дмитрий</v>
      </c>
      <c r="G56" s="220"/>
      <c r="H56" s="220"/>
      <c r="I56" s="231"/>
      <c r="J56" s="231"/>
      <c r="K56" s="231"/>
      <c r="L56" s="242"/>
      <c r="M56" s="243"/>
      <c r="N56" s="242"/>
      <c r="O56" s="231"/>
      <c r="P56" s="231"/>
      <c r="Q56" s="231"/>
      <c r="R56" s="215"/>
      <c r="V56" s="310" t="s">
        <v>938</v>
      </c>
      <c r="W56" s="311">
        <f>IF(X40="","",IF(W39=T38,T40,IF(W39=T40,T38)))</f>
        <v>33</v>
      </c>
      <c r="X56" s="210" t="str">
        <f>IF(X40="",W56,VLOOKUP(W56,'Списки участников'!$A:$U,3,FALSE))</f>
        <v>ГАЛАНОВ Максим</v>
      </c>
      <c r="Y56" s="310"/>
      <c r="Z56" s="310"/>
      <c r="AA56" s="237"/>
      <c r="AB56" s="1137"/>
      <c r="AC56" s="302"/>
      <c r="AD56" s="403" t="str">
        <f>'ПРФ(32)'!R50</f>
        <v>3:1</v>
      </c>
      <c r="AE56" s="310"/>
      <c r="AN56" s="231"/>
      <c r="AO56" s="231"/>
      <c r="AP56" s="231"/>
      <c r="AQ56" s="231"/>
      <c r="AR56" s="231"/>
      <c r="AS56" s="867" t="str">
        <f>CONCATENATE(M4+27," ","место")</f>
        <v>28 место</v>
      </c>
    </row>
    <row r="57" spans="1:45" ht="10.5" customHeight="1" x14ac:dyDescent="0.2">
      <c r="A57" s="223">
        <v>26</v>
      </c>
      <c r="B57" s="224">
        <v>60</v>
      </c>
      <c r="C57" s="239" t="str">
        <f>IF(B57="",B57,VLOOKUP(B57,'Списки участников'!$A:$U,3,FALSE))</f>
        <v xml:space="preserve"> Х</v>
      </c>
      <c r="D57" s="297">
        <f>IF(B57="",B57,VLOOKUP(B57,'Списки участников'!A:O,6,FALSE))</f>
        <v>0</v>
      </c>
      <c r="E57" s="227"/>
      <c r="F57" s="228" t="str">
        <f>'ПРФ(32)'!R16</f>
        <v/>
      </c>
      <c r="G57" s="229"/>
      <c r="H57" s="230"/>
      <c r="I57" s="231"/>
      <c r="J57" s="231"/>
      <c r="K57" s="231"/>
      <c r="L57" s="242"/>
      <c r="M57" s="243"/>
      <c r="N57" s="242"/>
      <c r="O57" s="231"/>
      <c r="P57" s="231"/>
      <c r="Q57" s="231"/>
      <c r="R57" s="867" t="str">
        <f>CONCATENATE(M4+1," ","место")</f>
        <v>2 место</v>
      </c>
      <c r="V57" s="217"/>
      <c r="W57" s="217"/>
      <c r="X57" s="298"/>
      <c r="Y57" s="229" t="s">
        <v>53</v>
      </c>
      <c r="Z57" s="219">
        <f>'ПРФ(32)'!G49</f>
        <v>33</v>
      </c>
      <c r="AA57" s="239" t="str">
        <f>IF('ПРФ(32)'!G49="",Z57,VLOOKUP(Z57,'Списки участников'!$A:$U,3,FALSE))</f>
        <v>ГАЛАНОВ Максим</v>
      </c>
      <c r="AB57" s="240"/>
      <c r="AC57" s="241"/>
      <c r="AD57" s="867" t="str">
        <f>CONCATENATE(M4+13," ","место")</f>
        <v>14 место</v>
      </c>
      <c r="AE57" s="310"/>
      <c r="AK57" s="223" t="s">
        <v>939</v>
      </c>
      <c r="AL57" s="311" t="str">
        <f>IF(AM44="","",IF(AL43=AI44,AI42,IF(AL43=AI42,AI44)))</f>
        <v/>
      </c>
      <c r="AM57" s="210" t="str">
        <f>IF(AL57="",AL57,VLOOKUP(AL57,'Списки участников'!$A:$U,3,FALSE))</f>
        <v/>
      </c>
      <c r="AN57" s="231"/>
      <c r="AO57" s="231"/>
      <c r="AP57" s="231"/>
      <c r="AQ57" s="307" t="s">
        <v>940</v>
      </c>
      <c r="AR57" s="268" t="str">
        <f>IF(AS55="","",IF(AR54=AO53,AO55,IF(AR54=AO55,AO53)))</f>
        <v/>
      </c>
      <c r="AS57" s="239" t="str">
        <f>IF(AS55="",AR57,VLOOKUP(AR57,'Списки участников'!$A:$U,3,FALSE))</f>
        <v/>
      </c>
    </row>
    <row r="58" spans="1:45" ht="10.5" customHeight="1" x14ac:dyDescent="0.2">
      <c r="A58" s="208"/>
      <c r="B58" s="208"/>
      <c r="C58" s="213"/>
      <c r="D58" s="233"/>
      <c r="E58" s="231"/>
      <c r="F58" s="300"/>
      <c r="G58" s="1137" t="s">
        <v>40</v>
      </c>
      <c r="H58" s="234">
        <f>'ПРФ(32)'!G26</f>
        <v>2</v>
      </c>
      <c r="I58" s="210" t="str">
        <f>IF('ПРФ(32)'!G26="",H58,VLOOKUP(H58,'Списки участников'!$A:$U,3,FALSE))</f>
        <v>РОЙТМАН Дмитрий</v>
      </c>
      <c r="J58" s="220"/>
      <c r="K58" s="220"/>
      <c r="L58" s="242"/>
      <c r="M58" s="243"/>
      <c r="N58" s="242"/>
      <c r="O58" s="231"/>
      <c r="P58" s="231"/>
      <c r="Q58" s="231"/>
      <c r="R58" s="215"/>
      <c r="V58" s="223" t="s">
        <v>941</v>
      </c>
      <c r="W58" s="294">
        <f>IF(X44="","",IF(W43=T42,T44,IF(W43=T44,T42)))</f>
        <v>25</v>
      </c>
      <c r="X58" s="239" t="str">
        <f>IF(X44="",W58,VLOOKUP(W58,'Списки участников'!$A:$U,3,FALSE))</f>
        <v>ФИЛЬЧУГОВ Сергей</v>
      </c>
      <c r="Y58" s="306"/>
      <c r="Z58" s="302"/>
      <c r="AA58" s="455" t="str">
        <f>'ПРФ(32)'!R49</f>
        <v>3:0</v>
      </c>
      <c r="AB58" s="230"/>
      <c r="AC58" s="230"/>
      <c r="AD58" s="211" t="str">
        <f>IF(AC59="",AC59,VLOOKUP(AC59,'Списки участников'!$A:$O,6,FALSE))</f>
        <v>АО "ОКБМ"</v>
      </c>
      <c r="AE58" s="310"/>
      <c r="AK58" s="217"/>
      <c r="AL58" s="217"/>
      <c r="AM58" s="298"/>
      <c r="AN58" s="229" t="s">
        <v>863</v>
      </c>
      <c r="AO58" s="219" t="str">
        <f>'ПРФ(32)'!G80</f>
        <v/>
      </c>
      <c r="AP58" s="239" t="str">
        <f>IF('ПРФ(32)'!G80="",AO58,VLOOKUP(AO58,'Списки участников'!$A:$U,3,FALSE))</f>
        <v/>
      </c>
      <c r="AQ58" s="241"/>
      <c r="AR58" s="241"/>
      <c r="AS58" s="254"/>
    </row>
    <row r="59" spans="1:45" ht="10.5" customHeight="1" x14ac:dyDescent="0.2">
      <c r="A59" s="208">
        <v>27</v>
      </c>
      <c r="B59" s="209">
        <v>25</v>
      </c>
      <c r="C59" s="210" t="str">
        <f>IF(B59="",B59,VLOOKUP(B59,'Списки участников'!$A:$U,3,FALSE))</f>
        <v>ФИЛЬЧУГОВ Сергей</v>
      </c>
      <c r="D59" s="211" t="str">
        <f>IF(B59="",B59,VLOOKUP(B59,'Списки участников'!A:O,6,FALSE))</f>
        <v>"КРАСНОЕ СОРМОВО"</v>
      </c>
      <c r="E59" s="212"/>
      <c r="F59" s="300"/>
      <c r="G59" s="1137"/>
      <c r="H59" s="237"/>
      <c r="I59" s="228" t="str">
        <f>'ПРФ(32)'!R26</f>
        <v>3:0</v>
      </c>
      <c r="J59" s="229"/>
      <c r="K59" s="230"/>
      <c r="L59" s="242"/>
      <c r="M59" s="243"/>
      <c r="N59" s="242"/>
      <c r="O59" s="231"/>
      <c r="P59" s="231"/>
      <c r="Q59" s="231"/>
      <c r="R59" s="211" t="str">
        <f>IF(Q60="",Q60,VLOOKUP(Q60,'Списки участников'!$A:$O,6,FALSE))</f>
        <v>"ГЖД"</v>
      </c>
      <c r="V59" s="237"/>
      <c r="W59" s="237"/>
      <c r="X59" s="237"/>
      <c r="Y59" s="310"/>
      <c r="Z59" s="310"/>
      <c r="AA59" s="237"/>
      <c r="AB59" s="316" t="s">
        <v>942</v>
      </c>
      <c r="AC59" s="317">
        <f>IF(AD56="","",IF(AC55=Z53,Z57,IF(AC55=Z57,Z53)))</f>
        <v>33</v>
      </c>
      <c r="AD59" s="239" t="str">
        <f>IF(AD56="",AC59,VLOOKUP(AC59,'Списки участников'!$A:$U,3,FALSE))</f>
        <v>ГАЛАНОВ Максим</v>
      </c>
      <c r="AE59" s="310"/>
      <c r="AK59" s="223" t="s">
        <v>943</v>
      </c>
      <c r="AL59" s="294" t="str">
        <f>IF(AM47="","",IF(AL46=AI47,AI45,IF(AL46=AI45,AI47)))</f>
        <v/>
      </c>
      <c r="AM59" s="239" t="str">
        <f>IF(AL59="",AL59,VLOOKUP(AL59,'Списки участников'!$A:$U,3,FALSE))</f>
        <v/>
      </c>
      <c r="AN59" s="306"/>
      <c r="AO59" s="227"/>
      <c r="AP59" s="228" t="str">
        <f>'ПРФ(32)'!R80</f>
        <v/>
      </c>
      <c r="AQ59" s="229"/>
      <c r="AR59" s="230"/>
      <c r="AS59" s="935" t="str">
        <f>CONCATENATE(M4+28," ","место")</f>
        <v>29 место</v>
      </c>
    </row>
    <row r="60" spans="1:45" ht="10.5" customHeight="1" x14ac:dyDescent="0.2">
      <c r="A60" s="217"/>
      <c r="B60" s="217"/>
      <c r="C60" s="292"/>
      <c r="D60" s="218">
        <v>14</v>
      </c>
      <c r="E60" s="219">
        <f>'ПРФ(32)'!G17</f>
        <v>25</v>
      </c>
      <c r="F60" s="239" t="str">
        <f>IF('ПРФ(32)'!G17="",E60,VLOOKUP(E60,'Списки участников'!$A:$U,3,FALSE))</f>
        <v>ФИЛЬЧУГОВ Сергей</v>
      </c>
      <c r="G60" s="240"/>
      <c r="H60" s="241"/>
      <c r="I60" s="242"/>
      <c r="J60" s="243"/>
      <c r="K60" s="242"/>
      <c r="L60" s="242"/>
      <c r="M60" s="243"/>
      <c r="N60" s="242"/>
      <c r="O60" s="231"/>
      <c r="P60" s="245" t="s">
        <v>70</v>
      </c>
      <c r="Q60" s="268">
        <f>IF(R39="","",IF(Q38=N22,N54,IF(Q38=N54,N22)))</f>
        <v>37</v>
      </c>
      <c r="R60" s="210" t="str">
        <f>IF(R39="",Q60,VLOOKUP(Q60,'Списки участников'!$A:$U,3,FALSE))</f>
        <v>РОДИНОВ Андрей</v>
      </c>
      <c r="V60" s="237"/>
      <c r="W60" s="237"/>
      <c r="X60" s="237"/>
      <c r="Y60" s="310"/>
      <c r="Z60" s="310"/>
      <c r="AA60" s="302"/>
      <c r="AB60" s="302"/>
      <c r="AC60" s="302" t="str">
        <f>IF(AB40="","",IF(AB40=#REF!,Y55,IF(AB40=Y55,#REF!)))</f>
        <v/>
      </c>
      <c r="AD60" s="237"/>
      <c r="AE60" s="310"/>
      <c r="AK60" s="310"/>
      <c r="AL60" s="310"/>
      <c r="AM60" s="241"/>
      <c r="AN60" s="310"/>
      <c r="AO60" s="310"/>
      <c r="AP60" s="230"/>
      <c r="AQ60" s="1137" t="s">
        <v>865</v>
      </c>
      <c r="AR60" s="219" t="str">
        <f>'ПРФ(32)'!G82</f>
        <v/>
      </c>
      <c r="AS60" s="239" t="str">
        <f>IF('ПРФ(32)'!G82="",AR60,VLOOKUP(AR60,'Списки участников'!$A:$U,3,FALSE))</f>
        <v/>
      </c>
    </row>
    <row r="61" spans="1:45" ht="10.5" customHeight="1" x14ac:dyDescent="0.2">
      <c r="A61" s="223">
        <v>28</v>
      </c>
      <c r="B61" s="224">
        <v>21</v>
      </c>
      <c r="C61" s="239" t="str">
        <f>IF(B61="",B61,VLOOKUP(B61,'Списки участников'!$A:$U,3,FALSE))</f>
        <v>КОПНОВ Павел</v>
      </c>
      <c r="D61" s="315" t="str">
        <f>IF(B61="",B61,VLOOKUP(B61,'Списки участников'!A:O,6,FALSE))</f>
        <v>НИИИС</v>
      </c>
      <c r="E61" s="227"/>
      <c r="F61" s="228" t="str">
        <f>'ПРФ(32)'!R17</f>
        <v>3:1</v>
      </c>
      <c r="G61" s="245"/>
      <c r="H61" s="245"/>
      <c r="I61" s="242"/>
      <c r="J61" s="243"/>
      <c r="K61" s="242"/>
      <c r="L61" s="242"/>
      <c r="M61" s="243"/>
      <c r="N61" s="242"/>
      <c r="O61" s="231"/>
      <c r="P61" s="231"/>
      <c r="Q61" s="231"/>
      <c r="R61" s="835"/>
      <c r="V61" s="237"/>
      <c r="W61" s="237"/>
      <c r="X61" s="237"/>
      <c r="Y61" s="231"/>
      <c r="Z61" s="231"/>
      <c r="AA61" s="231"/>
      <c r="AB61" s="231"/>
      <c r="AC61" s="231"/>
      <c r="AD61" s="867" t="str">
        <f>CONCATENATE(M4+14," ","место")</f>
        <v>15 место</v>
      </c>
      <c r="AE61" s="310"/>
      <c r="AK61" s="310" t="s">
        <v>944</v>
      </c>
      <c r="AL61" s="311" t="str">
        <f>IF(AM50="","",IF(AL49=AI48,AI50,IF(AL49=AI50,AI48)))</f>
        <v/>
      </c>
      <c r="AM61" s="210" t="str">
        <f>IF(AL61="",AL61,VLOOKUP(AL61,'Списки участников'!$A:$U,3,FALSE))</f>
        <v/>
      </c>
      <c r="AN61" s="310"/>
      <c r="AO61" s="310"/>
      <c r="AP61" s="237"/>
      <c r="AQ61" s="1137"/>
      <c r="AR61" s="227"/>
      <c r="AS61" s="228" t="str">
        <f>'ПРФ(32)'!R82</f>
        <v/>
      </c>
    </row>
    <row r="62" spans="1:45" ht="10.5" customHeight="1" x14ac:dyDescent="0.2">
      <c r="A62" s="208"/>
      <c r="B62" s="208"/>
      <c r="C62" s="213"/>
      <c r="D62" s="233"/>
      <c r="E62" s="231"/>
      <c r="F62" s="231"/>
      <c r="G62" s="245"/>
      <c r="H62" s="245"/>
      <c r="I62" s="242"/>
      <c r="J62" s="1137">
        <v>28</v>
      </c>
      <c r="K62" s="234">
        <f>'ПРФ(32)'!G31</f>
        <v>37</v>
      </c>
      <c r="L62" s="210" t="str">
        <f>IF('ПРФ(32)'!G31="",K62,VLOOKUP(K62,'Списки участников'!$A:$U,3,FALSE))</f>
        <v>РОДИНОВ Андрей</v>
      </c>
      <c r="M62" s="240"/>
      <c r="N62" s="241"/>
      <c r="O62" s="231"/>
      <c r="P62" s="231"/>
      <c r="Q62" s="231"/>
      <c r="R62" s="215"/>
      <c r="V62" s="237"/>
      <c r="W62" s="237"/>
      <c r="X62" s="241"/>
      <c r="Y62" s="208" t="s">
        <v>945</v>
      </c>
      <c r="Z62" s="290">
        <f>IF(AA54="","",IF(Z53=W52,W54,IF(Z53=W54,W52)))</f>
        <v>26</v>
      </c>
      <c r="AA62" s="210" t="str">
        <f>IF(Z62="",Z62,VLOOKUP(Z62,'Списки участников'!$A:$U,3,FALSE))</f>
        <v>ТЫЛЕЧКИН Валерий</v>
      </c>
      <c r="AB62" s="293"/>
      <c r="AC62" s="293"/>
      <c r="AD62" s="211" t="str">
        <f>IF(AC63="",AC63,VLOOKUP(AC63,'Списки участников'!$A:$O,6,FALSE))</f>
        <v>"КРАСНОЕ СОРМОВО"</v>
      </c>
      <c r="AK62" s="217"/>
      <c r="AL62" s="217"/>
      <c r="AM62" s="298"/>
      <c r="AN62" s="229" t="s">
        <v>864</v>
      </c>
      <c r="AO62" s="219" t="str">
        <f>'ПРФ(32)'!G81</f>
        <v/>
      </c>
      <c r="AP62" s="239" t="str">
        <f>IF('ПРФ(32)'!G81="",AO62,VLOOKUP(AO62,'Списки участников'!$A:$U,3,FALSE))</f>
        <v/>
      </c>
      <c r="AQ62" s="240"/>
      <c r="AR62" s="241"/>
      <c r="AS62" s="867" t="str">
        <f>CONCATENATE(M4+29," ","место")</f>
        <v>30 место</v>
      </c>
    </row>
    <row r="63" spans="1:45" ht="10.5" customHeight="1" x14ac:dyDescent="0.2">
      <c r="A63" s="208">
        <v>29</v>
      </c>
      <c r="B63" s="209">
        <v>42</v>
      </c>
      <c r="C63" s="210" t="str">
        <f>IF(B63="",B63,VLOOKUP(B63,'Списки участников'!$A:$U,3,FALSE))</f>
        <v>ПАНИН Сергей</v>
      </c>
      <c r="D63" s="211" t="str">
        <f>IF(B63="",B63,VLOOKUP(B63,'Списки участников'!A:O,6,FALSE))</f>
        <v>ЗАО "НПП "Салют-27"</v>
      </c>
      <c r="E63" s="212"/>
      <c r="F63" s="231"/>
      <c r="G63" s="231"/>
      <c r="H63" s="231"/>
      <c r="I63" s="242"/>
      <c r="J63" s="1137"/>
      <c r="K63" s="237"/>
      <c r="L63" s="228" t="str">
        <f>'ПРФ(32)'!R31</f>
        <v>3:0</v>
      </c>
      <c r="M63" s="245"/>
      <c r="N63" s="245"/>
      <c r="O63" s="231"/>
      <c r="P63" s="231"/>
      <c r="Q63" s="231"/>
      <c r="R63" s="231"/>
      <c r="V63" s="237"/>
      <c r="W63" s="237"/>
      <c r="X63" s="230"/>
      <c r="Y63" s="217"/>
      <c r="Z63" s="217"/>
      <c r="AA63" s="298"/>
      <c r="AB63" s="299" t="s">
        <v>55</v>
      </c>
      <c r="AC63" s="219">
        <f>'ПРФ(32)'!G51</f>
        <v>26</v>
      </c>
      <c r="AD63" s="239" t="str">
        <f>IF('ПРФ(32)'!G51="",AC63,VLOOKUP(AC63,'Списки участников'!$A:$U,3,FALSE))</f>
        <v>ТЫЛЕЧКИН Валерий</v>
      </c>
      <c r="AK63" s="223" t="s">
        <v>946</v>
      </c>
      <c r="AL63" s="294" t="str">
        <f>IF(AM53="","",IF(AL52=AI51,AI53,IF(AL52=AI53,AI51)))</f>
        <v/>
      </c>
      <c r="AM63" s="239" t="str">
        <f>IF(AL63="",AL63,VLOOKUP(AL63,'Списки участников'!$A:$U,3,FALSE))</f>
        <v/>
      </c>
      <c r="AN63" s="306"/>
      <c r="AO63" s="227"/>
      <c r="AP63" s="228" t="str">
        <f>'ПРФ(32)'!R81</f>
        <v/>
      </c>
      <c r="AQ63" s="316" t="s">
        <v>947</v>
      </c>
      <c r="AR63" s="317" t="str">
        <f>IF(AS61="","",IF(AR60=AO58,AO62,IF(AR60=AO62,AO58)))</f>
        <v/>
      </c>
      <c r="AS63" s="239" t="str">
        <f>IF(AR63="",AR63,VLOOKUP(AR63,'Списки участников'!$A:$U,3,FALSE))</f>
        <v/>
      </c>
    </row>
    <row r="64" spans="1:45" ht="10.5" customHeight="1" x14ac:dyDescent="0.2">
      <c r="A64" s="217"/>
      <c r="B64" s="217"/>
      <c r="C64" s="292"/>
      <c r="D64" s="218">
        <v>15</v>
      </c>
      <c r="E64" s="219">
        <f>'ПРФ(32)'!G18</f>
        <v>37</v>
      </c>
      <c r="F64" s="321" t="str">
        <f>IF('ПРФ(32)'!G18="",E64,VLOOKUP(E64,'Списки участников'!$A:$U,3,FALSE))</f>
        <v>РОДИНОВ Андрей</v>
      </c>
      <c r="G64" s="220"/>
      <c r="H64" s="220"/>
      <c r="I64" s="242"/>
      <c r="J64" s="243"/>
      <c r="K64" s="242"/>
      <c r="L64" s="231"/>
      <c r="M64" s="231"/>
      <c r="N64" s="231"/>
      <c r="O64" s="231"/>
      <c r="P64" s="231"/>
      <c r="Q64" s="231"/>
      <c r="R64" s="215"/>
      <c r="V64" s="237"/>
      <c r="W64" s="237"/>
      <c r="X64" s="237"/>
      <c r="Y64" s="223" t="s">
        <v>948</v>
      </c>
      <c r="Z64" s="294">
        <f>IF(AA58="","",IF(Z57=W56,W58,IF(Z57=W58,W56)))</f>
        <v>25</v>
      </c>
      <c r="AA64" s="239" t="str">
        <f>IF(AA58="",Z64,VLOOKUP(Z64,'Списки участников'!$A:$U,3,FALSE))</f>
        <v>ФИЛЬЧУГОВ Сергей</v>
      </c>
      <c r="AB64" s="301"/>
      <c r="AC64" s="302"/>
      <c r="AD64" s="403" t="str">
        <f>'ПРФ(32)'!R51</f>
        <v>3:1</v>
      </c>
      <c r="AK64" s="237"/>
      <c r="AL64" s="237"/>
      <c r="AM64" s="237"/>
      <c r="AN64" s="310"/>
      <c r="AO64" s="310"/>
      <c r="AP64" s="302"/>
      <c r="AQ64" s="302"/>
      <c r="AR64" s="302" t="str">
        <f>IF(AQ50="","",IF(AQ50=#REF!,AN60,IF(AQ50=AN60,#REF!)))</f>
        <v/>
      </c>
      <c r="AS64" s="237"/>
    </row>
    <row r="65" spans="1:45" ht="10.5" customHeight="1" x14ac:dyDescent="0.2">
      <c r="A65" s="223">
        <v>30</v>
      </c>
      <c r="B65" s="224">
        <v>37</v>
      </c>
      <c r="C65" s="239" t="str">
        <f>IF(B65="",B65,VLOOKUP(B65,'Списки участников'!$A:$U,3,FALSE))</f>
        <v>РОДИНОВ Андрей</v>
      </c>
      <c r="D65" s="315" t="str">
        <f>IF(B65="",B65,VLOOKUP(B65,'Списки участников'!A:O,6,FALSE))</f>
        <v>"ГЖД"</v>
      </c>
      <c r="E65" s="227"/>
      <c r="F65" s="228" t="str">
        <f>'ПРФ(32)'!R18</f>
        <v>3:0</v>
      </c>
      <c r="G65" s="229"/>
      <c r="H65" s="230"/>
      <c r="I65" s="242"/>
      <c r="J65" s="243"/>
      <c r="K65" s="242"/>
      <c r="L65" s="231"/>
      <c r="M65" s="231"/>
      <c r="N65" s="231"/>
      <c r="O65" s="231"/>
      <c r="P65" s="231"/>
      <c r="Q65" s="231"/>
      <c r="R65" s="215"/>
      <c r="V65" s="237"/>
      <c r="W65" s="237"/>
      <c r="X65" s="237"/>
      <c r="Y65" s="231"/>
      <c r="Z65" s="231"/>
      <c r="AA65" s="231"/>
      <c r="AB65" s="231"/>
      <c r="AC65" s="231"/>
      <c r="AD65" s="867" t="str">
        <f>CONCATENATE(M4+15," ","место")</f>
        <v>16 место</v>
      </c>
      <c r="AK65" s="237"/>
      <c r="AL65" s="237"/>
      <c r="AM65" s="237"/>
      <c r="AN65" s="208" t="s">
        <v>949</v>
      </c>
      <c r="AO65" s="290" t="str">
        <f>IF(AP59="","",IF(AO58=AL57,AL59,IF(AO58=AL59,AL57)))</f>
        <v/>
      </c>
      <c r="AP65" s="210" t="str">
        <f>IF(AO65="",AO65,VLOOKUP(AO65,'Списки участников'!$A:$U,3,FALSE))</f>
        <v/>
      </c>
      <c r="AQ65" s="293"/>
      <c r="AR65" s="293"/>
      <c r="AS65" s="867" t="str">
        <f>CONCATENATE(M4+30," ","место")</f>
        <v>31 место</v>
      </c>
    </row>
    <row r="66" spans="1:45" ht="10.5" customHeight="1" x14ac:dyDescent="0.2">
      <c r="A66" s="208"/>
      <c r="B66" s="208"/>
      <c r="C66" s="213"/>
      <c r="D66" s="233"/>
      <c r="E66" s="231"/>
      <c r="F66" s="300"/>
      <c r="G66" s="1137" t="s">
        <v>9</v>
      </c>
      <c r="H66" s="234">
        <f>'ПРФ(32)'!G27</f>
        <v>37</v>
      </c>
      <c r="I66" s="210" t="str">
        <f>IF('ПРФ(32)'!G27="",H66,VLOOKUP(H66,'Списки участников'!$A:$U,3,FALSE))</f>
        <v>РОДИНОВ Андрей</v>
      </c>
      <c r="J66" s="240"/>
      <c r="K66" s="241"/>
      <c r="L66" s="231"/>
      <c r="M66" s="231"/>
      <c r="N66" s="231"/>
      <c r="O66" s="242"/>
      <c r="P66" s="242"/>
      <c r="Q66" s="242"/>
      <c r="R66" s="270"/>
      <c r="V66" s="231"/>
      <c r="W66" s="231"/>
      <c r="X66" s="231"/>
      <c r="Y66" s="231"/>
      <c r="Z66" s="231"/>
      <c r="AA66" s="231"/>
      <c r="AB66" s="231"/>
      <c r="AC66" s="231"/>
      <c r="AD66" s="211" t="str">
        <f>IF(AC67="",AC67,VLOOKUP(AC67,'Списки участников'!$A:$O,6,FALSE))</f>
        <v>"КРАСНОЕ СОРМОВО"</v>
      </c>
      <c r="AK66" s="237"/>
      <c r="AL66" s="237"/>
      <c r="AM66" s="237"/>
      <c r="AN66" s="217"/>
      <c r="AO66" s="217"/>
      <c r="AP66" s="298"/>
      <c r="AQ66" s="299" t="s">
        <v>866</v>
      </c>
      <c r="AR66" s="219" t="str">
        <f>'ПРФ(32)'!G83</f>
        <v/>
      </c>
      <c r="AS66" s="239" t="str">
        <f>IF('ПРФ(32)'!G83="",AR66,VLOOKUP(AR66,'Списки участников'!$A:$U,3,FALSE))</f>
        <v/>
      </c>
    </row>
    <row r="67" spans="1:45" ht="10.5" customHeight="1" x14ac:dyDescent="0.2">
      <c r="A67" s="208">
        <v>31</v>
      </c>
      <c r="B67" s="209">
        <v>60</v>
      </c>
      <c r="C67" s="239" t="str">
        <f>IF(B67="",B67,VLOOKUP(B67,'Списки участников'!$A:$U,3,FALSE))</f>
        <v xml:space="preserve"> Х</v>
      </c>
      <c r="D67" s="211">
        <f>IF(B67="",B67,VLOOKUP(B67,'Списки участников'!A:O,6,FALSE))</f>
        <v>0</v>
      </c>
      <c r="E67" s="212"/>
      <c r="F67" s="300"/>
      <c r="G67" s="1137"/>
      <c r="H67" s="237"/>
      <c r="I67" s="228" t="str">
        <f>'ПРФ(32)'!R27</f>
        <v>3:1</v>
      </c>
      <c r="J67" s="245"/>
      <c r="K67" s="245"/>
      <c r="L67" s="231"/>
      <c r="M67" s="231"/>
      <c r="N67" s="231"/>
      <c r="O67" s="242"/>
      <c r="P67" s="242"/>
      <c r="Q67" s="242"/>
      <c r="R67" s="270"/>
      <c r="V67" s="242"/>
      <c r="W67" s="242"/>
      <c r="X67" s="241"/>
      <c r="Y67" s="231"/>
      <c r="Z67" s="231"/>
      <c r="AA67" s="231"/>
      <c r="AB67" s="307" t="s">
        <v>950</v>
      </c>
      <c r="AC67" s="268">
        <f>IF(AD64="","",IF(AC63=Z62,Z64,IF(AC63=Z64,Z62)))</f>
        <v>25</v>
      </c>
      <c r="AD67" s="239" t="str">
        <f>IF(AC67="",AC67,VLOOKUP(AC67,'Списки участников'!$A:$U,3,FALSE))</f>
        <v>ФИЛЬЧУГОВ Сергей</v>
      </c>
      <c r="AE67" s="715" t="s">
        <v>1037</v>
      </c>
      <c r="AF67" s="716"/>
      <c r="AG67" s="716"/>
      <c r="AH67" s="716"/>
      <c r="AI67" s="717"/>
      <c r="AJ67" s="708"/>
      <c r="AK67" s="1139">
        <f>'Списки участников'!F141</f>
        <v>0</v>
      </c>
      <c r="AL67" s="1140"/>
      <c r="AM67" s="1140"/>
      <c r="AN67" s="223" t="s">
        <v>951</v>
      </c>
      <c r="AO67" s="294" t="str">
        <f>IF(AP63="","",IF(AO62=AL61,AL63,IF(AO62=AL63,AL61)))</f>
        <v/>
      </c>
      <c r="AP67" s="239" t="str">
        <f>IF(AO67="",AO67,VLOOKUP(AO67,'Списки участников'!$A:$U,3,FALSE))</f>
        <v/>
      </c>
      <c r="AQ67" s="301"/>
      <c r="AR67" s="227"/>
      <c r="AS67" s="228" t="str">
        <f>'ПРФ(32)'!R83</f>
        <v/>
      </c>
    </row>
    <row r="68" spans="1:45" ht="10.5" customHeight="1" x14ac:dyDescent="0.2">
      <c r="A68" s="217"/>
      <c r="B68" s="217"/>
      <c r="C68" s="210">
        <f>IF(B68="",B68,VLOOKUP(B68,'Списки участников'!$A:$U,3,FALSE))</f>
        <v>0</v>
      </c>
      <c r="D68" s="218">
        <v>16</v>
      </c>
      <c r="E68" s="219">
        <f>'ПРФ(32)'!G19</f>
        <v>17</v>
      </c>
      <c r="F68" s="239" t="str">
        <f>IF('ПРФ(32)'!G19="",E68,VLOOKUP(E68,'Списки участников'!$A:$U,3,FALSE))</f>
        <v>ЕГОРОВ Игорь</v>
      </c>
      <c r="G68" s="240"/>
      <c r="H68" s="241"/>
      <c r="I68" s="231"/>
      <c r="J68" s="245"/>
      <c r="K68" s="245"/>
      <c r="L68" s="231"/>
      <c r="M68" s="231"/>
      <c r="N68" s="231"/>
      <c r="O68" s="231"/>
      <c r="P68" s="231"/>
      <c r="Q68" s="231"/>
      <c r="R68" s="215"/>
      <c r="AE68" s="718"/>
      <c r="AF68" s="719"/>
      <c r="AG68" s="719"/>
      <c r="AH68" s="719"/>
      <c r="AI68" s="720"/>
      <c r="AJ68" s="708"/>
      <c r="AK68" s="721"/>
      <c r="AL68" s="721"/>
      <c r="AM68" s="721"/>
      <c r="AN68" s="231"/>
      <c r="AO68" s="231"/>
      <c r="AP68" s="231"/>
      <c r="AQ68" s="231"/>
      <c r="AR68" s="231"/>
      <c r="AS68" s="867" t="str">
        <f>CONCATENATE(M4+31," ","место")</f>
        <v>32 место</v>
      </c>
    </row>
    <row r="69" spans="1:45" ht="10.5" customHeight="1" x14ac:dyDescent="0.2">
      <c r="A69" s="223" t="s">
        <v>34</v>
      </c>
      <c r="B69" s="224">
        <v>17</v>
      </c>
      <c r="C69" s="239" t="str">
        <f>IF(B69="",B69,VLOOKUP(B69,'Списки участников'!$A:$U,3,FALSE))</f>
        <v>ЕГОРОВ Игорь</v>
      </c>
      <c r="D69" s="297" t="str">
        <f>IF(B69="",B69,VLOOKUP(B69,'Списки участников'!A:O,6,FALSE))</f>
        <v>НПАП №1</v>
      </c>
      <c r="E69" s="227"/>
      <c r="F69" s="228" t="str">
        <f>'ПРФ(32)'!R19</f>
        <v/>
      </c>
      <c r="G69" s="245"/>
      <c r="H69" s="245"/>
      <c r="I69" s="231"/>
      <c r="J69" s="231"/>
      <c r="K69" s="231"/>
      <c r="L69" s="242"/>
      <c r="M69" s="242"/>
      <c r="N69" s="242"/>
      <c r="O69" s="242"/>
      <c r="P69" s="242"/>
      <c r="Q69" s="242"/>
      <c r="R69" s="215"/>
      <c r="AE69" s="703" t="s">
        <v>1038</v>
      </c>
      <c r="AF69" s="718"/>
      <c r="AG69" s="718"/>
      <c r="AH69" s="718"/>
      <c r="AI69" s="718"/>
      <c r="AJ69" s="708"/>
      <c r="AK69" s="1140">
        <f>'Списки участников'!L141</f>
        <v>0</v>
      </c>
      <c r="AL69" s="1140"/>
      <c r="AM69" s="1140"/>
      <c r="AN69" s="231"/>
      <c r="AO69" s="231"/>
      <c r="AP69" s="231"/>
      <c r="AQ69" s="307" t="s">
        <v>952</v>
      </c>
      <c r="AR69" s="268" t="str">
        <f>IF(AS67="","",IF(AR66=AO65,AO67,IF(AR66=AO67,AO65)))</f>
        <v/>
      </c>
      <c r="AS69" s="239" t="str">
        <f>IF(AR69="",AR69,VLOOKUP(AR69,'Списки участников'!$A:$U,3,FALSE))</f>
        <v/>
      </c>
    </row>
    <row r="70" spans="1:45" ht="10.5" customHeight="1" x14ac:dyDescent="0.2">
      <c r="A70" s="271"/>
      <c r="B70" s="271"/>
      <c r="C70" s="270"/>
      <c r="D70" s="272"/>
      <c r="E70" s="273"/>
      <c r="F70" s="273"/>
      <c r="G70" s="274"/>
      <c r="H70" s="274"/>
      <c r="I70" s="274"/>
      <c r="J70" s="274"/>
      <c r="K70" s="274"/>
      <c r="L70" s="273"/>
      <c r="M70" s="273"/>
      <c r="N70" s="273"/>
      <c r="O70" s="273"/>
      <c r="P70" s="273"/>
      <c r="Q70" s="273"/>
      <c r="R70" s="215"/>
      <c r="AK70" s="242"/>
      <c r="AL70" s="242"/>
      <c r="AM70" s="241"/>
    </row>
    <row r="71" spans="1:45" ht="10.5" customHeight="1" x14ac:dyDescent="0.2"/>
    <row r="72" spans="1:45" ht="10.5" customHeight="1" x14ac:dyDescent="0.2"/>
  </sheetData>
  <mergeCells count="36">
    <mergeCell ref="AQ60:AQ61"/>
    <mergeCell ref="J62:J63"/>
    <mergeCell ref="G66:G67"/>
    <mergeCell ref="AK67:AM67"/>
    <mergeCell ref="AK69:AM69"/>
    <mergeCell ref="G58:G59"/>
    <mergeCell ref="AQ35:AQ36"/>
    <mergeCell ref="AB37:AB38"/>
    <mergeCell ref="P38:P39"/>
    <mergeCell ref="X41:X42"/>
    <mergeCell ref="Y41:Y42"/>
    <mergeCell ref="G42:G43"/>
    <mergeCell ref="J46:J47"/>
    <mergeCell ref="AQ48:AQ49"/>
    <mergeCell ref="G50:G51"/>
    <mergeCell ref="M54:M55"/>
    <mergeCell ref="AB55:AB56"/>
    <mergeCell ref="M22:M23"/>
    <mergeCell ref="G26:G27"/>
    <mergeCell ref="J30:J31"/>
    <mergeCell ref="X33:X34"/>
    <mergeCell ref="Y33:Y34"/>
    <mergeCell ref="G34:G35"/>
    <mergeCell ref="S4:AD4"/>
    <mergeCell ref="AE4:AS4"/>
    <mergeCell ref="G10:G11"/>
    <mergeCell ref="J14:J15"/>
    <mergeCell ref="AB17:AB18"/>
    <mergeCell ref="G18:G19"/>
    <mergeCell ref="AQ18:AQ19"/>
    <mergeCell ref="A1:R1"/>
    <mergeCell ref="S1:AD1"/>
    <mergeCell ref="AE1:AS1"/>
    <mergeCell ref="D2:P2"/>
    <mergeCell ref="S2:AD2"/>
    <mergeCell ref="AE2:AS2"/>
  </mergeCells>
  <printOptions horizontalCentered="1"/>
  <pageMargins left="0.39370078740157483" right="0.19685039370078741" top="0.39370078740157483" bottom="0.39370078740157483" header="0.19685039370078741" footer="0.31496062992125984"/>
  <pageSetup scale="91" orientation="portrait" r:id="rId1"/>
  <headerFooter alignWithMargins="0"/>
  <colBreaks count="2" manualBreakCount="2">
    <brk id="18" max="67" man="1"/>
    <brk id="30" max="67" man="1"/>
  </col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Z55"/>
  <sheetViews>
    <sheetView view="pageBreakPreview" zoomScale="90" zoomScaleNormal="60" zoomScaleSheetLayoutView="90" workbookViewId="0">
      <selection sqref="A1:Q1"/>
    </sheetView>
  </sheetViews>
  <sheetFormatPr defaultColWidth="21.83203125" defaultRowHeight="10.35" customHeight="1" outlineLevelCol="1" x14ac:dyDescent="0.2"/>
  <cols>
    <col min="1" max="1" width="3.1640625" style="536" customWidth="1"/>
    <col min="2" max="2" width="4.33203125" style="536" hidden="1" customWidth="1" outlineLevel="1"/>
    <col min="3" max="3" width="25" style="535" customWidth="1" collapsed="1"/>
    <col min="4" max="4" width="3.1640625" style="535" customWidth="1"/>
    <col min="5" max="5" width="4.6640625" style="535" hidden="1" customWidth="1" outlineLevel="1"/>
    <col min="6" max="6" width="21.5" style="530" customWidth="1" collapsed="1"/>
    <col min="7" max="7" width="3.1640625" style="535" customWidth="1"/>
    <col min="8" max="8" width="5.6640625" style="530" hidden="1" customWidth="1" outlineLevel="1"/>
    <col min="9" max="9" width="21.5" style="535" customWidth="1" collapsed="1"/>
    <col min="10" max="10" width="3.1640625" style="535" customWidth="1"/>
    <col min="11" max="11" width="4.33203125" style="535" hidden="1" customWidth="1" outlineLevel="1"/>
    <col min="12" max="12" width="21.6640625" style="530" customWidth="1" collapsed="1"/>
    <col min="13" max="13" width="3.33203125" style="530" customWidth="1"/>
    <col min="14" max="14" width="5.33203125" style="530" hidden="1" customWidth="1" outlineLevel="1"/>
    <col min="15" max="15" width="21.5" style="535" customWidth="1" collapsed="1"/>
    <col min="16" max="16" width="3.83203125" style="530" customWidth="1"/>
    <col min="17" max="17" width="4.33203125" style="530" customWidth="1"/>
    <col min="18" max="18" width="3.1640625" style="535" customWidth="1"/>
    <col min="19" max="19" width="16" style="530" customWidth="1"/>
    <col min="20" max="20" width="3.1640625" style="535" customWidth="1"/>
    <col min="21" max="21" width="3.1640625" style="530" customWidth="1"/>
    <col min="22" max="22" width="16" style="530" customWidth="1"/>
    <col min="23" max="23" width="3.1640625" style="535" customWidth="1"/>
    <col min="24" max="24" width="3.1640625" style="530" customWidth="1"/>
    <col min="25" max="25" width="16" style="535" customWidth="1"/>
    <col min="26" max="27" width="3.1640625" style="530" customWidth="1"/>
    <col min="28" max="28" width="15.5" style="535" customWidth="1"/>
    <col min="29" max="29" width="3.1640625" style="530" customWidth="1"/>
    <col min="30" max="30" width="16.1640625" style="530" customWidth="1"/>
    <col min="31" max="31" width="3.1640625" style="535" customWidth="1"/>
    <col min="32" max="32" width="3.6640625" style="530" customWidth="1"/>
    <col min="33" max="33" width="21.83203125" style="530" customWidth="1"/>
    <col min="34" max="34" width="21.83203125" style="535" customWidth="1"/>
    <col min="35" max="36" width="21.83203125" style="530" customWidth="1"/>
    <col min="37" max="41" width="21.83203125" style="535" customWidth="1"/>
    <col min="42" max="43" width="21.83203125" style="530" customWidth="1"/>
    <col min="44" max="44" width="21.83203125" style="535" customWidth="1"/>
    <col min="45" max="46" width="21.83203125" style="530" customWidth="1"/>
    <col min="47" max="47" width="21.83203125" style="535" customWidth="1"/>
    <col min="48" max="49" width="21.83203125" style="530" customWidth="1"/>
    <col min="50" max="50" width="21.83203125" style="535" customWidth="1"/>
    <col min="51" max="52" width="21.83203125" style="530" customWidth="1"/>
    <col min="53" max="16384" width="21.83203125" style="535"/>
  </cols>
  <sheetData>
    <row r="1" spans="1:31" ht="48.75" customHeight="1" x14ac:dyDescent="0.2">
      <c r="A1" s="1429" t="str">
        <f>'Списки участников'!A1</f>
        <v xml:space="preserve">X Спартакиада
среди предприятий Нижегородской области ФСК "Профсоюзов",
под девизом "Будь спортивным - будь успешным!"
</v>
      </c>
      <c r="B1" s="1429"/>
      <c r="C1" s="1429"/>
      <c r="D1" s="1429"/>
      <c r="E1" s="1429"/>
      <c r="F1" s="1429"/>
      <c r="G1" s="1429"/>
      <c r="H1" s="1429"/>
      <c r="I1" s="1429"/>
      <c r="J1" s="1429"/>
      <c r="K1" s="1429"/>
      <c r="L1" s="1429"/>
      <c r="M1" s="1429"/>
      <c r="N1" s="1429"/>
      <c r="O1" s="1429"/>
      <c r="P1" s="1429"/>
      <c r="Q1" s="1429"/>
      <c r="R1" s="529"/>
      <c r="T1" s="530"/>
      <c r="W1" s="531"/>
      <c r="X1" s="532"/>
      <c r="Y1" s="533"/>
      <c r="AB1" s="530"/>
      <c r="AD1" s="534"/>
      <c r="AE1" s="530"/>
    </row>
    <row r="2" spans="1:31" ht="14.25" customHeight="1" x14ac:dyDescent="0.2">
      <c r="A2" s="1265"/>
      <c r="B2" s="1265"/>
      <c r="C2" s="1265"/>
      <c r="D2" s="1265"/>
      <c r="E2" s="1265"/>
      <c r="F2" s="1265"/>
      <c r="G2" s="1265"/>
      <c r="H2" s="1265"/>
      <c r="I2" s="1265"/>
      <c r="J2" s="1265"/>
      <c r="K2" s="1265"/>
      <c r="L2" s="1265"/>
      <c r="M2" s="1265"/>
      <c r="N2" s="1265"/>
      <c r="O2" s="1265"/>
      <c r="P2" s="1265"/>
      <c r="Q2" s="1265"/>
      <c r="R2" s="529"/>
      <c r="T2" s="530"/>
      <c r="W2" s="531"/>
      <c r="X2" s="532"/>
      <c r="Y2" s="533"/>
      <c r="AB2" s="530"/>
      <c r="AE2" s="530"/>
    </row>
    <row r="3" spans="1:31" ht="17.25" customHeight="1" x14ac:dyDescent="0.2">
      <c r="A3" s="1266" t="str">
        <f>'Списки участников'!C3</f>
        <v>22 октября 2016 г.</v>
      </c>
      <c r="B3" s="1266"/>
      <c r="C3" s="1266"/>
      <c r="D3" s="1266"/>
      <c r="E3" s="1266"/>
      <c r="I3" s="881" t="s">
        <v>2738</v>
      </c>
      <c r="J3" s="882" t="s">
        <v>8</v>
      </c>
      <c r="K3" s="883"/>
      <c r="L3" s="884" t="s">
        <v>2737</v>
      </c>
      <c r="M3" s="1266" t="str">
        <f>'Списки участников'!F3</f>
        <v xml:space="preserve">                                               г. Н. Новгород</v>
      </c>
      <c r="N3" s="1266"/>
      <c r="O3" s="1266"/>
      <c r="P3" s="1266"/>
      <c r="Q3" s="1266"/>
      <c r="R3" s="529"/>
      <c r="T3" s="530"/>
      <c r="W3" s="530"/>
      <c r="Y3" s="530"/>
      <c r="AB3" s="530"/>
      <c r="AE3" s="530"/>
    </row>
    <row r="4" spans="1:31" ht="15" customHeight="1" x14ac:dyDescent="0.2">
      <c r="A4" s="538">
        <v>1</v>
      </c>
      <c r="B4" s="539"/>
      <c r="C4" s="540" t="str">
        <f>IF(B4="","",VLOOKUP(B4,'Списки участников'!A:K,3,FALSE))</f>
        <v/>
      </c>
      <c r="E4" s="541"/>
      <c r="F4" s="535"/>
      <c r="G4" s="536"/>
      <c r="H4" s="536"/>
      <c r="I4" s="542"/>
      <c r="J4" s="536"/>
      <c r="K4" s="536"/>
      <c r="L4" s="535"/>
      <c r="M4" s="535"/>
      <c r="N4" s="535"/>
      <c r="P4" s="535"/>
      <c r="Q4" s="535"/>
      <c r="R4" s="533"/>
      <c r="S4" s="543"/>
      <c r="T4" s="530"/>
      <c r="W4" s="530"/>
      <c r="Y4" s="530"/>
      <c r="AB4" s="530"/>
      <c r="AE4" s="530"/>
    </row>
    <row r="5" spans="1:31" ht="15" customHeight="1" x14ac:dyDescent="0.2">
      <c r="B5" s="544"/>
      <c r="C5" s="545"/>
      <c r="D5" s="546" t="s">
        <v>10</v>
      </c>
      <c r="E5" s="547">
        <v>6</v>
      </c>
      <c r="F5" s="548" t="str">
        <f>IF(E5="","",VLOOKUP(E5,'Списки участников'!A:K,3,FALSE))</f>
        <v>ЯШУНИН Андрей</v>
      </c>
      <c r="G5" s="549"/>
      <c r="I5" s="530"/>
      <c r="K5" s="530"/>
      <c r="M5" s="535"/>
      <c r="N5" s="535"/>
      <c r="O5" s="530"/>
      <c r="Q5" s="535"/>
      <c r="R5" s="529"/>
      <c r="T5" s="530"/>
      <c r="W5" s="533"/>
      <c r="Y5" s="537"/>
      <c r="AB5" s="530"/>
      <c r="AE5" s="530"/>
    </row>
    <row r="6" spans="1:31" ht="15" customHeight="1" x14ac:dyDescent="0.2">
      <c r="A6" s="550" t="s">
        <v>41</v>
      </c>
      <c r="B6" s="539"/>
      <c r="C6" s="540" t="str">
        <f>IF(B6="","",VLOOKUP(B6,'Списки участников'!A:K,3,FALSE))</f>
        <v/>
      </c>
      <c r="D6" s="551"/>
      <c r="E6" s="543"/>
      <c r="F6" s="552"/>
      <c r="G6" s="553"/>
      <c r="H6" s="537"/>
      <c r="I6" s="530"/>
      <c r="K6" s="530"/>
      <c r="M6" s="535"/>
      <c r="N6" s="535"/>
      <c r="O6" s="530"/>
      <c r="Q6" s="535"/>
      <c r="R6" s="533"/>
      <c r="S6" s="543"/>
      <c r="T6" s="530"/>
      <c r="W6" s="530"/>
      <c r="Y6" s="530"/>
      <c r="AB6" s="530"/>
      <c r="AE6" s="530"/>
    </row>
    <row r="7" spans="1:31" ht="15" customHeight="1" x14ac:dyDescent="0.2">
      <c r="B7" s="544"/>
      <c r="C7" s="554"/>
      <c r="E7" s="543"/>
      <c r="F7" s="552"/>
      <c r="G7" s="555">
        <v>9</v>
      </c>
      <c r="H7" s="547">
        <v>6</v>
      </c>
      <c r="I7" s="548" t="str">
        <f>IF(H7="","",VLOOKUP(H7,'Списки участников'!A:K,3,FALSE))</f>
        <v>ЯШУНИН Андрей</v>
      </c>
      <c r="J7" s="549"/>
      <c r="K7" s="530"/>
      <c r="M7" s="535"/>
      <c r="N7" s="535"/>
      <c r="O7" s="530"/>
      <c r="Q7" s="535"/>
      <c r="R7" s="529"/>
      <c r="T7" s="533"/>
      <c r="V7" s="543"/>
      <c r="W7" s="530"/>
      <c r="Y7" s="530"/>
      <c r="AB7" s="530"/>
      <c r="AE7" s="530"/>
    </row>
    <row r="8" spans="1:31" ht="15" customHeight="1" x14ac:dyDescent="0.2">
      <c r="A8" s="550" t="s">
        <v>35</v>
      </c>
      <c r="B8" s="539"/>
      <c r="C8" s="540" t="str">
        <f>IF(B8="","",VLOOKUP(B8,'Списки участников'!A:K,3,FALSE))</f>
        <v/>
      </c>
      <c r="D8" s="549"/>
      <c r="E8" s="543"/>
      <c r="F8" s="552"/>
      <c r="G8" s="556"/>
      <c r="H8" s="537"/>
      <c r="I8" s="552" t="s">
        <v>2725</v>
      </c>
      <c r="J8" s="553"/>
      <c r="K8" s="537"/>
      <c r="M8" s="535"/>
      <c r="N8" s="535"/>
      <c r="O8" s="530"/>
      <c r="Q8" s="535"/>
      <c r="R8" s="533"/>
      <c r="S8" s="543"/>
      <c r="T8" s="530"/>
      <c r="W8" s="530"/>
      <c r="Y8" s="530"/>
      <c r="AB8" s="530"/>
      <c r="AE8" s="530"/>
    </row>
    <row r="9" spans="1:31" ht="15" customHeight="1" x14ac:dyDescent="0.2">
      <c r="B9" s="544"/>
      <c r="C9" s="554"/>
      <c r="D9" s="546" t="s">
        <v>41</v>
      </c>
      <c r="E9" s="547">
        <v>26</v>
      </c>
      <c r="F9" s="548" t="str">
        <f>IF(E9="","",VLOOKUP(E9,'Списки участников'!A:K,3,FALSE))</f>
        <v>ТЫЛЕЧКИН Валерий</v>
      </c>
      <c r="G9" s="551"/>
      <c r="H9" s="537"/>
      <c r="I9" s="552"/>
      <c r="J9" s="556"/>
      <c r="K9" s="537"/>
      <c r="M9" s="535"/>
      <c r="N9" s="535"/>
      <c r="O9" s="530"/>
      <c r="Q9" s="535"/>
      <c r="R9" s="529"/>
      <c r="T9" s="530"/>
      <c r="W9" s="530"/>
      <c r="Y9" s="530"/>
      <c r="Z9" s="533"/>
      <c r="AB9" s="537"/>
      <c r="AE9" s="530"/>
    </row>
    <row r="10" spans="1:31" ht="15" customHeight="1" x14ac:dyDescent="0.2">
      <c r="A10" s="550" t="s">
        <v>15</v>
      </c>
      <c r="B10" s="539"/>
      <c r="C10" s="540" t="str">
        <f>IF(B10="","",VLOOKUP(B10,'Списки участников'!A:K,3,FALSE))</f>
        <v/>
      </c>
      <c r="D10" s="551"/>
      <c r="E10" s="543"/>
      <c r="F10" s="552"/>
      <c r="H10" s="537"/>
      <c r="I10" s="552"/>
      <c r="J10" s="556"/>
      <c r="K10" s="537"/>
      <c r="M10" s="535"/>
      <c r="N10" s="535"/>
      <c r="O10" s="530"/>
      <c r="Q10" s="535"/>
      <c r="R10" s="533"/>
      <c r="S10" s="543"/>
      <c r="T10" s="530"/>
      <c r="W10" s="530"/>
      <c r="Y10" s="530"/>
      <c r="AB10" s="530"/>
      <c r="AE10" s="530"/>
    </row>
    <row r="11" spans="1:31" ht="15" customHeight="1" x14ac:dyDescent="0.2">
      <c r="B11" s="544"/>
      <c r="C11" s="554"/>
      <c r="E11" s="543"/>
      <c r="F11" s="552"/>
      <c r="H11" s="537"/>
      <c r="I11" s="552"/>
      <c r="J11" s="557" t="s">
        <v>23</v>
      </c>
      <c r="K11" s="547">
        <v>31</v>
      </c>
      <c r="L11" s="548" t="str">
        <f>IF(K11="","",VLOOKUP(K11,'Списки участников'!A:K,3,FALSE))</f>
        <v>ПЕТУХОВ Николай</v>
      </c>
      <c r="M11" s="549"/>
      <c r="O11" s="530"/>
      <c r="Q11" s="535"/>
      <c r="R11" s="529"/>
      <c r="T11" s="533"/>
      <c r="V11" s="543"/>
      <c r="W11" s="530"/>
      <c r="Y11" s="530"/>
      <c r="AB11" s="530"/>
      <c r="AE11" s="530"/>
    </row>
    <row r="12" spans="1:31" ht="15" customHeight="1" x14ac:dyDescent="0.2">
      <c r="A12" s="550" t="s">
        <v>37</v>
      </c>
      <c r="B12" s="539"/>
      <c r="C12" s="540" t="str">
        <f>IF(B12="","",VLOOKUP(B12,'Списки участников'!A:K,3,FALSE))</f>
        <v/>
      </c>
      <c r="D12" s="549"/>
      <c r="E12" s="543"/>
      <c r="F12" s="552"/>
      <c r="H12" s="537"/>
      <c r="I12" s="552"/>
      <c r="J12" s="556"/>
      <c r="K12" s="537"/>
      <c r="L12" s="552" t="s">
        <v>2726</v>
      </c>
      <c r="M12" s="553"/>
      <c r="O12" s="530"/>
      <c r="Q12" s="535"/>
      <c r="R12" s="533"/>
      <c r="S12" s="543"/>
      <c r="T12" s="530"/>
      <c r="W12" s="530"/>
      <c r="Y12" s="530"/>
      <c r="AB12" s="530"/>
      <c r="AE12" s="530"/>
    </row>
    <row r="13" spans="1:31" ht="15" customHeight="1" x14ac:dyDescent="0.2">
      <c r="B13" s="544"/>
      <c r="C13" s="554"/>
      <c r="D13" s="546" t="s">
        <v>35</v>
      </c>
      <c r="E13" s="547">
        <v>38</v>
      </c>
      <c r="F13" s="548" t="str">
        <f>IF(E13="","",VLOOKUP(E13,'Списки участников'!A:K,3,FALSE))</f>
        <v>СИМУСЕВ Сергей</v>
      </c>
      <c r="G13" s="549"/>
      <c r="H13" s="537"/>
      <c r="I13" s="552"/>
      <c r="J13" s="556"/>
      <c r="K13" s="537"/>
      <c r="L13" s="552"/>
      <c r="M13" s="556"/>
      <c r="O13" s="530"/>
      <c r="Q13" s="535"/>
      <c r="R13" s="529"/>
      <c r="T13" s="530"/>
      <c r="W13" s="533"/>
      <c r="Y13" s="543"/>
      <c r="AB13" s="530"/>
      <c r="AE13" s="530"/>
    </row>
    <row r="14" spans="1:31" ht="15" customHeight="1" x14ac:dyDescent="0.2">
      <c r="A14" s="550" t="s">
        <v>42</v>
      </c>
      <c r="B14" s="539"/>
      <c r="C14" s="540" t="str">
        <f>IF(B14="","",VLOOKUP(B14,'Списки участников'!A:K,3,FALSE))</f>
        <v/>
      </c>
      <c r="D14" s="551"/>
      <c r="E14" s="543"/>
      <c r="F14" s="552"/>
      <c r="G14" s="553"/>
      <c r="H14" s="537"/>
      <c r="I14" s="552"/>
      <c r="J14" s="556"/>
      <c r="K14" s="537"/>
      <c r="L14" s="552"/>
      <c r="M14" s="556"/>
      <c r="O14" s="530"/>
      <c r="Q14" s="535"/>
      <c r="R14" s="533"/>
      <c r="S14" s="543"/>
      <c r="T14" s="530"/>
      <c r="W14" s="530"/>
      <c r="Y14" s="530"/>
      <c r="AB14" s="530"/>
      <c r="AE14" s="530"/>
    </row>
    <row r="15" spans="1:31" ht="15" customHeight="1" x14ac:dyDescent="0.2">
      <c r="B15" s="544"/>
      <c r="C15" s="554"/>
      <c r="E15" s="543"/>
      <c r="F15" s="552"/>
      <c r="G15" s="557" t="s">
        <v>30</v>
      </c>
      <c r="H15" s="547">
        <v>31</v>
      </c>
      <c r="I15" s="548" t="str">
        <f>IF(H15="","",VLOOKUP(H15,'Списки участников'!A:K,3,FALSE))</f>
        <v>ПЕТУХОВ Николай</v>
      </c>
      <c r="J15" s="551"/>
      <c r="K15" s="537"/>
      <c r="L15" s="552"/>
      <c r="M15" s="556"/>
      <c r="O15" s="530"/>
      <c r="Q15" s="535"/>
      <c r="R15" s="529"/>
      <c r="T15" s="533"/>
      <c r="V15" s="543"/>
      <c r="W15" s="530"/>
      <c r="Y15" s="530"/>
      <c r="AB15" s="530"/>
      <c r="AE15" s="530"/>
    </row>
    <row r="16" spans="1:31" ht="15" customHeight="1" x14ac:dyDescent="0.2">
      <c r="A16" s="550" t="s">
        <v>28</v>
      </c>
      <c r="B16" s="539"/>
      <c r="C16" s="540" t="str">
        <f>IF(B16="","",VLOOKUP(B16,'Списки участников'!A:K,3,FALSE))</f>
        <v/>
      </c>
      <c r="D16" s="549"/>
      <c r="E16" s="543"/>
      <c r="F16" s="552"/>
      <c r="G16" s="556"/>
      <c r="H16" s="537"/>
      <c r="I16" s="552" t="s">
        <v>2726</v>
      </c>
      <c r="K16" s="537"/>
      <c r="L16" s="552"/>
      <c r="M16" s="556"/>
      <c r="O16" s="530"/>
      <c r="Q16" s="535"/>
      <c r="R16" s="533"/>
      <c r="S16" s="543"/>
      <c r="T16" s="530"/>
      <c r="W16" s="530"/>
      <c r="Y16" s="530"/>
      <c r="AB16" s="530"/>
      <c r="AE16" s="530"/>
    </row>
    <row r="17" spans="1:32" ht="15" customHeight="1" x14ac:dyDescent="0.2">
      <c r="B17" s="544"/>
      <c r="C17" s="554"/>
      <c r="D17" s="546" t="s">
        <v>15</v>
      </c>
      <c r="E17" s="547">
        <v>31</v>
      </c>
      <c r="F17" s="548" t="str">
        <f>IF(E17="","",VLOOKUP(E17,'Списки участников'!A:K,3,FALSE))</f>
        <v>ПЕТУХОВ Николай</v>
      </c>
      <c r="G17" s="551"/>
      <c r="H17" s="537"/>
      <c r="I17" s="552"/>
      <c r="K17" s="537"/>
      <c r="L17" s="552"/>
      <c r="M17" s="556"/>
      <c r="O17" s="530"/>
      <c r="Q17" s="535"/>
      <c r="R17" s="529"/>
      <c r="T17" s="530"/>
      <c r="W17" s="530"/>
      <c r="Y17" s="530"/>
      <c r="AB17" s="530"/>
      <c r="AC17" s="533"/>
      <c r="AD17" s="537"/>
      <c r="AE17" s="530"/>
      <c r="AF17" s="533"/>
    </row>
    <row r="18" spans="1:32" ht="15" customHeight="1" x14ac:dyDescent="0.2">
      <c r="A18" s="550" t="s">
        <v>22</v>
      </c>
      <c r="B18" s="539"/>
      <c r="C18" s="540" t="str">
        <f>IF(B18="","",VLOOKUP(B18,'Списки участников'!A:K,3,FALSE))</f>
        <v/>
      </c>
      <c r="D18" s="551"/>
      <c r="E18" s="543"/>
      <c r="F18" s="552"/>
      <c r="H18" s="537"/>
      <c r="I18" s="552"/>
      <c r="K18" s="537"/>
      <c r="L18" s="552"/>
      <c r="M18" s="556"/>
      <c r="O18" s="558"/>
      <c r="Q18" s="535"/>
      <c r="R18" s="533"/>
      <c r="S18" s="543"/>
      <c r="T18" s="530"/>
      <c r="W18" s="530"/>
      <c r="Y18" s="530"/>
      <c r="AB18" s="530"/>
      <c r="AE18" s="530"/>
    </row>
    <row r="19" spans="1:32" ht="15" customHeight="1" x14ac:dyDescent="0.2">
      <c r="B19" s="544"/>
      <c r="C19" s="554"/>
      <c r="E19" s="543"/>
      <c r="F19" s="552"/>
      <c r="H19" s="537"/>
      <c r="I19" s="552"/>
      <c r="K19" s="537"/>
      <c r="L19" s="552"/>
      <c r="M19" s="557" t="s">
        <v>12</v>
      </c>
      <c r="N19" s="559">
        <v>25</v>
      </c>
      <c r="O19" s="548" t="str">
        <f>IF(N19="","",VLOOKUP(N19,'Списки участников'!A:K,3,FALSE))</f>
        <v>ФИЛЬЧУГОВ Сергей</v>
      </c>
      <c r="P19" s="549"/>
      <c r="Q19" s="885" t="str">
        <f>CONCATENATE(J3," ","м")</f>
        <v>17 м</v>
      </c>
      <c r="R19" s="529"/>
      <c r="T19" s="533"/>
      <c r="V19" s="543"/>
      <c r="W19" s="530"/>
      <c r="Y19" s="530"/>
      <c r="AB19" s="530"/>
      <c r="AE19" s="530"/>
    </row>
    <row r="20" spans="1:32" ht="15" customHeight="1" x14ac:dyDescent="0.2">
      <c r="A20" s="550" t="s">
        <v>38</v>
      </c>
      <c r="B20" s="539"/>
      <c r="C20" s="540" t="str">
        <f>IF(B20="","",VLOOKUP(B20,'Списки участников'!A:K,3,FALSE))</f>
        <v/>
      </c>
      <c r="D20" s="549"/>
      <c r="E20" s="543"/>
      <c r="F20" s="552"/>
      <c r="H20" s="537"/>
      <c r="I20" s="552"/>
      <c r="K20" s="537"/>
      <c r="L20" s="552"/>
      <c r="M20" s="556"/>
      <c r="O20" s="552" t="s">
        <v>2725</v>
      </c>
      <c r="Q20" s="535"/>
      <c r="R20" s="533"/>
      <c r="S20" s="543"/>
      <c r="T20" s="530"/>
      <c r="W20" s="530"/>
      <c r="Y20" s="530"/>
      <c r="AB20" s="530"/>
      <c r="AE20" s="530"/>
    </row>
    <row r="21" spans="1:32" ht="15" customHeight="1" x14ac:dyDescent="0.2">
      <c r="B21" s="544"/>
      <c r="C21" s="554"/>
      <c r="D21" s="546" t="s">
        <v>37</v>
      </c>
      <c r="E21" s="547">
        <v>14</v>
      </c>
      <c r="F21" s="548" t="str">
        <f>IF(E21="","",VLOOKUP(E21,'Списки участников'!A:K,3,FALSE))</f>
        <v>КОНОВ Сергей</v>
      </c>
      <c r="G21" s="549"/>
      <c r="H21" s="537"/>
      <c r="I21" s="552"/>
      <c r="K21" s="537"/>
      <c r="L21" s="552"/>
      <c r="M21" s="556"/>
      <c r="O21" s="552"/>
      <c r="Q21" s="535"/>
      <c r="R21" s="529"/>
      <c r="T21" s="530"/>
      <c r="W21" s="533"/>
      <c r="Y21" s="543"/>
      <c r="AB21" s="530"/>
      <c r="AE21" s="530"/>
    </row>
    <row r="22" spans="1:32" ht="15" customHeight="1" x14ac:dyDescent="0.2">
      <c r="A22" s="550" t="s">
        <v>30</v>
      </c>
      <c r="B22" s="539"/>
      <c r="C22" s="540" t="str">
        <f>IF(B22="","",VLOOKUP(B22,'Списки участников'!A:K,3,FALSE))</f>
        <v/>
      </c>
      <c r="D22" s="551"/>
      <c r="E22" s="543"/>
      <c r="F22" s="552"/>
      <c r="G22" s="553"/>
      <c r="H22" s="537"/>
      <c r="I22" s="552"/>
      <c r="K22" s="537"/>
      <c r="L22" s="552"/>
      <c r="M22" s="556"/>
      <c r="O22" s="552"/>
      <c r="Q22" s="535"/>
      <c r="R22" s="533"/>
      <c r="S22" s="543"/>
      <c r="T22" s="530"/>
      <c r="W22" s="530"/>
      <c r="Y22" s="530"/>
      <c r="AB22" s="530"/>
      <c r="AE22" s="530"/>
    </row>
    <row r="23" spans="1:32" ht="15" customHeight="1" x14ac:dyDescent="0.2">
      <c r="B23" s="544"/>
      <c r="C23" s="554"/>
      <c r="E23" s="543"/>
      <c r="F23" s="552"/>
      <c r="G23" s="557" t="s">
        <v>25</v>
      </c>
      <c r="H23" s="547">
        <v>25</v>
      </c>
      <c r="I23" s="548" t="str">
        <f>IF(H23="","",VLOOKUP(H23,'Списки участников'!A:K,3,FALSE))</f>
        <v>ФИЛЬЧУГОВ Сергей</v>
      </c>
      <c r="J23" s="549"/>
      <c r="K23" s="537"/>
      <c r="L23" s="552"/>
      <c r="M23" s="556"/>
      <c r="O23" s="552"/>
      <c r="Q23" s="535"/>
      <c r="R23" s="529"/>
      <c r="T23" s="533"/>
      <c r="V23" s="543"/>
      <c r="W23" s="530"/>
      <c r="Y23" s="530"/>
      <c r="AB23" s="530"/>
      <c r="AE23" s="530"/>
    </row>
    <row r="24" spans="1:32" ht="15" customHeight="1" x14ac:dyDescent="0.2">
      <c r="A24" s="550" t="s">
        <v>25</v>
      </c>
      <c r="B24" s="539"/>
      <c r="C24" s="540" t="str">
        <f>IF(B24="","",VLOOKUP(B24,'Списки участников'!A:K,3,FALSE))</f>
        <v/>
      </c>
      <c r="D24" s="549"/>
      <c r="E24" s="543"/>
      <c r="F24" s="552"/>
      <c r="G24" s="556"/>
      <c r="H24" s="537"/>
      <c r="I24" s="552" t="s">
        <v>2725</v>
      </c>
      <c r="J24" s="553"/>
      <c r="K24" s="537"/>
      <c r="L24" s="552"/>
      <c r="M24" s="556"/>
      <c r="O24" s="552"/>
      <c r="Q24" s="535"/>
      <c r="R24" s="533"/>
      <c r="S24" s="543"/>
      <c r="T24" s="530"/>
      <c r="W24" s="530"/>
      <c r="Y24" s="530"/>
      <c r="AB24" s="530"/>
      <c r="AE24" s="530"/>
    </row>
    <row r="25" spans="1:32" ht="15" customHeight="1" x14ac:dyDescent="0.2">
      <c r="B25" s="544"/>
      <c r="C25" s="554"/>
      <c r="D25" s="546" t="s">
        <v>42</v>
      </c>
      <c r="E25" s="547">
        <v>25</v>
      </c>
      <c r="F25" s="548" t="str">
        <f>IF(E25="","",VLOOKUP(E25,'Списки участников'!A:K,3,FALSE))</f>
        <v>ФИЛЬЧУГОВ Сергей</v>
      </c>
      <c r="G25" s="551"/>
      <c r="H25" s="537"/>
      <c r="I25" s="552"/>
      <c r="J25" s="556"/>
      <c r="K25" s="537"/>
      <c r="L25" s="552"/>
      <c r="M25" s="556"/>
      <c r="O25" s="552"/>
      <c r="Q25" s="535"/>
      <c r="R25" s="529"/>
      <c r="T25" s="530"/>
      <c r="W25" s="530"/>
      <c r="Y25" s="530"/>
      <c r="Z25" s="533"/>
      <c r="AB25" s="543"/>
      <c r="AE25" s="530"/>
    </row>
    <row r="26" spans="1:32" ht="15" customHeight="1" x14ac:dyDescent="0.2">
      <c r="A26" s="550" t="s">
        <v>17</v>
      </c>
      <c r="B26" s="539"/>
      <c r="C26" s="540" t="str">
        <f>IF(B26="","",VLOOKUP(B26,'Списки участников'!A:K,3,FALSE))</f>
        <v/>
      </c>
      <c r="D26" s="551"/>
      <c r="E26" s="543"/>
      <c r="F26" s="552"/>
      <c r="H26" s="537"/>
      <c r="I26" s="552"/>
      <c r="J26" s="556"/>
      <c r="K26" s="537"/>
      <c r="L26" s="552"/>
      <c r="M26" s="556"/>
      <c r="O26" s="552"/>
      <c r="Q26" s="535"/>
      <c r="R26" s="533"/>
      <c r="S26" s="543"/>
      <c r="T26" s="530"/>
      <c r="W26" s="530"/>
      <c r="Y26" s="530"/>
      <c r="AB26" s="530"/>
      <c r="AE26" s="530"/>
    </row>
    <row r="27" spans="1:32" ht="15" customHeight="1" x14ac:dyDescent="0.2">
      <c r="B27" s="544"/>
      <c r="C27" s="554"/>
      <c r="E27" s="543"/>
      <c r="F27" s="552"/>
      <c r="H27" s="537"/>
      <c r="I27" s="552"/>
      <c r="J27" s="557" t="s">
        <v>7</v>
      </c>
      <c r="K27" s="547">
        <v>25</v>
      </c>
      <c r="L27" s="548" t="str">
        <f>IF(K27="","",VLOOKUP(K27,'Списки участников'!A:K,3,FALSE))</f>
        <v>ФИЛЬЧУГОВ Сергей</v>
      </c>
      <c r="M27" s="551"/>
      <c r="O27" s="552"/>
      <c r="Q27" s="535"/>
      <c r="R27" s="529"/>
      <c r="T27" s="533"/>
      <c r="V27" s="543"/>
      <c r="W27" s="530"/>
      <c r="Y27" s="530"/>
      <c r="AB27" s="530"/>
      <c r="AE27" s="530"/>
    </row>
    <row r="28" spans="1:32" ht="15" customHeight="1" x14ac:dyDescent="0.2">
      <c r="A28" s="550" t="s">
        <v>23</v>
      </c>
      <c r="B28" s="539"/>
      <c r="C28" s="540" t="str">
        <f>IF(B28="","",VLOOKUP(B28,'Списки участников'!A:K,3,FALSE))</f>
        <v/>
      </c>
      <c r="D28" s="549"/>
      <c r="E28" s="543"/>
      <c r="F28" s="552"/>
      <c r="H28" s="537"/>
      <c r="I28" s="552"/>
      <c r="J28" s="556"/>
      <c r="K28" s="537"/>
      <c r="L28" s="552" t="s">
        <v>2725</v>
      </c>
      <c r="M28" s="535"/>
      <c r="N28" s="535"/>
      <c r="O28" s="552"/>
      <c r="Q28" s="535"/>
      <c r="R28" s="533"/>
      <c r="S28" s="543"/>
      <c r="T28" s="530"/>
      <c r="W28" s="530"/>
      <c r="Y28" s="530"/>
      <c r="AB28" s="530"/>
      <c r="AE28" s="530"/>
    </row>
    <row r="29" spans="1:32" ht="15" customHeight="1" x14ac:dyDescent="0.2">
      <c r="B29" s="544"/>
      <c r="C29" s="554"/>
      <c r="D29" s="546" t="s">
        <v>28</v>
      </c>
      <c r="E29" s="547">
        <v>37</v>
      </c>
      <c r="F29" s="548" t="str">
        <f>IF(E29="","",VLOOKUP(E29,'Списки участников'!A:K,3,FALSE))</f>
        <v>РОДИНОВ Андрей</v>
      </c>
      <c r="G29" s="549"/>
      <c r="H29" s="537"/>
      <c r="I29" s="552"/>
      <c r="J29" s="556"/>
      <c r="K29" s="537"/>
      <c r="L29" s="552"/>
      <c r="M29" s="535"/>
      <c r="N29" s="535"/>
      <c r="O29" s="552"/>
      <c r="Q29" s="535"/>
      <c r="R29" s="529"/>
      <c r="T29" s="530"/>
      <c r="W29" s="533"/>
      <c r="Y29" s="543"/>
      <c r="AB29" s="530"/>
      <c r="AC29" s="529"/>
      <c r="AD29" s="560"/>
      <c r="AE29" s="530"/>
      <c r="AF29" s="533"/>
    </row>
    <row r="30" spans="1:32" ht="15" customHeight="1" x14ac:dyDescent="0.2">
      <c r="A30" s="550" t="s">
        <v>7</v>
      </c>
      <c r="B30" s="539"/>
      <c r="C30" s="540" t="str">
        <f>IF(B30="","",VLOOKUP(B30,'Списки участников'!A:K,3,FALSE))</f>
        <v/>
      </c>
      <c r="D30" s="551"/>
      <c r="E30" s="543"/>
      <c r="F30" s="552"/>
      <c r="G30" s="553"/>
      <c r="H30" s="537"/>
      <c r="I30" s="561"/>
      <c r="J30" s="556"/>
      <c r="K30" s="537"/>
      <c r="M30" s="535"/>
      <c r="N30" s="535"/>
      <c r="O30" s="552"/>
      <c r="Q30" s="535"/>
      <c r="R30" s="533"/>
      <c r="S30" s="543"/>
      <c r="T30" s="530"/>
      <c r="W30" s="530"/>
      <c r="Y30" s="530"/>
      <c r="AB30" s="530"/>
      <c r="AE30" s="530"/>
    </row>
    <row r="31" spans="1:32" ht="15" customHeight="1" x14ac:dyDescent="0.2">
      <c r="B31" s="544"/>
      <c r="C31" s="554"/>
      <c r="E31" s="543"/>
      <c r="F31" s="552"/>
      <c r="G31" s="557" t="s">
        <v>17</v>
      </c>
      <c r="H31" s="547">
        <v>7</v>
      </c>
      <c r="I31" s="548" t="str">
        <f>IF(H31="","",VLOOKUP(H31,'Списки участников'!A:K,3,FALSE))</f>
        <v>АСТАПОВ Дмитрий</v>
      </c>
      <c r="J31" s="551"/>
      <c r="K31" s="537"/>
      <c r="M31" s="536" t="s">
        <v>901</v>
      </c>
      <c r="N31" s="562">
        <f>IF(N19="","",IF(N19=K11,K27,IF(N19=K27,K11,"Ошибка")))</f>
        <v>31</v>
      </c>
      <c r="O31" s="563" t="str">
        <f>IF(N31="","",VLOOKUP(N31,'Списки участников'!A:K,3,FALSE))</f>
        <v>ПЕТУХОВ Николай</v>
      </c>
      <c r="P31" s="549"/>
      <c r="Q31" s="885" t="str">
        <f>CONCATENATE(J3+1," ","м")</f>
        <v>18 м</v>
      </c>
      <c r="R31" s="529"/>
      <c r="T31" s="533"/>
      <c r="V31" s="543"/>
      <c r="W31" s="530"/>
      <c r="Y31" s="530"/>
      <c r="AA31" s="533"/>
      <c r="AB31" s="564"/>
      <c r="AE31" s="530"/>
    </row>
    <row r="32" spans="1:32" ht="15" customHeight="1" x14ac:dyDescent="0.2">
      <c r="A32" s="550" t="s">
        <v>12</v>
      </c>
      <c r="B32" s="539"/>
      <c r="C32" s="540" t="str">
        <f>IF(B32="","",VLOOKUP(B32,'Списки участников'!A:K,3,FALSE))</f>
        <v/>
      </c>
      <c r="D32" s="549"/>
      <c r="E32" s="543"/>
      <c r="F32" s="552"/>
      <c r="G32" s="556"/>
      <c r="H32" s="537"/>
      <c r="I32" s="552" t="s">
        <v>2725</v>
      </c>
      <c r="K32" s="530"/>
      <c r="L32" s="552"/>
      <c r="M32" s="535"/>
      <c r="N32" s="535"/>
      <c r="O32" s="552"/>
      <c r="Q32" s="535"/>
      <c r="R32" s="533"/>
      <c r="S32" s="543"/>
      <c r="T32" s="530"/>
      <c r="W32" s="530"/>
      <c r="Y32" s="530"/>
      <c r="AB32" s="530"/>
      <c r="AC32" s="533"/>
      <c r="AD32" s="564"/>
      <c r="AE32" s="530"/>
      <c r="AF32" s="533"/>
    </row>
    <row r="33" spans="1:32" ht="15" customHeight="1" x14ac:dyDescent="0.2">
      <c r="B33" s="544"/>
      <c r="C33" s="554"/>
      <c r="D33" s="546" t="s">
        <v>22</v>
      </c>
      <c r="E33" s="547">
        <v>7</v>
      </c>
      <c r="F33" s="548" t="str">
        <f>IF(E33="","",VLOOKUP(E33,'Списки участников'!A:K,3,FALSE))</f>
        <v>АСТАПОВ Дмитрий</v>
      </c>
      <c r="G33" s="551"/>
      <c r="H33" s="537"/>
      <c r="I33" s="552"/>
      <c r="J33" s="549" t="s">
        <v>897</v>
      </c>
      <c r="K33" s="565">
        <f>IF(K11="","",IF(K11=H7,H15,IF(K11=H15,H7,"Ошибка")))</f>
        <v>6</v>
      </c>
      <c r="L33" s="563" t="str">
        <f>IF(K33="","",VLOOKUP(K33,'Списки участников'!A:K,3,FALSE))</f>
        <v>ЯШУНИН Андрей</v>
      </c>
      <c r="M33" s="549"/>
      <c r="O33" s="552"/>
      <c r="Q33" s="535"/>
      <c r="R33" s="529"/>
      <c r="T33" s="530"/>
      <c r="W33" s="530"/>
      <c r="Y33" s="530"/>
      <c r="AA33" s="533"/>
      <c r="AB33" s="564"/>
      <c r="AE33" s="530"/>
    </row>
    <row r="34" spans="1:32" ht="15" customHeight="1" x14ac:dyDescent="0.2">
      <c r="A34" s="550" t="s">
        <v>29</v>
      </c>
      <c r="B34" s="539"/>
      <c r="C34" s="540" t="str">
        <f>IF(B34="","",VLOOKUP(B34,'Списки участников'!A:K,3,FALSE))</f>
        <v/>
      </c>
      <c r="D34" s="551"/>
      <c r="E34" s="537"/>
      <c r="F34" s="552"/>
      <c r="I34" s="530"/>
      <c r="K34" s="530"/>
      <c r="L34" s="552"/>
      <c r="M34" s="546" t="s">
        <v>29</v>
      </c>
      <c r="N34" s="559">
        <v>6</v>
      </c>
      <c r="O34" s="563" t="str">
        <f>IF(N34="","",VLOOKUP(N34,'Списки участников'!A:K,3,FALSE))</f>
        <v>ЯШУНИН Андрей</v>
      </c>
      <c r="P34" s="549"/>
      <c r="Q34" s="885" t="str">
        <f>CONCATENATE(J3+2," ","м")</f>
        <v>19 м</v>
      </c>
      <c r="R34" s="529"/>
      <c r="T34" s="530"/>
      <c r="W34" s="530"/>
      <c r="X34" s="533"/>
      <c r="Y34" s="564"/>
      <c r="AB34" s="530"/>
      <c r="AC34" s="529"/>
      <c r="AD34" s="564"/>
      <c r="AE34" s="530"/>
      <c r="AF34" s="533"/>
    </row>
    <row r="35" spans="1:32" ht="15" customHeight="1" x14ac:dyDescent="0.2">
      <c r="E35" s="530"/>
      <c r="I35" s="530"/>
      <c r="J35" s="549" t="s">
        <v>900</v>
      </c>
      <c r="K35" s="565">
        <f>IF(K27="","",IF(K27=H23,H31,IF(K27=H31,H23,"Ошибка")))</f>
        <v>7</v>
      </c>
      <c r="L35" s="563" t="str">
        <f>IF(K35="","",VLOOKUP(K35,'Списки участников'!A:K,3,FALSE))</f>
        <v>АСТАПОВ Дмитрий</v>
      </c>
      <c r="M35" s="551"/>
      <c r="O35" s="552" t="s">
        <v>2726</v>
      </c>
      <c r="Q35" s="972"/>
      <c r="R35" s="529"/>
      <c r="T35" s="530"/>
      <c r="W35" s="530"/>
      <c r="Y35" s="530"/>
      <c r="Z35" s="533"/>
      <c r="AB35" s="543"/>
      <c r="AE35" s="530"/>
    </row>
    <row r="36" spans="1:32" ht="15" customHeight="1" x14ac:dyDescent="0.2">
      <c r="E36" s="530"/>
      <c r="G36" s="549" t="s">
        <v>892</v>
      </c>
      <c r="H36" s="565">
        <v>26</v>
      </c>
      <c r="I36" s="563" t="str">
        <f>IF(H36="","",VLOOKUP(H36,'Списки участников'!A:K,3,FALSE))</f>
        <v>ТЫЛЕЧКИН Валерий</v>
      </c>
      <c r="J36" s="549"/>
      <c r="K36" s="530"/>
      <c r="L36" s="552"/>
      <c r="M36" s="536" t="s">
        <v>904</v>
      </c>
      <c r="N36" s="562">
        <f>IF(N34="","",IF(N34=K33,K35,IF(N34=K35,K33,"Ошибка")))</f>
        <v>7</v>
      </c>
      <c r="O36" s="563" t="str">
        <f>IF(N36="","",VLOOKUP(N36,'Списки участников'!A:K,3,FALSE))</f>
        <v>АСТАПОВ Дмитрий</v>
      </c>
      <c r="P36" s="549"/>
      <c r="Q36" s="885" t="str">
        <f>CONCATENATE(J3+3," ","м")</f>
        <v>20 м</v>
      </c>
      <c r="R36" s="529"/>
      <c r="T36" s="530"/>
      <c r="W36" s="530"/>
      <c r="X36" s="533"/>
      <c r="Y36" s="564"/>
      <c r="AB36" s="530"/>
      <c r="AE36" s="530"/>
    </row>
    <row r="37" spans="1:32" ht="15" customHeight="1" x14ac:dyDescent="0.2">
      <c r="E37" s="530"/>
      <c r="I37" s="552"/>
      <c r="J37" s="546" t="s">
        <v>13</v>
      </c>
      <c r="K37" s="567">
        <v>26</v>
      </c>
      <c r="L37" s="563" t="str">
        <f>IF(K37="","",VLOOKUP(K37,'Списки участников'!A:K,3,FALSE))</f>
        <v>ТЫЛЕЧКИН Валерий</v>
      </c>
      <c r="M37" s="549"/>
      <c r="O37" s="552"/>
      <c r="Q37" s="972"/>
      <c r="R37" s="529"/>
      <c r="T37" s="530"/>
      <c r="W37" s="530"/>
      <c r="Y37" s="530"/>
      <c r="AB37" s="530"/>
      <c r="AC37" s="533"/>
      <c r="AD37" s="543"/>
      <c r="AE37" s="530"/>
      <c r="AF37" s="533"/>
    </row>
    <row r="38" spans="1:32" ht="15" customHeight="1" x14ac:dyDescent="0.2">
      <c r="E38" s="530"/>
      <c r="G38" s="549" t="s">
        <v>893</v>
      </c>
      <c r="H38" s="566">
        <f>IF(H15="","",IF(H15=E13,E17,IF(H15=E17,E13,"Ошибка")))</f>
        <v>38</v>
      </c>
      <c r="I38" s="563" t="str">
        <f>IF(H38="","",VLOOKUP(H38,'Списки участников'!A:K,3,FALSE))</f>
        <v>СИМУСЕВ Сергей</v>
      </c>
      <c r="J38" s="551"/>
      <c r="K38" s="530"/>
      <c r="L38" s="552" t="s">
        <v>2725</v>
      </c>
      <c r="M38" s="553"/>
      <c r="O38" s="552"/>
      <c r="Q38" s="972"/>
      <c r="R38" s="529"/>
      <c r="T38" s="530"/>
      <c r="W38" s="530"/>
      <c r="X38" s="533"/>
      <c r="Y38" s="564"/>
      <c r="AB38" s="530"/>
      <c r="AE38" s="530"/>
    </row>
    <row r="39" spans="1:32" ht="15" customHeight="1" x14ac:dyDescent="0.2">
      <c r="E39" s="530"/>
      <c r="I39" s="552"/>
      <c r="K39" s="530"/>
      <c r="L39" s="552"/>
      <c r="M39" s="557" t="s">
        <v>31</v>
      </c>
      <c r="N39" s="568">
        <v>26</v>
      </c>
      <c r="O39" s="563" t="str">
        <f>IF(N39="","",VLOOKUP(N39,'Списки участников'!A:K,3,FALSE))</f>
        <v>ТЫЛЕЧКИН Валерий</v>
      </c>
      <c r="P39" s="549"/>
      <c r="Q39" s="885" t="str">
        <f>CONCATENATE(J3+4," ","м")</f>
        <v>21 м</v>
      </c>
      <c r="R39" s="529"/>
      <c r="T39" s="530"/>
      <c r="W39" s="530"/>
      <c r="Y39" s="530"/>
      <c r="Z39" s="533"/>
      <c r="AB39" s="543"/>
      <c r="AE39" s="530"/>
    </row>
    <row r="40" spans="1:32" ht="15" customHeight="1" x14ac:dyDescent="0.2">
      <c r="E40" s="530"/>
      <c r="G40" s="549" t="s">
        <v>2</v>
      </c>
      <c r="H40" s="565">
        <f>IF(H23="","",IF(H23=E21,E25,IF(H23=E25,E21,"Ошибка")))</f>
        <v>14</v>
      </c>
      <c r="I40" s="563" t="str">
        <f>IF(H40="","",VLOOKUP(H40,'Списки участников'!A:K,3,FALSE))</f>
        <v>КОНОВ Сергей</v>
      </c>
      <c r="J40" s="549"/>
      <c r="K40" s="530"/>
      <c r="L40" s="552"/>
      <c r="M40" s="556"/>
      <c r="O40" s="552" t="s">
        <v>2725</v>
      </c>
      <c r="Q40" s="972"/>
      <c r="R40" s="529"/>
      <c r="T40" s="530"/>
      <c r="W40" s="530"/>
      <c r="X40" s="533"/>
      <c r="Y40" s="564"/>
      <c r="AB40" s="530"/>
      <c r="AC40" s="529"/>
      <c r="AD40" s="560"/>
      <c r="AE40" s="530"/>
      <c r="AF40" s="533"/>
    </row>
    <row r="41" spans="1:32" ht="15" customHeight="1" x14ac:dyDescent="0.2">
      <c r="E41" s="530"/>
      <c r="I41" s="552"/>
      <c r="J41" s="546" t="s">
        <v>32</v>
      </c>
      <c r="K41" s="567">
        <v>37</v>
      </c>
      <c r="L41" s="563" t="str">
        <f>IF(K41="","",VLOOKUP(K41,'Списки участников'!A:K,3,FALSE))</f>
        <v>РОДИНОВ Андрей</v>
      </c>
      <c r="M41" s="551"/>
      <c r="O41" s="552"/>
      <c r="Q41" s="972"/>
      <c r="R41" s="529"/>
      <c r="T41" s="530"/>
      <c r="W41" s="530"/>
      <c r="Y41" s="530"/>
      <c r="AA41" s="533"/>
      <c r="AB41" s="564"/>
      <c r="AE41" s="530"/>
    </row>
    <row r="42" spans="1:32" ht="15" customHeight="1" x14ac:dyDescent="0.2">
      <c r="E42" s="530"/>
      <c r="G42" s="549" t="s">
        <v>895</v>
      </c>
      <c r="H42" s="565">
        <v>37</v>
      </c>
      <c r="I42" s="563" t="str">
        <f>IF(H42="","",VLOOKUP(H42,'Списки участников'!A:K,3,FALSE))</f>
        <v>РОДИНОВ Андрей</v>
      </c>
      <c r="J42" s="551"/>
      <c r="K42" s="530"/>
      <c r="L42" s="552"/>
      <c r="M42" s="536" t="s">
        <v>70</v>
      </c>
      <c r="N42" s="569">
        <f>IF(N39="","",IF(N39=K37,K41,IF(N39=K41,K37,"Ошибка")))</f>
        <v>37</v>
      </c>
      <c r="O42" s="563" t="str">
        <f>IF(N42="","",VLOOKUP(N42,'Списки участников'!A:K,3,FALSE))</f>
        <v>РОДИНОВ Андрей</v>
      </c>
      <c r="P42" s="549"/>
      <c r="Q42" s="885" t="str">
        <f>CONCATENATE(J3+5," ","м")</f>
        <v>22 м</v>
      </c>
      <c r="R42" s="529"/>
      <c r="T42" s="530"/>
      <c r="W42" s="530"/>
      <c r="Y42" s="530"/>
      <c r="AB42" s="530"/>
      <c r="AC42" s="533"/>
      <c r="AD42" s="564"/>
      <c r="AE42" s="530"/>
      <c r="AF42" s="533"/>
    </row>
    <row r="43" spans="1:32" ht="15" customHeight="1" x14ac:dyDescent="0.2">
      <c r="E43" s="530"/>
      <c r="I43" s="552"/>
      <c r="J43" s="570" t="s">
        <v>882</v>
      </c>
      <c r="K43" s="565">
        <v>38</v>
      </c>
      <c r="L43" s="563" t="str">
        <f>IF(K43="","",VLOOKUP(K43,'Списки участников'!A:K,3,FALSE))</f>
        <v>СИМУСЕВ Сергей</v>
      </c>
      <c r="M43" s="549"/>
      <c r="O43" s="552"/>
      <c r="Q43" s="972"/>
      <c r="R43" s="529"/>
      <c r="T43" s="530"/>
      <c r="W43" s="530"/>
      <c r="Y43" s="530"/>
      <c r="AA43" s="533"/>
      <c r="AB43" s="564"/>
      <c r="AE43" s="530"/>
    </row>
    <row r="44" spans="1:32" ht="15" customHeight="1" x14ac:dyDescent="0.2">
      <c r="E44" s="530"/>
      <c r="I44" s="552"/>
      <c r="K44" s="530"/>
      <c r="L44" s="552"/>
      <c r="M44" s="546" t="s">
        <v>34</v>
      </c>
      <c r="N44" s="568">
        <v>38</v>
      </c>
      <c r="O44" s="563" t="str">
        <f>IF(N44="","",VLOOKUP(N44,'Списки участников'!A:K,3,FALSE))</f>
        <v>СИМУСЕВ Сергей</v>
      </c>
      <c r="P44" s="549"/>
      <c r="Q44" s="885" t="str">
        <f>CONCATENATE(J3+6," ","м")</f>
        <v>23 м</v>
      </c>
      <c r="R44" s="529"/>
      <c r="T44" s="530"/>
      <c r="U44" s="533"/>
      <c r="V44" s="564"/>
      <c r="W44" s="530"/>
      <c r="Y44" s="530"/>
      <c r="AB44" s="530"/>
      <c r="AC44" s="529"/>
      <c r="AD44" s="560"/>
      <c r="AE44" s="530"/>
      <c r="AF44" s="533"/>
    </row>
    <row r="45" spans="1:32" ht="15" customHeight="1" x14ac:dyDescent="0.2">
      <c r="E45" s="530"/>
      <c r="I45" s="552"/>
      <c r="J45" s="535" t="s">
        <v>885</v>
      </c>
      <c r="K45" s="565">
        <v>14</v>
      </c>
      <c r="L45" s="563" t="str">
        <f>IF(K45="","",VLOOKUP(K45,'Списки участников'!A:K,3,FALSE))</f>
        <v>КОНОВ Сергей</v>
      </c>
      <c r="M45" s="551"/>
      <c r="O45" s="552"/>
      <c r="Q45" s="972"/>
      <c r="R45" s="529"/>
      <c r="T45" s="530"/>
      <c r="W45" s="533"/>
      <c r="Y45" s="543"/>
      <c r="AB45" s="530"/>
      <c r="AE45" s="530"/>
    </row>
    <row r="46" spans="1:32" ht="15" customHeight="1" x14ac:dyDescent="0.2">
      <c r="D46" s="530"/>
      <c r="E46" s="971"/>
      <c r="F46" s="967" t="str">
        <f>IF(E46="","",VLOOKUP(E46,'Списки участников'!A:K,3,FALSE))</f>
        <v/>
      </c>
      <c r="G46" s="530"/>
      <c r="I46" s="552"/>
      <c r="K46" s="530"/>
      <c r="L46" s="552"/>
      <c r="M46" s="536" t="s">
        <v>888</v>
      </c>
      <c r="N46" s="569">
        <f>IF(N44="","",IF(N44=K43,K45,IF(N44=K45,K43,"Ошибка")))</f>
        <v>14</v>
      </c>
      <c r="O46" s="967" t="str">
        <f>IF(N46="","",VLOOKUP(N46,'Списки участников'!A:K,3,FALSE))</f>
        <v>КОНОВ Сергей</v>
      </c>
      <c r="Q46" s="968" t="str">
        <f>CONCATENATE(J3+7," ","м")</f>
        <v>24 м</v>
      </c>
      <c r="R46" s="529"/>
      <c r="T46" s="530"/>
      <c r="U46" s="533"/>
      <c r="V46" s="564"/>
      <c r="W46" s="530"/>
      <c r="Y46" s="530"/>
      <c r="AB46" s="530"/>
      <c r="AE46" s="530"/>
    </row>
    <row r="47" spans="1:32" ht="15" customHeight="1" x14ac:dyDescent="0.2">
      <c r="C47" s="530"/>
      <c r="D47" s="530"/>
      <c r="E47" s="530"/>
      <c r="F47" s="552"/>
      <c r="G47" s="533"/>
      <c r="H47" s="1004"/>
      <c r="I47" s="967"/>
      <c r="J47" s="530"/>
      <c r="K47" s="530"/>
      <c r="L47" s="552"/>
      <c r="O47" s="552"/>
      <c r="Q47" s="973"/>
      <c r="R47" s="529"/>
      <c r="T47" s="530"/>
      <c r="W47" s="530"/>
      <c r="Y47" s="530"/>
      <c r="Z47" s="533"/>
      <c r="AB47" s="543"/>
      <c r="AE47" s="530"/>
    </row>
    <row r="48" spans="1:32" ht="15" customHeight="1" x14ac:dyDescent="0.2">
      <c r="C48" s="530"/>
      <c r="D48" s="530"/>
      <c r="E48" s="530"/>
      <c r="G48" s="530"/>
      <c r="I48" s="530"/>
      <c r="J48" s="530"/>
      <c r="K48" s="530"/>
      <c r="L48" s="552"/>
      <c r="M48" s="529"/>
      <c r="N48" s="1003"/>
      <c r="O48" s="967"/>
      <c r="Q48" s="968"/>
      <c r="R48" s="529"/>
      <c r="T48" s="530"/>
      <c r="W48" s="530"/>
      <c r="Y48" s="530"/>
      <c r="AB48" s="530"/>
      <c r="AE48" s="530"/>
    </row>
    <row r="49" spans="3:31" ht="10.35" customHeight="1" x14ac:dyDescent="0.2">
      <c r="H49" s="1145"/>
      <c r="I49" s="1145"/>
      <c r="J49" s="573"/>
      <c r="R49" s="529"/>
      <c r="T49" s="530"/>
      <c r="V49" s="574"/>
      <c r="W49" s="530"/>
      <c r="Y49" s="530"/>
      <c r="AB49" s="530"/>
      <c r="AE49" s="530"/>
    </row>
    <row r="50" spans="3:31" ht="14.25" customHeight="1" x14ac:dyDescent="0.2">
      <c r="C50" s="575" t="s">
        <v>760</v>
      </c>
      <c r="H50" s="1141"/>
      <c r="I50" s="1141"/>
      <c r="J50" s="1141"/>
      <c r="R50" s="529"/>
      <c r="T50" s="530"/>
      <c r="W50" s="530"/>
      <c r="Y50" s="530"/>
      <c r="AB50" s="530"/>
      <c r="AE50" s="530"/>
    </row>
    <row r="51" spans="3:31" ht="10.35" customHeight="1" x14ac:dyDescent="0.2">
      <c r="C51" s="552"/>
      <c r="J51" s="573"/>
      <c r="R51" s="530"/>
      <c r="T51" s="530"/>
      <c r="V51" s="574"/>
      <c r="W51" s="530"/>
      <c r="Y51" s="530"/>
      <c r="AB51" s="530"/>
      <c r="AE51" s="530"/>
    </row>
    <row r="52" spans="3:31" ht="15.75" customHeight="1" x14ac:dyDescent="0.2">
      <c r="C52" s="575" t="s">
        <v>761</v>
      </c>
      <c r="H52" s="1141"/>
      <c r="I52" s="1141"/>
      <c r="J52" s="1141"/>
      <c r="R52" s="530"/>
      <c r="T52" s="530"/>
      <c r="W52" s="530"/>
      <c r="Y52" s="530"/>
      <c r="AB52" s="530"/>
      <c r="AE52" s="530"/>
    </row>
    <row r="53" spans="3:31" ht="10.35" customHeight="1" x14ac:dyDescent="0.2">
      <c r="C53" s="530"/>
      <c r="R53" s="530"/>
      <c r="T53" s="530"/>
      <c r="W53" s="530"/>
      <c r="Y53" s="530"/>
      <c r="AB53" s="530"/>
      <c r="AE53" s="530"/>
    </row>
    <row r="54" spans="3:31" ht="10.35" customHeight="1" x14ac:dyDescent="0.2">
      <c r="R54" s="530"/>
      <c r="T54" s="530"/>
      <c r="W54" s="530"/>
      <c r="Y54" s="530"/>
      <c r="AB54" s="530"/>
      <c r="AE54" s="530"/>
    </row>
    <row r="55" spans="3:31" ht="10.35" customHeight="1" x14ac:dyDescent="0.2">
      <c r="R55" s="530"/>
      <c r="T55" s="530"/>
      <c r="W55" s="530"/>
      <c r="Y55" s="530"/>
      <c r="AB55" s="530"/>
      <c r="AE55" s="530"/>
    </row>
  </sheetData>
  <mergeCells count="7">
    <mergeCell ref="H52:J52"/>
    <mergeCell ref="A1:Q1"/>
    <mergeCell ref="A2:Q2"/>
    <mergeCell ref="A3:E3"/>
    <mergeCell ref="M3:Q3"/>
    <mergeCell ref="H49:I49"/>
    <mergeCell ref="H50:J50"/>
  </mergeCells>
  <pageMargins left="0.59055118110236227" right="0.59055118110236227" top="0" bottom="0.39370078740157483" header="0.39370078740157483" footer="0.51181102362204722"/>
  <pageSetup paperSize="9" scale="70" orientation="portrait" r:id="rId1"/>
  <headerFooter alignWithMargins="0">
    <oddHeader xml:space="preserve">&amp;R
</oddHeader>
  </headerFooter>
  <rowBreaks count="1" manualBreakCount="1">
    <brk id="53" max="15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Z55"/>
  <sheetViews>
    <sheetView view="pageBreakPreview" zoomScale="90" zoomScaleNormal="60" zoomScaleSheetLayoutView="90" workbookViewId="0">
      <selection activeCell="V9" sqref="V9"/>
    </sheetView>
  </sheetViews>
  <sheetFormatPr defaultColWidth="21.83203125" defaultRowHeight="10.35" customHeight="1" outlineLevelCol="1" x14ac:dyDescent="0.2"/>
  <cols>
    <col min="1" max="1" width="3.1640625" style="536" customWidth="1"/>
    <col min="2" max="2" width="4.33203125" style="536" hidden="1" customWidth="1" outlineLevel="1"/>
    <col min="3" max="3" width="25" style="535" customWidth="1" collapsed="1"/>
    <col min="4" max="4" width="3.1640625" style="535" customWidth="1"/>
    <col min="5" max="5" width="4.6640625" style="535" hidden="1" customWidth="1" outlineLevel="1"/>
    <col min="6" max="6" width="21.5" style="530" customWidth="1" collapsed="1"/>
    <col min="7" max="7" width="3.1640625" style="535" customWidth="1"/>
    <col min="8" max="8" width="5.6640625" style="530" hidden="1" customWidth="1" outlineLevel="1"/>
    <col min="9" max="9" width="21.5" style="535" customWidth="1" collapsed="1"/>
    <col min="10" max="10" width="3.1640625" style="535" customWidth="1"/>
    <col min="11" max="11" width="4.33203125" style="535" hidden="1" customWidth="1" outlineLevel="1"/>
    <col min="12" max="12" width="21.6640625" style="530" customWidth="1" collapsed="1"/>
    <col min="13" max="13" width="3.33203125" style="530" customWidth="1"/>
    <col min="14" max="14" width="5.33203125" style="530" hidden="1" customWidth="1" outlineLevel="1"/>
    <col min="15" max="15" width="21.5" style="535" customWidth="1" collapsed="1"/>
    <col min="16" max="16" width="3.83203125" style="530" customWidth="1"/>
    <col min="17" max="17" width="4.33203125" style="530" customWidth="1"/>
    <col min="18" max="18" width="3.1640625" style="535" customWidth="1"/>
    <col min="19" max="19" width="16" style="530" customWidth="1"/>
    <col min="20" max="20" width="3.1640625" style="535" customWidth="1"/>
    <col min="21" max="21" width="3.1640625" style="530" customWidth="1"/>
    <col min="22" max="22" width="16" style="530" customWidth="1"/>
    <col min="23" max="23" width="3.1640625" style="535" customWidth="1"/>
    <col min="24" max="24" width="3.1640625" style="530" customWidth="1"/>
    <col min="25" max="25" width="16" style="535" customWidth="1"/>
    <col min="26" max="27" width="3.1640625" style="530" customWidth="1"/>
    <col min="28" max="28" width="15.5" style="535" customWidth="1"/>
    <col min="29" max="29" width="3.1640625" style="530" customWidth="1"/>
    <col min="30" max="30" width="16.1640625" style="530" customWidth="1"/>
    <col min="31" max="31" width="3.1640625" style="535" customWidth="1"/>
    <col min="32" max="32" width="3.6640625" style="530" customWidth="1"/>
    <col min="33" max="33" width="21.83203125" style="530" customWidth="1"/>
    <col min="34" max="34" width="21.83203125" style="535" customWidth="1"/>
    <col min="35" max="36" width="21.83203125" style="530" customWidth="1"/>
    <col min="37" max="41" width="21.83203125" style="535" customWidth="1"/>
    <col min="42" max="43" width="21.83203125" style="530" customWidth="1"/>
    <col min="44" max="44" width="21.83203125" style="535" customWidth="1"/>
    <col min="45" max="46" width="21.83203125" style="530" customWidth="1"/>
    <col min="47" max="47" width="21.83203125" style="535" customWidth="1"/>
    <col min="48" max="49" width="21.83203125" style="530" customWidth="1"/>
    <col min="50" max="50" width="21.83203125" style="535" customWidth="1"/>
    <col min="51" max="52" width="21.83203125" style="530" customWidth="1"/>
    <col min="53" max="16384" width="21.83203125" style="535"/>
  </cols>
  <sheetData>
    <row r="1" spans="1:31" ht="48" customHeight="1" x14ac:dyDescent="0.2">
      <c r="A1" s="1429" t="str">
        <f>'Списки участников'!A1</f>
        <v xml:space="preserve">X Спартакиада
среди предприятий Нижегородской области ФСК "Профсоюзов",
под девизом "Будь спортивным - будь успешным!"
</v>
      </c>
      <c r="B1" s="1429"/>
      <c r="C1" s="1429"/>
      <c r="D1" s="1429"/>
      <c r="E1" s="1429"/>
      <c r="F1" s="1429"/>
      <c r="G1" s="1429"/>
      <c r="H1" s="1429"/>
      <c r="I1" s="1429"/>
      <c r="J1" s="1429"/>
      <c r="K1" s="1429"/>
      <c r="L1" s="1429"/>
      <c r="M1" s="1429"/>
      <c r="N1" s="1429"/>
      <c r="O1" s="1429"/>
      <c r="P1" s="1429"/>
      <c r="Q1" s="1429"/>
      <c r="R1" s="529"/>
      <c r="T1" s="530"/>
      <c r="W1" s="531"/>
      <c r="X1" s="532"/>
      <c r="Y1" s="533"/>
      <c r="AB1" s="530"/>
      <c r="AD1" s="534"/>
      <c r="AE1" s="530"/>
    </row>
    <row r="2" spans="1:31" ht="14.25" customHeight="1" x14ac:dyDescent="0.2">
      <c r="A2" s="1265"/>
      <c r="B2" s="1265"/>
      <c r="C2" s="1265"/>
      <c r="D2" s="1265"/>
      <c r="E2" s="1265"/>
      <c r="F2" s="1265"/>
      <c r="G2" s="1265"/>
      <c r="H2" s="1265"/>
      <c r="I2" s="1265"/>
      <c r="J2" s="1265"/>
      <c r="K2" s="1265"/>
      <c r="L2" s="1265"/>
      <c r="M2" s="1265"/>
      <c r="N2" s="1265"/>
      <c r="O2" s="1265"/>
      <c r="P2" s="1265"/>
      <c r="Q2" s="1265"/>
      <c r="R2" s="529"/>
      <c r="T2" s="530"/>
      <c r="W2" s="531"/>
      <c r="X2" s="532"/>
      <c r="Y2" s="533"/>
      <c r="AB2" s="530"/>
      <c r="AE2" s="530"/>
    </row>
    <row r="3" spans="1:31" ht="17.25" customHeight="1" x14ac:dyDescent="0.2">
      <c r="A3" s="1266" t="str">
        <f>'Списки участников'!C3</f>
        <v>22 октября 2016 г.</v>
      </c>
      <c r="B3" s="1266"/>
      <c r="C3" s="1266"/>
      <c r="D3" s="1266"/>
      <c r="E3" s="1266"/>
      <c r="I3" s="881" t="s">
        <v>2739</v>
      </c>
      <c r="J3" s="882" t="s">
        <v>18</v>
      </c>
      <c r="K3" s="883"/>
      <c r="L3" s="884" t="s">
        <v>2740</v>
      </c>
      <c r="M3" s="1266" t="str">
        <f>'Списки участников'!F3</f>
        <v xml:space="preserve">                                               г. Н. Новгород</v>
      </c>
      <c r="N3" s="1266"/>
      <c r="O3" s="1266"/>
      <c r="P3" s="1266"/>
      <c r="Q3" s="1266"/>
      <c r="R3" s="529"/>
      <c r="T3" s="530"/>
      <c r="W3" s="530"/>
      <c r="Y3" s="530"/>
      <c r="AB3" s="530"/>
      <c r="AE3" s="530"/>
    </row>
    <row r="4" spans="1:31" ht="15" customHeight="1" x14ac:dyDescent="0.2">
      <c r="A4" s="538">
        <v>1</v>
      </c>
      <c r="B4" s="539"/>
      <c r="C4" s="540" t="str">
        <f>IF(B4="","",VLOOKUP(B4,'Списки участников'!A:K,3,FALSE))</f>
        <v/>
      </c>
      <c r="E4" s="541"/>
      <c r="F4" s="535"/>
      <c r="G4" s="536"/>
      <c r="H4" s="536"/>
      <c r="I4" s="542"/>
      <c r="J4" s="536"/>
      <c r="K4" s="536"/>
      <c r="L4" s="535"/>
      <c r="M4" s="535"/>
      <c r="N4" s="535"/>
      <c r="P4" s="535"/>
      <c r="Q4" s="535"/>
      <c r="R4" s="533"/>
      <c r="S4" s="543"/>
      <c r="T4" s="530"/>
      <c r="W4" s="530"/>
      <c r="Y4" s="530"/>
      <c r="AB4" s="530"/>
      <c r="AE4" s="530"/>
    </row>
    <row r="5" spans="1:31" ht="15" customHeight="1" x14ac:dyDescent="0.2">
      <c r="B5" s="544"/>
      <c r="C5" s="545"/>
      <c r="D5" s="546" t="s">
        <v>10</v>
      </c>
      <c r="E5" s="547">
        <v>50</v>
      </c>
      <c r="F5" s="548">
        <f>IF(E5="","",VLOOKUP(E5,'Списки участников'!A:K,3,FALSE))</f>
        <v>0</v>
      </c>
      <c r="G5" s="549"/>
      <c r="I5" s="530"/>
      <c r="K5" s="530"/>
      <c r="M5" s="535"/>
      <c r="N5" s="535"/>
      <c r="O5" s="530"/>
      <c r="Q5" s="535"/>
      <c r="R5" s="529"/>
      <c r="T5" s="530"/>
      <c r="W5" s="533"/>
      <c r="Y5" s="537"/>
      <c r="AB5" s="530"/>
      <c r="AE5" s="530"/>
    </row>
    <row r="6" spans="1:31" ht="15" customHeight="1" x14ac:dyDescent="0.2">
      <c r="A6" s="550" t="s">
        <v>41</v>
      </c>
      <c r="B6" s="539"/>
      <c r="C6" s="540" t="str">
        <f>IF(B6="","",VLOOKUP(B6,'Списки участников'!A:K,3,FALSE))</f>
        <v/>
      </c>
      <c r="D6" s="551"/>
      <c r="E6" s="543"/>
      <c r="F6" s="552"/>
      <c r="G6" s="553"/>
      <c r="H6" s="537"/>
      <c r="I6" s="530"/>
      <c r="K6" s="530"/>
      <c r="M6" s="535"/>
      <c r="N6" s="535"/>
      <c r="O6" s="530"/>
      <c r="Q6" s="535"/>
      <c r="R6" s="533"/>
      <c r="S6" s="543"/>
      <c r="T6" s="530"/>
      <c r="W6" s="530"/>
      <c r="Y6" s="530"/>
      <c r="AB6" s="530"/>
      <c r="AE6" s="530"/>
    </row>
    <row r="7" spans="1:31" ht="15" customHeight="1" x14ac:dyDescent="0.2">
      <c r="B7" s="544"/>
      <c r="C7" s="554"/>
      <c r="E7" s="543"/>
      <c r="F7" s="552"/>
      <c r="G7" s="555">
        <v>9</v>
      </c>
      <c r="H7" s="547">
        <v>50</v>
      </c>
      <c r="I7" s="548">
        <f>IF(H7="","",VLOOKUP(H7,'Списки участников'!A:K,3,FALSE))</f>
        <v>0</v>
      </c>
      <c r="J7" s="549"/>
      <c r="K7" s="530"/>
      <c r="M7" s="535"/>
      <c r="N7" s="535"/>
      <c r="O7" s="530"/>
      <c r="Q7" s="535"/>
      <c r="R7" s="529"/>
      <c r="T7" s="533"/>
      <c r="V7" s="543"/>
      <c r="W7" s="530"/>
      <c r="Y7" s="530"/>
      <c r="AB7" s="530"/>
      <c r="AE7" s="530"/>
    </row>
    <row r="8" spans="1:31" ht="15" customHeight="1" x14ac:dyDescent="0.2">
      <c r="A8" s="550" t="s">
        <v>35</v>
      </c>
      <c r="B8" s="539"/>
      <c r="C8" s="540" t="str">
        <f>IF(B8="","",VLOOKUP(B8,'Списки участников'!A:K,3,FALSE))</f>
        <v/>
      </c>
      <c r="D8" s="549"/>
      <c r="E8" s="543"/>
      <c r="F8" s="552"/>
      <c r="G8" s="556"/>
      <c r="H8" s="537"/>
      <c r="I8" s="552" t="s">
        <v>2725</v>
      </c>
      <c r="J8" s="553"/>
      <c r="K8" s="537"/>
      <c r="M8" s="535"/>
      <c r="N8" s="535"/>
      <c r="O8" s="530"/>
      <c r="Q8" s="535"/>
      <c r="R8" s="533"/>
      <c r="S8" s="543"/>
      <c r="T8" s="530"/>
      <c r="W8" s="530"/>
      <c r="Y8" s="530"/>
      <c r="AB8" s="530"/>
      <c r="AE8" s="530"/>
    </row>
    <row r="9" spans="1:31" ht="15" customHeight="1" x14ac:dyDescent="0.2">
      <c r="B9" s="544"/>
      <c r="C9" s="554"/>
      <c r="D9" s="546" t="s">
        <v>41</v>
      </c>
      <c r="E9" s="547">
        <v>34</v>
      </c>
      <c r="F9" s="548" t="str">
        <f>IF(E9="","",VLOOKUP(E9,'Списки участников'!A:K,3,FALSE))</f>
        <v>ТИНЬКОВ Александр</v>
      </c>
      <c r="G9" s="551"/>
      <c r="H9" s="537"/>
      <c r="I9" s="552"/>
      <c r="J9" s="556"/>
      <c r="K9" s="537"/>
      <c r="M9" s="535"/>
      <c r="N9" s="535"/>
      <c r="O9" s="530"/>
      <c r="Q9" s="535"/>
      <c r="R9" s="529"/>
      <c r="T9" s="530"/>
      <c r="W9" s="530"/>
      <c r="Y9" s="530"/>
      <c r="Z9" s="533"/>
      <c r="AB9" s="537"/>
      <c r="AE9" s="530"/>
    </row>
    <row r="10" spans="1:31" ht="15" customHeight="1" x14ac:dyDescent="0.2">
      <c r="A10" s="550" t="s">
        <v>15</v>
      </c>
      <c r="B10" s="539"/>
      <c r="C10" s="540" t="str">
        <f>IF(B10="","",VLOOKUP(B10,'Списки участников'!A:K,3,FALSE))</f>
        <v/>
      </c>
      <c r="D10" s="551"/>
      <c r="E10" s="543"/>
      <c r="F10" s="552"/>
      <c r="H10" s="537"/>
      <c r="I10" s="552"/>
      <c r="J10" s="556"/>
      <c r="K10" s="537"/>
      <c r="M10" s="535"/>
      <c r="N10" s="535"/>
      <c r="O10" s="530"/>
      <c r="Q10" s="535"/>
      <c r="R10" s="533"/>
      <c r="S10" s="543"/>
      <c r="T10" s="530"/>
      <c r="W10" s="530"/>
      <c r="Y10" s="530"/>
      <c r="AB10" s="530"/>
      <c r="AE10" s="530"/>
    </row>
    <row r="11" spans="1:31" ht="15" customHeight="1" x14ac:dyDescent="0.2">
      <c r="B11" s="544"/>
      <c r="C11" s="554"/>
      <c r="E11" s="543"/>
      <c r="F11" s="552"/>
      <c r="H11" s="537"/>
      <c r="I11" s="552"/>
      <c r="J11" s="557" t="s">
        <v>23</v>
      </c>
      <c r="K11" s="547">
        <v>5</v>
      </c>
      <c r="L11" s="548" t="str">
        <f>IF(K11="","",VLOOKUP(K11,'Списки участников'!A:K,3,FALSE))</f>
        <v>АСТАПОВ Андрей</v>
      </c>
      <c r="M11" s="549"/>
      <c r="O11" s="530"/>
      <c r="Q11" s="535"/>
      <c r="R11" s="529"/>
      <c r="T11" s="533"/>
      <c r="V11" s="543"/>
      <c r="W11" s="530"/>
      <c r="Y11" s="530"/>
      <c r="AB11" s="530"/>
      <c r="AE11" s="530"/>
    </row>
    <row r="12" spans="1:31" ht="15" customHeight="1" x14ac:dyDescent="0.2">
      <c r="A12" s="550" t="s">
        <v>37</v>
      </c>
      <c r="B12" s="539"/>
      <c r="C12" s="540" t="str">
        <f>IF(B12="","",VLOOKUP(B12,'Списки участников'!A:K,3,FALSE))</f>
        <v/>
      </c>
      <c r="D12" s="549"/>
      <c r="E12" s="543"/>
      <c r="F12" s="552"/>
      <c r="H12" s="537"/>
      <c r="I12" s="552"/>
      <c r="J12" s="556"/>
      <c r="K12" s="537"/>
      <c r="L12" s="552" t="s">
        <v>2726</v>
      </c>
      <c r="M12" s="553"/>
      <c r="O12" s="530"/>
      <c r="Q12" s="535"/>
      <c r="R12" s="533"/>
      <c r="S12" s="543"/>
      <c r="T12" s="530"/>
      <c r="W12" s="530"/>
      <c r="Y12" s="530"/>
      <c r="AB12" s="530"/>
      <c r="AE12" s="530"/>
    </row>
    <row r="13" spans="1:31" ht="15" customHeight="1" x14ac:dyDescent="0.2">
      <c r="B13" s="544"/>
      <c r="C13" s="554"/>
      <c r="D13" s="546" t="s">
        <v>35</v>
      </c>
      <c r="E13" s="547">
        <v>41</v>
      </c>
      <c r="F13" s="548" t="str">
        <f>IF(E13="","",VLOOKUP(E13,'Списки участников'!A:K,3,FALSE))</f>
        <v>ГЛЕБОВ Игорь</v>
      </c>
      <c r="G13" s="549"/>
      <c r="H13" s="537"/>
      <c r="I13" s="552"/>
      <c r="J13" s="556"/>
      <c r="K13" s="537"/>
      <c r="L13" s="552"/>
      <c r="M13" s="556"/>
      <c r="O13" s="530"/>
      <c r="Q13" s="535"/>
      <c r="R13" s="529"/>
      <c r="T13" s="530"/>
      <c r="W13" s="533"/>
      <c r="Y13" s="543"/>
      <c r="AB13" s="530"/>
      <c r="AE13" s="530"/>
    </row>
    <row r="14" spans="1:31" ht="15" customHeight="1" x14ac:dyDescent="0.2">
      <c r="A14" s="550" t="s">
        <v>42</v>
      </c>
      <c r="B14" s="539"/>
      <c r="C14" s="540" t="str">
        <f>IF(B14="","",VLOOKUP(B14,'Списки участников'!A:K,3,FALSE))</f>
        <v/>
      </c>
      <c r="D14" s="551"/>
      <c r="E14" s="543"/>
      <c r="F14" s="552"/>
      <c r="G14" s="553"/>
      <c r="H14" s="537"/>
      <c r="I14" s="552"/>
      <c r="J14" s="556"/>
      <c r="K14" s="537"/>
      <c r="L14" s="552"/>
      <c r="M14" s="556"/>
      <c r="O14" s="530"/>
      <c r="Q14" s="535"/>
      <c r="R14" s="533"/>
      <c r="S14" s="543"/>
      <c r="T14" s="530"/>
      <c r="W14" s="530"/>
      <c r="Y14" s="530"/>
      <c r="AB14" s="530"/>
      <c r="AE14" s="530"/>
    </row>
    <row r="15" spans="1:31" ht="15" customHeight="1" x14ac:dyDescent="0.2">
      <c r="B15" s="544"/>
      <c r="C15" s="554"/>
      <c r="E15" s="543"/>
      <c r="F15" s="552"/>
      <c r="G15" s="557" t="s">
        <v>30</v>
      </c>
      <c r="H15" s="547">
        <v>5</v>
      </c>
      <c r="I15" s="548" t="str">
        <f>IF(H15="","",VLOOKUP(H15,'Списки участников'!A:K,3,FALSE))</f>
        <v>АСТАПОВ Андрей</v>
      </c>
      <c r="J15" s="551"/>
      <c r="K15" s="537"/>
      <c r="L15" s="552"/>
      <c r="M15" s="556"/>
      <c r="O15" s="530"/>
      <c r="Q15" s="535"/>
      <c r="R15" s="529"/>
      <c r="T15" s="533"/>
      <c r="V15" s="543"/>
      <c r="W15" s="530"/>
      <c r="Y15" s="530"/>
      <c r="AB15" s="530"/>
      <c r="AE15" s="530"/>
    </row>
    <row r="16" spans="1:31" ht="15" customHeight="1" x14ac:dyDescent="0.2">
      <c r="A16" s="550" t="s">
        <v>28</v>
      </c>
      <c r="B16" s="539"/>
      <c r="C16" s="540" t="str">
        <f>IF(B16="","",VLOOKUP(B16,'Списки участников'!A:K,3,FALSE))</f>
        <v/>
      </c>
      <c r="D16" s="549"/>
      <c r="E16" s="543"/>
      <c r="F16" s="552"/>
      <c r="G16" s="556"/>
      <c r="H16" s="537"/>
      <c r="I16" s="552" t="s">
        <v>2726</v>
      </c>
      <c r="K16" s="537"/>
      <c r="L16" s="552"/>
      <c r="M16" s="556"/>
      <c r="O16" s="530"/>
      <c r="Q16" s="535"/>
      <c r="R16" s="533"/>
      <c r="S16" s="543"/>
      <c r="T16" s="530"/>
      <c r="W16" s="530"/>
      <c r="Y16" s="530"/>
      <c r="AB16" s="530"/>
      <c r="AE16" s="530"/>
    </row>
    <row r="17" spans="1:32" ht="15" customHeight="1" x14ac:dyDescent="0.2">
      <c r="B17" s="544"/>
      <c r="C17" s="554"/>
      <c r="D17" s="546" t="s">
        <v>15</v>
      </c>
      <c r="E17" s="547">
        <v>5</v>
      </c>
      <c r="F17" s="548" t="str">
        <f>IF(E17="","",VLOOKUP(E17,'Списки участников'!A:K,3,FALSE))</f>
        <v>АСТАПОВ Андрей</v>
      </c>
      <c r="G17" s="551"/>
      <c r="H17" s="537"/>
      <c r="I17" s="552"/>
      <c r="K17" s="537"/>
      <c r="L17" s="552"/>
      <c r="M17" s="556"/>
      <c r="O17" s="530"/>
      <c r="Q17" s="535"/>
      <c r="R17" s="529"/>
      <c r="T17" s="530"/>
      <c r="W17" s="530"/>
      <c r="Y17" s="530"/>
      <c r="AB17" s="530"/>
      <c r="AC17" s="533"/>
      <c r="AD17" s="537"/>
      <c r="AE17" s="530"/>
      <c r="AF17" s="533"/>
    </row>
    <row r="18" spans="1:32" ht="15" customHeight="1" x14ac:dyDescent="0.2">
      <c r="A18" s="550" t="s">
        <v>22</v>
      </c>
      <c r="B18" s="539"/>
      <c r="C18" s="540" t="str">
        <f>IF(B18="","",VLOOKUP(B18,'Списки участников'!A:K,3,FALSE))</f>
        <v/>
      </c>
      <c r="D18" s="551"/>
      <c r="E18" s="543"/>
      <c r="F18" s="552"/>
      <c r="H18" s="537"/>
      <c r="I18" s="552"/>
      <c r="K18" s="537"/>
      <c r="L18" s="552"/>
      <c r="M18" s="556"/>
      <c r="O18" s="558"/>
      <c r="Q18" s="535"/>
      <c r="R18" s="533"/>
      <c r="S18" s="543"/>
      <c r="T18" s="530"/>
      <c r="W18" s="530"/>
      <c r="Y18" s="530"/>
      <c r="AB18" s="530"/>
      <c r="AE18" s="530"/>
    </row>
    <row r="19" spans="1:32" ht="15" customHeight="1" x14ac:dyDescent="0.2">
      <c r="B19" s="544"/>
      <c r="C19" s="554"/>
      <c r="E19" s="543"/>
      <c r="F19" s="552"/>
      <c r="H19" s="537"/>
      <c r="I19" s="552"/>
      <c r="K19" s="537"/>
      <c r="L19" s="552"/>
      <c r="M19" s="557" t="s">
        <v>12</v>
      </c>
      <c r="N19" s="559">
        <v>5</v>
      </c>
      <c r="O19" s="548" t="str">
        <f>IF(N19="","",VLOOKUP(N19,'Списки участников'!A:K,3,FALSE))</f>
        <v>АСТАПОВ Андрей</v>
      </c>
      <c r="P19" s="549"/>
      <c r="Q19" s="885" t="str">
        <f>CONCATENATE(J3," ","м")</f>
        <v>25 м</v>
      </c>
      <c r="R19" s="529"/>
      <c r="T19" s="533"/>
      <c r="V19" s="543"/>
      <c r="W19" s="530"/>
      <c r="Y19" s="530"/>
      <c r="AB19" s="530"/>
      <c r="AE19" s="530"/>
    </row>
    <row r="20" spans="1:32" ht="15" customHeight="1" x14ac:dyDescent="0.2">
      <c r="A20" s="550" t="s">
        <v>38</v>
      </c>
      <c r="B20" s="539"/>
      <c r="C20" s="540" t="str">
        <f>IF(B20="","",VLOOKUP(B20,'Списки участников'!A:K,3,FALSE))</f>
        <v/>
      </c>
      <c r="D20" s="549"/>
      <c r="E20" s="543"/>
      <c r="F20" s="552"/>
      <c r="H20" s="537"/>
      <c r="I20" s="552"/>
      <c r="K20" s="537"/>
      <c r="L20" s="552"/>
      <c r="M20" s="556"/>
      <c r="O20" s="552" t="s">
        <v>2725</v>
      </c>
      <c r="Q20" s="535"/>
      <c r="R20" s="533"/>
      <c r="S20" s="543"/>
      <c r="T20" s="530"/>
      <c r="W20" s="530"/>
      <c r="Y20" s="530"/>
      <c r="AB20" s="530"/>
      <c r="AE20" s="530"/>
    </row>
    <row r="21" spans="1:32" ht="15" customHeight="1" x14ac:dyDescent="0.2">
      <c r="B21" s="544"/>
      <c r="C21" s="554"/>
      <c r="D21" s="546" t="s">
        <v>37</v>
      </c>
      <c r="E21" s="547">
        <v>22</v>
      </c>
      <c r="F21" s="548" t="str">
        <f>IF(E21="","",VLOOKUP(E21,'Списки участников'!A:K,3,FALSE))</f>
        <v>ГОГОЛЬ Александр</v>
      </c>
      <c r="G21" s="549"/>
      <c r="H21" s="537"/>
      <c r="I21" s="552"/>
      <c r="K21" s="537"/>
      <c r="L21" s="552"/>
      <c r="M21" s="556"/>
      <c r="O21" s="552"/>
      <c r="Q21" s="535"/>
      <c r="R21" s="529"/>
      <c r="T21" s="530"/>
      <c r="W21" s="533"/>
      <c r="Y21" s="543"/>
      <c r="AB21" s="530"/>
      <c r="AE21" s="530"/>
    </row>
    <row r="22" spans="1:32" ht="15" customHeight="1" x14ac:dyDescent="0.2">
      <c r="A22" s="550" t="s">
        <v>30</v>
      </c>
      <c r="B22" s="539"/>
      <c r="C22" s="540" t="str">
        <f>IF(B22="","",VLOOKUP(B22,'Списки участников'!A:K,3,FALSE))</f>
        <v/>
      </c>
      <c r="D22" s="551"/>
      <c r="E22" s="543"/>
      <c r="F22" s="552"/>
      <c r="G22" s="553"/>
      <c r="H22" s="537"/>
      <c r="I22" s="552"/>
      <c r="K22" s="537"/>
      <c r="L22" s="552"/>
      <c r="M22" s="556"/>
      <c r="O22" s="552"/>
      <c r="Q22" s="535"/>
      <c r="R22" s="533"/>
      <c r="S22" s="543"/>
      <c r="T22" s="530"/>
      <c r="W22" s="530"/>
      <c r="Y22" s="530"/>
      <c r="AB22" s="530"/>
      <c r="AE22" s="530"/>
    </row>
    <row r="23" spans="1:32" ht="15" customHeight="1" x14ac:dyDescent="0.2">
      <c r="B23" s="544"/>
      <c r="C23" s="554"/>
      <c r="E23" s="543"/>
      <c r="F23" s="552"/>
      <c r="G23" s="557" t="s">
        <v>25</v>
      </c>
      <c r="H23" s="547">
        <v>46</v>
      </c>
      <c r="I23" s="548" t="str">
        <f>IF(H23="","",VLOOKUP(H23,'Списки участников'!A:K,3,FALSE))</f>
        <v>МАТВЕЕВ Сергей</v>
      </c>
      <c r="J23" s="549"/>
      <c r="K23" s="537"/>
      <c r="L23" s="552"/>
      <c r="M23" s="556"/>
      <c r="O23" s="552"/>
      <c r="Q23" s="535"/>
      <c r="R23" s="529"/>
      <c r="T23" s="533"/>
      <c r="V23" s="543"/>
      <c r="W23" s="530"/>
      <c r="Y23" s="530"/>
      <c r="AB23" s="530"/>
      <c r="AE23" s="530"/>
    </row>
    <row r="24" spans="1:32" ht="15" customHeight="1" x14ac:dyDescent="0.2">
      <c r="A24" s="550" t="s">
        <v>25</v>
      </c>
      <c r="B24" s="539"/>
      <c r="C24" s="540" t="str">
        <f>IF(B24="","",VLOOKUP(B24,'Списки участников'!A:K,3,FALSE))</f>
        <v/>
      </c>
      <c r="D24" s="549"/>
      <c r="E24" s="543"/>
      <c r="F24" s="552"/>
      <c r="G24" s="556"/>
      <c r="H24" s="537"/>
      <c r="I24" s="552" t="s">
        <v>2725</v>
      </c>
      <c r="J24" s="553"/>
      <c r="K24" s="537"/>
      <c r="L24" s="552"/>
      <c r="M24" s="556"/>
      <c r="O24" s="552"/>
      <c r="Q24" s="535"/>
      <c r="R24" s="533"/>
      <c r="S24" s="543"/>
      <c r="T24" s="530"/>
      <c r="W24" s="530"/>
      <c r="Y24" s="530"/>
      <c r="AB24" s="530"/>
      <c r="AE24" s="530"/>
    </row>
    <row r="25" spans="1:32" ht="15" customHeight="1" x14ac:dyDescent="0.2">
      <c r="B25" s="544"/>
      <c r="C25" s="554"/>
      <c r="D25" s="546" t="s">
        <v>42</v>
      </c>
      <c r="E25" s="547">
        <v>46</v>
      </c>
      <c r="F25" s="548" t="str">
        <f>IF(E25="","",VLOOKUP(E25,'Списки участников'!A:K,3,FALSE))</f>
        <v>МАТВЕЕВ Сергей</v>
      </c>
      <c r="G25" s="551"/>
      <c r="H25" s="537"/>
      <c r="I25" s="552"/>
      <c r="J25" s="556"/>
      <c r="K25" s="537"/>
      <c r="L25" s="552"/>
      <c r="M25" s="556"/>
      <c r="O25" s="552"/>
      <c r="Q25" s="535"/>
      <c r="R25" s="529"/>
      <c r="T25" s="530"/>
      <c r="W25" s="530"/>
      <c r="Y25" s="530"/>
      <c r="Z25" s="533"/>
      <c r="AB25" s="543"/>
      <c r="AE25" s="530"/>
    </row>
    <row r="26" spans="1:32" ht="15" customHeight="1" x14ac:dyDescent="0.2">
      <c r="A26" s="550" t="s">
        <v>17</v>
      </c>
      <c r="B26" s="539"/>
      <c r="C26" s="540" t="str">
        <f>IF(B26="","",VLOOKUP(B26,'Списки участников'!A:K,3,FALSE))</f>
        <v/>
      </c>
      <c r="D26" s="551"/>
      <c r="E26" s="543"/>
      <c r="F26" s="552"/>
      <c r="H26" s="537"/>
      <c r="I26" s="552"/>
      <c r="J26" s="556"/>
      <c r="K26" s="537"/>
      <c r="L26" s="552"/>
      <c r="M26" s="556"/>
      <c r="O26" s="552"/>
      <c r="Q26" s="535"/>
      <c r="R26" s="533"/>
      <c r="S26" s="543"/>
      <c r="T26" s="530"/>
      <c r="W26" s="530"/>
      <c r="Y26" s="530"/>
      <c r="AB26" s="530"/>
      <c r="AE26" s="530"/>
    </row>
    <row r="27" spans="1:32" ht="15" customHeight="1" x14ac:dyDescent="0.2">
      <c r="B27" s="544"/>
      <c r="C27" s="554"/>
      <c r="E27" s="543"/>
      <c r="F27" s="552"/>
      <c r="H27" s="537"/>
      <c r="I27" s="552"/>
      <c r="J27" s="557" t="s">
        <v>7</v>
      </c>
      <c r="K27" s="547">
        <v>46</v>
      </c>
      <c r="L27" s="548" t="str">
        <f>IF(K27="","",VLOOKUP(K27,'Списки участников'!A:K,3,FALSE))</f>
        <v>МАТВЕЕВ Сергей</v>
      </c>
      <c r="M27" s="551"/>
      <c r="O27" s="552"/>
      <c r="Q27" s="535"/>
      <c r="R27" s="529"/>
      <c r="T27" s="533"/>
      <c r="V27" s="543"/>
      <c r="W27" s="530"/>
      <c r="Y27" s="530"/>
      <c r="AB27" s="530"/>
      <c r="AE27" s="530"/>
    </row>
    <row r="28" spans="1:32" ht="15" customHeight="1" x14ac:dyDescent="0.2">
      <c r="A28" s="550" t="s">
        <v>23</v>
      </c>
      <c r="B28" s="539"/>
      <c r="C28" s="540" t="str">
        <f>IF(B28="","",VLOOKUP(B28,'Списки участников'!A:K,3,FALSE))</f>
        <v/>
      </c>
      <c r="D28" s="549"/>
      <c r="E28" s="543"/>
      <c r="F28" s="552"/>
      <c r="H28" s="537"/>
      <c r="I28" s="552"/>
      <c r="J28" s="556"/>
      <c r="K28" s="537"/>
      <c r="L28" s="552" t="s">
        <v>2725</v>
      </c>
      <c r="M28" s="535"/>
      <c r="N28" s="535"/>
      <c r="O28" s="552"/>
      <c r="Q28" s="535"/>
      <c r="R28" s="533"/>
      <c r="S28" s="543"/>
      <c r="T28" s="530"/>
      <c r="W28" s="530"/>
      <c r="Y28" s="530"/>
      <c r="AB28" s="530"/>
      <c r="AE28" s="530"/>
    </row>
    <row r="29" spans="1:32" ht="15" customHeight="1" x14ac:dyDescent="0.2">
      <c r="B29" s="544"/>
      <c r="C29" s="554"/>
      <c r="D29" s="546" t="s">
        <v>28</v>
      </c>
      <c r="E29" s="547">
        <v>51</v>
      </c>
      <c r="F29" s="548">
        <f>IF(E29="","",VLOOKUP(E29,'Списки участников'!A:K,3,FALSE))</f>
        <v>0</v>
      </c>
      <c r="G29" s="549"/>
      <c r="H29" s="537"/>
      <c r="I29" s="552"/>
      <c r="J29" s="556"/>
      <c r="K29" s="537"/>
      <c r="L29" s="552"/>
      <c r="M29" s="535"/>
      <c r="N29" s="535"/>
      <c r="O29" s="552"/>
      <c r="Q29" s="535"/>
      <c r="R29" s="529"/>
      <c r="T29" s="530"/>
      <c r="W29" s="533"/>
      <c r="Y29" s="543"/>
      <c r="AB29" s="530"/>
      <c r="AC29" s="529"/>
      <c r="AD29" s="560"/>
      <c r="AE29" s="530"/>
      <c r="AF29" s="533"/>
    </row>
    <row r="30" spans="1:32" ht="15" customHeight="1" x14ac:dyDescent="0.2">
      <c r="A30" s="550" t="s">
        <v>7</v>
      </c>
      <c r="B30" s="539"/>
      <c r="C30" s="540" t="str">
        <f>IF(B30="","",VLOOKUP(B30,'Списки участников'!A:K,3,FALSE))</f>
        <v/>
      </c>
      <c r="D30" s="551"/>
      <c r="E30" s="543"/>
      <c r="F30" s="552"/>
      <c r="G30" s="553"/>
      <c r="H30" s="537"/>
      <c r="I30" s="561"/>
      <c r="J30" s="556"/>
      <c r="K30" s="537"/>
      <c r="M30" s="535"/>
      <c r="N30" s="535"/>
      <c r="O30" s="552"/>
      <c r="Q30" s="535"/>
      <c r="R30" s="533"/>
      <c r="S30" s="543"/>
      <c r="T30" s="530"/>
      <c r="W30" s="530"/>
      <c r="Y30" s="530"/>
      <c r="AB30" s="530"/>
      <c r="AE30" s="530"/>
    </row>
    <row r="31" spans="1:32" ht="15" customHeight="1" x14ac:dyDescent="0.2">
      <c r="B31" s="544"/>
      <c r="C31" s="554"/>
      <c r="E31" s="543"/>
      <c r="F31" s="552"/>
      <c r="G31" s="557" t="s">
        <v>17</v>
      </c>
      <c r="H31" s="547">
        <v>51</v>
      </c>
      <c r="I31" s="548">
        <f>IF(H31="","",VLOOKUP(H31,'Списки участников'!A:K,3,FALSE))</f>
        <v>0</v>
      </c>
      <c r="J31" s="551"/>
      <c r="K31" s="537"/>
      <c r="M31" s="536" t="s">
        <v>901</v>
      </c>
      <c r="N31" s="562">
        <f>IF(N19="","",IF(N19=K11,K27,IF(N19=K27,K11,"Ошибка")))</f>
        <v>46</v>
      </c>
      <c r="O31" s="563" t="str">
        <f>IF(N31="","",VLOOKUP(N31,'Списки участников'!A:K,3,FALSE))</f>
        <v>МАТВЕЕВ Сергей</v>
      </c>
      <c r="P31" s="549"/>
      <c r="Q31" s="885" t="str">
        <f>CONCATENATE(J3+1," ","м")</f>
        <v>26 м</v>
      </c>
      <c r="R31" s="529"/>
      <c r="T31" s="533"/>
      <c r="V31" s="543"/>
      <c r="W31" s="530"/>
      <c r="Y31" s="530"/>
      <c r="AA31" s="533"/>
      <c r="AB31" s="564"/>
      <c r="AE31" s="530"/>
    </row>
    <row r="32" spans="1:32" ht="15" customHeight="1" x14ac:dyDescent="0.2">
      <c r="A32" s="550" t="s">
        <v>12</v>
      </c>
      <c r="B32" s="539"/>
      <c r="C32" s="540" t="str">
        <f>IF(B32="","",VLOOKUP(B32,'Списки участников'!A:K,3,FALSE))</f>
        <v/>
      </c>
      <c r="D32" s="549"/>
      <c r="E32" s="543"/>
      <c r="F32" s="552"/>
      <c r="G32" s="556"/>
      <c r="H32" s="537"/>
      <c r="I32" s="552" t="s">
        <v>2725</v>
      </c>
      <c r="K32" s="530"/>
      <c r="L32" s="552"/>
      <c r="M32" s="535"/>
      <c r="N32" s="535"/>
      <c r="O32" s="552"/>
      <c r="Q32" s="535"/>
      <c r="R32" s="533"/>
      <c r="S32" s="543"/>
      <c r="T32" s="530"/>
      <c r="W32" s="530"/>
      <c r="Y32" s="530"/>
      <c r="AB32" s="530"/>
      <c r="AC32" s="533"/>
      <c r="AD32" s="564"/>
      <c r="AE32" s="530"/>
      <c r="AF32" s="533"/>
    </row>
    <row r="33" spans="1:32" ht="15" customHeight="1" x14ac:dyDescent="0.2">
      <c r="B33" s="544"/>
      <c r="C33" s="554"/>
      <c r="D33" s="546" t="s">
        <v>22</v>
      </c>
      <c r="E33" s="547">
        <v>35</v>
      </c>
      <c r="F33" s="548" t="str">
        <f>IF(E33="","",VLOOKUP(E33,'Списки участников'!A:K,3,FALSE))</f>
        <v>ГРИШИН Иван</v>
      </c>
      <c r="G33" s="551"/>
      <c r="H33" s="537"/>
      <c r="I33" s="552"/>
      <c r="J33" s="549" t="s">
        <v>897</v>
      </c>
      <c r="K33" s="565">
        <f>IF(K11="","",IF(K11=H7,H15,IF(K11=H15,H7,"Ошибка")))</f>
        <v>50</v>
      </c>
      <c r="L33" s="563">
        <f>IF(K33="","",VLOOKUP(K33,'Списки участников'!A:K,3,FALSE))</f>
        <v>0</v>
      </c>
      <c r="M33" s="549"/>
      <c r="O33" s="552"/>
      <c r="Q33" s="535"/>
      <c r="R33" s="529"/>
      <c r="T33" s="530"/>
      <c r="W33" s="530"/>
      <c r="Y33" s="530"/>
      <c r="AA33" s="533"/>
      <c r="AB33" s="564"/>
      <c r="AE33" s="530"/>
    </row>
    <row r="34" spans="1:32" ht="15" customHeight="1" x14ac:dyDescent="0.2">
      <c r="A34" s="550" t="s">
        <v>29</v>
      </c>
      <c r="B34" s="539"/>
      <c r="C34" s="540" t="str">
        <f>IF(B34="","",VLOOKUP(B34,'Списки участников'!A:K,3,FALSE))</f>
        <v/>
      </c>
      <c r="D34" s="551"/>
      <c r="E34" s="537"/>
      <c r="F34" s="552"/>
      <c r="I34" s="530"/>
      <c r="K34" s="530"/>
      <c r="L34" s="552"/>
      <c r="M34" s="546" t="s">
        <v>29</v>
      </c>
      <c r="N34" s="559">
        <v>50</v>
      </c>
      <c r="O34" s="563">
        <f>IF(N34="","",VLOOKUP(N34,'Списки участников'!A:K,3,FALSE))</f>
        <v>0</v>
      </c>
      <c r="P34" s="549"/>
      <c r="Q34" s="885" t="str">
        <f>CONCATENATE(J3+2," ","м")</f>
        <v>27 м</v>
      </c>
      <c r="R34" s="529"/>
      <c r="T34" s="530"/>
      <c r="W34" s="530"/>
      <c r="X34" s="533"/>
      <c r="Y34" s="564"/>
      <c r="AB34" s="530"/>
      <c r="AC34" s="529"/>
      <c r="AD34" s="564"/>
      <c r="AE34" s="530"/>
      <c r="AF34" s="533"/>
    </row>
    <row r="35" spans="1:32" ht="15" customHeight="1" x14ac:dyDescent="0.2">
      <c r="E35" s="530"/>
      <c r="I35" s="530"/>
      <c r="J35" s="549" t="s">
        <v>900</v>
      </c>
      <c r="K35" s="565">
        <f>IF(K27="","",IF(K27=H23,H31,IF(K27=H31,H23,"Ошибка")))</f>
        <v>51</v>
      </c>
      <c r="L35" s="563">
        <f>IF(K35="","",VLOOKUP(K35,'Списки участников'!A:K,3,FALSE))</f>
        <v>0</v>
      </c>
      <c r="M35" s="551"/>
      <c r="O35" s="552" t="s">
        <v>2726</v>
      </c>
      <c r="Q35" s="972"/>
      <c r="R35" s="529"/>
      <c r="T35" s="530"/>
      <c r="W35" s="530"/>
      <c r="Y35" s="530"/>
      <c r="Z35" s="533"/>
      <c r="AB35" s="543"/>
      <c r="AE35" s="530"/>
    </row>
    <row r="36" spans="1:32" ht="15" customHeight="1" x14ac:dyDescent="0.2">
      <c r="E36" s="530"/>
      <c r="G36" s="549" t="s">
        <v>892</v>
      </c>
      <c r="H36" s="565">
        <v>34</v>
      </c>
      <c r="I36" s="563" t="str">
        <f>IF(H36="","",VLOOKUP(H36,'Списки участников'!A:K,3,FALSE))</f>
        <v>ТИНЬКОВ Александр</v>
      </c>
      <c r="J36" s="549"/>
      <c r="K36" s="530"/>
      <c r="L36" s="552"/>
      <c r="M36" s="536" t="s">
        <v>904</v>
      </c>
      <c r="N36" s="562">
        <f>IF(N34="","",IF(N34=K33,K35,IF(N34=K35,K33,"Ошибка")))</f>
        <v>51</v>
      </c>
      <c r="O36" s="563">
        <f>IF(N36="","",VLOOKUP(N36,'Списки участников'!A:K,3,FALSE))</f>
        <v>0</v>
      </c>
      <c r="P36" s="549"/>
      <c r="Q36" s="885" t="str">
        <f>CONCATENATE(J3+3," ","м")</f>
        <v>28 м</v>
      </c>
      <c r="R36" s="529"/>
      <c r="T36" s="530"/>
      <c r="W36" s="530"/>
      <c r="X36" s="533"/>
      <c r="Y36" s="564"/>
      <c r="AB36" s="530"/>
      <c r="AE36" s="530"/>
    </row>
    <row r="37" spans="1:32" ht="15" customHeight="1" x14ac:dyDescent="0.2">
      <c r="E37" s="530"/>
      <c r="I37" s="552"/>
      <c r="J37" s="546" t="s">
        <v>13</v>
      </c>
      <c r="K37" s="567">
        <v>34</v>
      </c>
      <c r="L37" s="563" t="str">
        <f>IF(K37="","",VLOOKUP(K37,'Списки участников'!A:K,3,FALSE))</f>
        <v>ТИНЬКОВ Александр</v>
      </c>
      <c r="M37" s="549"/>
      <c r="O37" s="552"/>
      <c r="Q37" s="972"/>
      <c r="R37" s="529"/>
      <c r="T37" s="530"/>
      <c r="W37" s="530"/>
      <c r="Y37" s="530"/>
      <c r="AB37" s="530"/>
      <c r="AC37" s="533"/>
      <c r="AD37" s="543"/>
      <c r="AE37" s="530"/>
      <c r="AF37" s="533"/>
    </row>
    <row r="38" spans="1:32" ht="15" customHeight="1" x14ac:dyDescent="0.2">
      <c r="E38" s="530"/>
      <c r="G38" s="549" t="s">
        <v>893</v>
      </c>
      <c r="H38" s="566">
        <f>IF(H15="","",IF(H15=E13,E17,IF(H15=E17,E13,"Ошибка")))</f>
        <v>41</v>
      </c>
      <c r="I38" s="563" t="str">
        <f>IF(H38="","",VLOOKUP(H38,'Списки участников'!A:K,3,FALSE))</f>
        <v>ГЛЕБОВ Игорь</v>
      </c>
      <c r="J38" s="551"/>
      <c r="K38" s="530"/>
      <c r="L38" s="552"/>
      <c r="M38" s="553"/>
      <c r="O38" s="552"/>
      <c r="Q38" s="972"/>
      <c r="R38" s="529"/>
      <c r="T38" s="530"/>
      <c r="W38" s="530"/>
      <c r="X38" s="533"/>
      <c r="Y38" s="564"/>
      <c r="AB38" s="530"/>
      <c r="AE38" s="530"/>
    </row>
    <row r="39" spans="1:32" ht="15" customHeight="1" x14ac:dyDescent="0.2">
      <c r="E39" s="530"/>
      <c r="I39" s="552"/>
      <c r="K39" s="530"/>
      <c r="L39" s="552"/>
      <c r="M39" s="557" t="s">
        <v>31</v>
      </c>
      <c r="N39" s="568">
        <v>34</v>
      </c>
      <c r="O39" s="563" t="str">
        <f>IF(N39="","",VLOOKUP(N39,'Списки участников'!A:K,3,FALSE))</f>
        <v>ТИНЬКОВ Александр</v>
      </c>
      <c r="P39" s="549"/>
      <c r="Q39" s="885" t="str">
        <f>CONCATENATE(J3+4," ","м")</f>
        <v>29 м</v>
      </c>
      <c r="R39" s="529"/>
      <c r="T39" s="530"/>
      <c r="W39" s="530"/>
      <c r="Y39" s="530"/>
      <c r="Z39" s="533"/>
      <c r="AB39" s="543"/>
      <c r="AE39" s="530"/>
    </row>
    <row r="40" spans="1:32" ht="15" customHeight="1" x14ac:dyDescent="0.2">
      <c r="E40" s="530"/>
      <c r="G40" s="549" t="s">
        <v>2</v>
      </c>
      <c r="H40" s="565">
        <f>IF(H23="","",IF(H23=E21,E25,IF(H23=E25,E21,"Ошибка")))</f>
        <v>22</v>
      </c>
      <c r="I40" s="563" t="str">
        <f>IF(H40="","",VLOOKUP(H40,'Списки участников'!A:K,3,FALSE))</f>
        <v>ГОГОЛЬ Александр</v>
      </c>
      <c r="J40" s="549"/>
      <c r="K40" s="530"/>
      <c r="L40" s="552"/>
      <c r="M40" s="556"/>
      <c r="O40" s="552" t="s">
        <v>2725</v>
      </c>
      <c r="Q40" s="972"/>
      <c r="R40" s="529"/>
      <c r="T40" s="530"/>
      <c r="W40" s="530"/>
      <c r="X40" s="533"/>
      <c r="Y40" s="564"/>
      <c r="AB40" s="530"/>
      <c r="AC40" s="529"/>
      <c r="AD40" s="560"/>
      <c r="AE40" s="530"/>
      <c r="AF40" s="533"/>
    </row>
    <row r="41" spans="1:32" ht="15" customHeight="1" x14ac:dyDescent="0.2">
      <c r="E41" s="530"/>
      <c r="I41" s="552"/>
      <c r="J41" s="546" t="s">
        <v>32</v>
      </c>
      <c r="K41" s="567">
        <v>35</v>
      </c>
      <c r="L41" s="563" t="str">
        <f>IF(K41="","",VLOOKUP(K41,'Списки участников'!A:K,3,FALSE))</f>
        <v>ГРИШИН Иван</v>
      </c>
      <c r="M41" s="551"/>
      <c r="O41" s="552"/>
      <c r="Q41" s="972"/>
      <c r="R41" s="529"/>
      <c r="T41" s="530"/>
      <c r="W41" s="530"/>
      <c r="Y41" s="530"/>
      <c r="AA41" s="533"/>
      <c r="AB41" s="564"/>
      <c r="AE41" s="530"/>
    </row>
    <row r="42" spans="1:32" ht="15" customHeight="1" x14ac:dyDescent="0.2">
      <c r="E42" s="530"/>
      <c r="G42" s="549" t="s">
        <v>895</v>
      </c>
      <c r="H42" s="565">
        <v>35</v>
      </c>
      <c r="I42" s="563" t="str">
        <f>IF(H42="","",VLOOKUP(H42,'Списки участников'!A:K,3,FALSE))</f>
        <v>ГРИШИН Иван</v>
      </c>
      <c r="J42" s="551"/>
      <c r="K42" s="530"/>
      <c r="L42" s="552"/>
      <c r="M42" s="536" t="s">
        <v>70</v>
      </c>
      <c r="N42" s="569">
        <f>IF(N39="","",IF(N39=K37,K41,IF(N39=K41,K37,"Ошибка")))</f>
        <v>35</v>
      </c>
      <c r="O42" s="563" t="str">
        <f>IF(N42="","",VLOOKUP(N42,'Списки участников'!A:K,3,FALSE))</f>
        <v>ГРИШИН Иван</v>
      </c>
      <c r="P42" s="549"/>
      <c r="Q42" s="885" t="str">
        <f>CONCATENATE(J3+5," ","м")</f>
        <v>30 м</v>
      </c>
      <c r="R42" s="529"/>
      <c r="T42" s="530"/>
      <c r="W42" s="530"/>
      <c r="Y42" s="530"/>
      <c r="AB42" s="530"/>
      <c r="AC42" s="533"/>
      <c r="AD42" s="564"/>
      <c r="AE42" s="530"/>
      <c r="AF42" s="533"/>
    </row>
    <row r="43" spans="1:32" ht="15" customHeight="1" x14ac:dyDescent="0.2">
      <c r="E43" s="530"/>
      <c r="I43" s="552"/>
      <c r="J43" s="570" t="s">
        <v>882</v>
      </c>
      <c r="K43" s="565">
        <v>41</v>
      </c>
      <c r="L43" s="563" t="str">
        <f>IF(K43="","",VLOOKUP(K43,'Списки участников'!A:K,3,FALSE))</f>
        <v>ГЛЕБОВ Игорь</v>
      </c>
      <c r="M43" s="549"/>
      <c r="O43" s="552"/>
      <c r="Q43" s="972"/>
      <c r="R43" s="529"/>
      <c r="T43" s="530"/>
      <c r="W43" s="530"/>
      <c r="Y43" s="530"/>
      <c r="AA43" s="533"/>
      <c r="AB43" s="564"/>
      <c r="AE43" s="530"/>
    </row>
    <row r="44" spans="1:32" ht="15" customHeight="1" x14ac:dyDescent="0.2">
      <c r="E44" s="530"/>
      <c r="I44" s="552"/>
      <c r="K44" s="530"/>
      <c r="L44" s="552"/>
      <c r="M44" s="546" t="s">
        <v>34</v>
      </c>
      <c r="N44" s="568">
        <v>41</v>
      </c>
      <c r="O44" s="563" t="str">
        <f>IF(N44="","",VLOOKUP(N44,'Списки участников'!A:K,3,FALSE))</f>
        <v>ГЛЕБОВ Игорь</v>
      </c>
      <c r="P44" s="549"/>
      <c r="Q44" s="885" t="str">
        <f>CONCATENATE(J3+6," ","м")</f>
        <v>31 м</v>
      </c>
      <c r="R44" s="529"/>
      <c r="T44" s="530"/>
      <c r="U44" s="533"/>
      <c r="V44" s="564"/>
      <c r="W44" s="530"/>
      <c r="Y44" s="530"/>
      <c r="AB44" s="530"/>
      <c r="AC44" s="529"/>
      <c r="AD44" s="560"/>
      <c r="AE44" s="530"/>
      <c r="AF44" s="533"/>
    </row>
    <row r="45" spans="1:32" ht="15" customHeight="1" x14ac:dyDescent="0.2">
      <c r="E45" s="530"/>
      <c r="I45" s="552"/>
      <c r="J45" s="535" t="s">
        <v>885</v>
      </c>
      <c r="K45" s="565">
        <v>22</v>
      </c>
      <c r="L45" s="563" t="str">
        <f>IF(K45="","",VLOOKUP(K45,'Списки участников'!A:K,3,FALSE))</f>
        <v>ГОГОЛЬ Александр</v>
      </c>
      <c r="M45" s="551"/>
      <c r="O45" s="552"/>
      <c r="Q45" s="972"/>
      <c r="R45" s="529"/>
      <c r="T45" s="530"/>
      <c r="W45" s="533"/>
      <c r="Y45" s="543"/>
      <c r="AB45" s="530"/>
      <c r="AE45" s="530"/>
    </row>
    <row r="46" spans="1:32" ht="15" customHeight="1" x14ac:dyDescent="0.2">
      <c r="D46" s="530"/>
      <c r="E46" s="971"/>
      <c r="F46" s="967" t="str">
        <f>IF(E46="","",VLOOKUP(E46,'Списки участников'!A:K,3,FALSE))</f>
        <v/>
      </c>
      <c r="G46" s="530"/>
      <c r="I46" s="552"/>
      <c r="K46" s="530"/>
      <c r="L46" s="552"/>
      <c r="M46" s="536" t="s">
        <v>888</v>
      </c>
      <c r="N46" s="569">
        <f>IF(N44="","",IF(N44=K43,K45,IF(N44=K45,K43,"Ошибка")))</f>
        <v>22</v>
      </c>
      <c r="O46" s="967" t="str">
        <f>IF(N46="","",VLOOKUP(N46,'Списки участников'!A:K,3,FALSE))</f>
        <v>ГОГОЛЬ Александр</v>
      </c>
      <c r="Q46" s="968" t="str">
        <f>CONCATENATE(J3+7," ","м")</f>
        <v>32 м</v>
      </c>
      <c r="R46" s="529"/>
      <c r="T46" s="530"/>
      <c r="U46" s="533"/>
      <c r="V46" s="564"/>
      <c r="W46" s="530"/>
      <c r="Y46" s="530"/>
      <c r="AB46" s="530"/>
      <c r="AE46" s="530"/>
    </row>
    <row r="47" spans="1:32" ht="15" customHeight="1" x14ac:dyDescent="0.2">
      <c r="C47" s="530"/>
      <c r="D47" s="530"/>
      <c r="E47" s="530"/>
      <c r="F47" s="552"/>
      <c r="G47" s="533"/>
      <c r="H47" s="1004"/>
      <c r="I47" s="967"/>
      <c r="J47" s="530"/>
      <c r="K47" s="530"/>
      <c r="L47" s="552"/>
      <c r="O47" s="552"/>
      <c r="Q47" s="973"/>
      <c r="R47" s="529"/>
      <c r="T47" s="530"/>
      <c r="W47" s="530"/>
      <c r="Y47" s="530"/>
      <c r="Z47" s="533"/>
      <c r="AB47" s="543"/>
      <c r="AE47" s="530"/>
    </row>
    <row r="48" spans="1:32" ht="15" customHeight="1" x14ac:dyDescent="0.2">
      <c r="C48" s="530"/>
      <c r="D48" s="530"/>
      <c r="E48" s="530"/>
      <c r="G48" s="530"/>
      <c r="I48" s="530"/>
      <c r="J48" s="530"/>
      <c r="K48" s="530"/>
      <c r="L48" s="552"/>
      <c r="M48" s="529"/>
      <c r="N48" s="1003"/>
      <c r="O48" s="967"/>
      <c r="Q48" s="968"/>
      <c r="R48" s="529"/>
      <c r="T48" s="530"/>
      <c r="W48" s="530"/>
      <c r="Y48" s="530"/>
      <c r="AB48" s="530"/>
      <c r="AE48" s="530"/>
    </row>
    <row r="49" spans="3:31" ht="10.35" customHeight="1" x14ac:dyDescent="0.2">
      <c r="H49" s="1145"/>
      <c r="I49" s="1145"/>
      <c r="J49" s="573"/>
      <c r="R49" s="529"/>
      <c r="T49" s="530"/>
      <c r="V49" s="574"/>
      <c r="W49" s="530"/>
      <c r="Y49" s="530"/>
      <c r="AB49" s="530"/>
      <c r="AE49" s="530"/>
    </row>
    <row r="50" spans="3:31" ht="14.25" customHeight="1" x14ac:dyDescent="0.2">
      <c r="C50" s="575" t="s">
        <v>760</v>
      </c>
      <c r="H50" s="1141"/>
      <c r="I50" s="1141"/>
      <c r="J50" s="1141"/>
      <c r="R50" s="529"/>
      <c r="T50" s="530"/>
      <c r="W50" s="530"/>
      <c r="Y50" s="530"/>
      <c r="AB50" s="530"/>
      <c r="AE50" s="530"/>
    </row>
    <row r="51" spans="3:31" ht="10.35" customHeight="1" x14ac:dyDescent="0.2">
      <c r="C51" s="552"/>
      <c r="J51" s="573"/>
      <c r="R51" s="530"/>
      <c r="T51" s="530"/>
      <c r="V51" s="574"/>
      <c r="W51" s="530"/>
      <c r="Y51" s="530"/>
      <c r="AB51" s="530"/>
      <c r="AE51" s="530"/>
    </row>
    <row r="52" spans="3:31" ht="15.75" customHeight="1" x14ac:dyDescent="0.2">
      <c r="C52" s="575" t="s">
        <v>761</v>
      </c>
      <c r="H52" s="1141"/>
      <c r="I52" s="1141"/>
      <c r="J52" s="1141"/>
      <c r="R52" s="530"/>
      <c r="T52" s="530"/>
      <c r="W52" s="530"/>
      <c r="Y52" s="530"/>
      <c r="AB52" s="530"/>
      <c r="AE52" s="530"/>
    </row>
    <row r="53" spans="3:31" ht="10.35" customHeight="1" x14ac:dyDescent="0.2">
      <c r="C53" s="530"/>
      <c r="R53" s="530"/>
      <c r="T53" s="530"/>
      <c r="W53" s="530"/>
      <c r="Y53" s="530"/>
      <c r="AB53" s="530"/>
      <c r="AE53" s="530"/>
    </row>
    <row r="54" spans="3:31" ht="10.35" customHeight="1" x14ac:dyDescent="0.2">
      <c r="R54" s="530"/>
      <c r="T54" s="530"/>
      <c r="W54" s="530"/>
      <c r="Y54" s="530"/>
      <c r="AB54" s="530"/>
      <c r="AE54" s="530"/>
    </row>
    <row r="55" spans="3:31" ht="10.35" customHeight="1" x14ac:dyDescent="0.2">
      <c r="R55" s="530"/>
      <c r="T55" s="530"/>
      <c r="W55" s="530"/>
      <c r="Y55" s="530"/>
      <c r="AB55" s="530"/>
      <c r="AE55" s="530"/>
    </row>
  </sheetData>
  <mergeCells count="7">
    <mergeCell ref="H52:J52"/>
    <mergeCell ref="A1:Q1"/>
    <mergeCell ref="A2:Q2"/>
    <mergeCell ref="A3:E3"/>
    <mergeCell ref="M3:Q3"/>
    <mergeCell ref="H49:I49"/>
    <mergeCell ref="H50:J50"/>
  </mergeCells>
  <pageMargins left="0.59055118110236227" right="0.59055118110236227" top="0" bottom="0.39370078740157483" header="0.39370078740157483" footer="0.51181102362204722"/>
  <pageSetup paperSize="9" scale="70" orientation="portrait" r:id="rId1"/>
  <headerFooter alignWithMargins="0">
    <oddHeader xml:space="preserve">&amp;R
</oddHeader>
  </headerFooter>
  <rowBreaks count="1" manualBreakCount="1">
    <brk id="53" max="15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Z55"/>
  <sheetViews>
    <sheetView view="pageBreakPreview" zoomScale="90" zoomScaleNormal="60" zoomScaleSheetLayoutView="90" workbookViewId="0">
      <selection activeCell="V5" sqref="V5"/>
    </sheetView>
  </sheetViews>
  <sheetFormatPr defaultColWidth="21.83203125" defaultRowHeight="10.35" customHeight="1" outlineLevelCol="1" x14ac:dyDescent="0.2"/>
  <cols>
    <col min="1" max="1" width="3.1640625" style="536" customWidth="1"/>
    <col min="2" max="2" width="4.33203125" style="536" hidden="1" customWidth="1" outlineLevel="1"/>
    <col min="3" max="3" width="25" style="535" customWidth="1" collapsed="1"/>
    <col min="4" max="4" width="3.1640625" style="535" customWidth="1"/>
    <col min="5" max="5" width="4.6640625" style="535" hidden="1" customWidth="1" outlineLevel="1"/>
    <col min="6" max="6" width="21.5" style="530" customWidth="1" collapsed="1"/>
    <col min="7" max="7" width="3.1640625" style="535" customWidth="1"/>
    <col min="8" max="8" width="5.6640625" style="530" hidden="1" customWidth="1" outlineLevel="1"/>
    <col min="9" max="9" width="21.5" style="535" customWidth="1" collapsed="1"/>
    <col min="10" max="10" width="3.1640625" style="535" customWidth="1"/>
    <col min="11" max="11" width="4.33203125" style="535" hidden="1" customWidth="1" outlineLevel="1"/>
    <col min="12" max="12" width="21.6640625" style="530" customWidth="1" collapsed="1"/>
    <col min="13" max="13" width="3.33203125" style="530" customWidth="1"/>
    <col min="14" max="14" width="5.33203125" style="530" hidden="1" customWidth="1" outlineLevel="1"/>
    <col min="15" max="15" width="21.5" style="535" customWidth="1" collapsed="1"/>
    <col min="16" max="16" width="3.83203125" style="530" customWidth="1"/>
    <col min="17" max="17" width="4.33203125" style="530" customWidth="1"/>
    <col min="18" max="18" width="3.1640625" style="535" customWidth="1"/>
    <col min="19" max="19" width="16" style="530" customWidth="1"/>
    <col min="20" max="20" width="3.1640625" style="535" customWidth="1"/>
    <col min="21" max="21" width="3.1640625" style="530" customWidth="1"/>
    <col min="22" max="22" width="16" style="530" customWidth="1"/>
    <col min="23" max="23" width="3.1640625" style="535" customWidth="1"/>
    <col min="24" max="24" width="3.1640625" style="530" customWidth="1"/>
    <col min="25" max="25" width="16" style="535" customWidth="1"/>
    <col min="26" max="27" width="3.1640625" style="530" customWidth="1"/>
    <col min="28" max="28" width="15.5" style="535" customWidth="1"/>
    <col min="29" max="29" width="3.1640625" style="530" customWidth="1"/>
    <col min="30" max="30" width="16.1640625" style="530" customWidth="1"/>
    <col min="31" max="31" width="3.1640625" style="535" customWidth="1"/>
    <col min="32" max="32" width="3.6640625" style="530" customWidth="1"/>
    <col min="33" max="33" width="21.83203125" style="530" customWidth="1"/>
    <col min="34" max="34" width="21.83203125" style="535" customWidth="1"/>
    <col min="35" max="36" width="21.83203125" style="530" customWidth="1"/>
    <col min="37" max="41" width="21.83203125" style="535" customWidth="1"/>
    <col min="42" max="43" width="21.83203125" style="530" customWidth="1"/>
    <col min="44" max="44" width="21.83203125" style="535" customWidth="1"/>
    <col min="45" max="46" width="21.83203125" style="530" customWidth="1"/>
    <col min="47" max="47" width="21.83203125" style="535" customWidth="1"/>
    <col min="48" max="49" width="21.83203125" style="530" customWidth="1"/>
    <col min="50" max="50" width="21.83203125" style="535" customWidth="1"/>
    <col min="51" max="52" width="21.83203125" style="530" customWidth="1"/>
    <col min="53" max="16384" width="21.83203125" style="535"/>
  </cols>
  <sheetData>
    <row r="1" spans="1:31" ht="48.75" customHeight="1" x14ac:dyDescent="0.2">
      <c r="A1" s="1429" t="str">
        <f>'Списки участников'!A1</f>
        <v xml:space="preserve">X Спартакиада
среди предприятий Нижегородской области ФСК "Профсоюзов",
под девизом "Будь спортивным - будь успешным!"
</v>
      </c>
      <c r="B1" s="1429"/>
      <c r="C1" s="1429"/>
      <c r="D1" s="1429"/>
      <c r="E1" s="1429"/>
      <c r="F1" s="1429"/>
      <c r="G1" s="1429"/>
      <c r="H1" s="1429"/>
      <c r="I1" s="1429"/>
      <c r="J1" s="1429"/>
      <c r="K1" s="1429"/>
      <c r="L1" s="1429"/>
      <c r="M1" s="1429"/>
      <c r="N1" s="1429"/>
      <c r="O1" s="1429"/>
      <c r="P1" s="1429"/>
      <c r="Q1" s="1429"/>
      <c r="R1" s="529"/>
      <c r="T1" s="530"/>
      <c r="W1" s="531"/>
      <c r="X1" s="532"/>
      <c r="Y1" s="533"/>
      <c r="AB1" s="530"/>
      <c r="AD1" s="534"/>
      <c r="AE1" s="530"/>
    </row>
    <row r="2" spans="1:31" ht="14.25" customHeight="1" x14ac:dyDescent="0.2">
      <c r="A2" s="1430"/>
      <c r="B2" s="1430"/>
      <c r="C2" s="1430"/>
      <c r="D2" s="1430"/>
      <c r="E2" s="1430"/>
      <c r="F2" s="1430"/>
      <c r="G2" s="1430"/>
      <c r="H2" s="1430"/>
      <c r="I2" s="1430"/>
      <c r="J2" s="1430"/>
      <c r="K2" s="1430"/>
      <c r="L2" s="1430"/>
      <c r="M2" s="1430"/>
      <c r="N2" s="1430"/>
      <c r="O2" s="1430"/>
      <c r="P2" s="1430"/>
      <c r="Q2" s="1430"/>
      <c r="R2" s="529"/>
      <c r="T2" s="530"/>
      <c r="W2" s="531"/>
      <c r="X2" s="532"/>
      <c r="Y2" s="533"/>
      <c r="AB2" s="530"/>
      <c r="AE2" s="530"/>
    </row>
    <row r="3" spans="1:31" ht="17.25" customHeight="1" x14ac:dyDescent="0.2">
      <c r="A3" s="1266" t="str">
        <f>'Списки участников'!C3</f>
        <v>22 октября 2016 г.</v>
      </c>
      <c r="B3" s="1266"/>
      <c r="C3" s="1266"/>
      <c r="D3" s="1266"/>
      <c r="E3" s="1266"/>
      <c r="I3" s="881" t="s">
        <v>2619</v>
      </c>
      <c r="J3" s="882" t="s">
        <v>24</v>
      </c>
      <c r="K3" s="883"/>
      <c r="L3" s="884" t="s">
        <v>2741</v>
      </c>
      <c r="M3" s="1266" t="str">
        <f>'Списки участников'!F3</f>
        <v xml:space="preserve">                                               г. Н. Новгород</v>
      </c>
      <c r="N3" s="1266"/>
      <c r="O3" s="1266"/>
      <c r="P3" s="1266"/>
      <c r="Q3" s="1266"/>
      <c r="R3" s="529"/>
      <c r="T3" s="530"/>
      <c r="W3" s="530"/>
      <c r="Y3" s="530"/>
      <c r="AB3" s="530"/>
      <c r="AE3" s="530"/>
    </row>
    <row r="4" spans="1:31" ht="15" customHeight="1" x14ac:dyDescent="0.2">
      <c r="A4" s="538">
        <v>1</v>
      </c>
      <c r="B4" s="539"/>
      <c r="C4" s="540" t="str">
        <f>IF(B4="","",VLOOKUP(B4,'Списки участников'!A:K,3,FALSE))</f>
        <v/>
      </c>
      <c r="E4" s="541"/>
      <c r="F4" s="535"/>
      <c r="G4" s="536"/>
      <c r="H4" s="536"/>
      <c r="I4" s="542"/>
      <c r="J4" s="536"/>
      <c r="K4" s="536"/>
      <c r="L4" s="535"/>
      <c r="M4" s="535"/>
      <c r="N4" s="535"/>
      <c r="P4" s="535"/>
      <c r="Q4" s="535"/>
      <c r="R4" s="533"/>
      <c r="S4" s="543"/>
      <c r="T4" s="530"/>
      <c r="W4" s="530"/>
      <c r="Y4" s="530"/>
      <c r="AB4" s="530"/>
      <c r="AE4" s="530"/>
    </row>
    <row r="5" spans="1:31" ht="15" customHeight="1" x14ac:dyDescent="0.2">
      <c r="B5" s="544"/>
      <c r="C5" s="545"/>
      <c r="D5" s="546" t="s">
        <v>10</v>
      </c>
      <c r="E5" s="547">
        <v>39</v>
      </c>
      <c r="F5" s="548" t="str">
        <f>IF(E5="","",VLOOKUP(E5,'Списки участников'!A:K,3,FALSE))</f>
        <v>ИСУПОВ Максим</v>
      </c>
      <c r="G5" s="549"/>
      <c r="I5" s="530"/>
      <c r="K5" s="530"/>
      <c r="M5" s="535"/>
      <c r="N5" s="535"/>
      <c r="O5" s="530"/>
      <c r="Q5" s="535"/>
      <c r="R5" s="529"/>
      <c r="T5" s="530"/>
      <c r="W5" s="533"/>
      <c r="Y5" s="537"/>
      <c r="AB5" s="530"/>
      <c r="AE5" s="530"/>
    </row>
    <row r="6" spans="1:31" ht="15" customHeight="1" x14ac:dyDescent="0.2">
      <c r="A6" s="550" t="s">
        <v>41</v>
      </c>
      <c r="B6" s="539"/>
      <c r="C6" s="540" t="str">
        <f>IF(B6="","",VLOOKUP(B6,'Списки участников'!A:K,3,FALSE))</f>
        <v/>
      </c>
      <c r="D6" s="551"/>
      <c r="E6" s="543"/>
      <c r="F6" s="552"/>
      <c r="G6" s="553"/>
      <c r="H6" s="537"/>
      <c r="I6" s="530"/>
      <c r="K6" s="530"/>
      <c r="M6" s="535"/>
      <c r="N6" s="535"/>
      <c r="O6" s="530"/>
      <c r="Q6" s="535"/>
      <c r="R6" s="533"/>
      <c r="S6" s="543"/>
      <c r="T6" s="530"/>
      <c r="W6" s="530"/>
      <c r="Y6" s="530"/>
      <c r="AB6" s="530"/>
      <c r="AE6" s="530"/>
    </row>
    <row r="7" spans="1:31" ht="15" customHeight="1" x14ac:dyDescent="0.2">
      <c r="B7" s="544"/>
      <c r="C7" s="554"/>
      <c r="E7" s="543"/>
      <c r="F7" s="552"/>
      <c r="G7" s="555">
        <v>9</v>
      </c>
      <c r="H7" s="547">
        <v>39</v>
      </c>
      <c r="I7" s="548" t="str">
        <f>IF(H7="","",VLOOKUP(H7,'Списки участников'!A:K,3,FALSE))</f>
        <v>ИСУПОВ Максим</v>
      </c>
      <c r="J7" s="549"/>
      <c r="K7" s="530"/>
      <c r="M7" s="535"/>
      <c r="N7" s="535"/>
      <c r="O7" s="530"/>
      <c r="Q7" s="535"/>
      <c r="R7" s="529"/>
      <c r="T7" s="533"/>
      <c r="V7" s="543"/>
      <c r="W7" s="530"/>
      <c r="Y7" s="530"/>
      <c r="AB7" s="530"/>
      <c r="AE7" s="530"/>
    </row>
    <row r="8" spans="1:31" ht="15" customHeight="1" x14ac:dyDescent="0.2">
      <c r="A8" s="550" t="s">
        <v>35</v>
      </c>
      <c r="B8" s="539"/>
      <c r="C8" s="540" t="str">
        <f>IF(B8="","",VLOOKUP(B8,'Списки участников'!A:K,3,FALSE))</f>
        <v/>
      </c>
      <c r="D8" s="549"/>
      <c r="E8" s="543"/>
      <c r="F8" s="552"/>
      <c r="G8" s="556"/>
      <c r="H8" s="537"/>
      <c r="I8" s="552"/>
      <c r="J8" s="553"/>
      <c r="K8" s="537"/>
      <c r="M8" s="535"/>
      <c r="N8" s="535"/>
      <c r="O8" s="530"/>
      <c r="Q8" s="535"/>
      <c r="R8" s="533"/>
      <c r="S8" s="543"/>
      <c r="T8" s="530"/>
      <c r="W8" s="530"/>
      <c r="Y8" s="530"/>
      <c r="AB8" s="530"/>
      <c r="AE8" s="530"/>
    </row>
    <row r="9" spans="1:31" ht="15" customHeight="1" x14ac:dyDescent="0.2">
      <c r="B9" s="544"/>
      <c r="C9" s="554"/>
      <c r="D9" s="546" t="s">
        <v>41</v>
      </c>
      <c r="E9" s="547">
        <v>60</v>
      </c>
      <c r="F9" s="548" t="str">
        <f>IF(E9="","",VLOOKUP(E9,'Списки участников'!A:K,3,FALSE))</f>
        <v xml:space="preserve"> Х</v>
      </c>
      <c r="G9" s="551"/>
      <c r="H9" s="537"/>
      <c r="I9" s="552"/>
      <c r="J9" s="556"/>
      <c r="K9" s="537"/>
      <c r="M9" s="535"/>
      <c r="N9" s="535"/>
      <c r="O9" s="530"/>
      <c r="Q9" s="535"/>
      <c r="R9" s="529"/>
      <c r="T9" s="530"/>
      <c r="W9" s="530"/>
      <c r="Y9" s="530"/>
      <c r="Z9" s="533"/>
      <c r="AB9" s="537"/>
      <c r="AE9" s="530"/>
    </row>
    <row r="10" spans="1:31" ht="15" customHeight="1" x14ac:dyDescent="0.2">
      <c r="A10" s="550" t="s">
        <v>15</v>
      </c>
      <c r="B10" s="539"/>
      <c r="C10" s="540" t="str">
        <f>IF(B10="","",VLOOKUP(B10,'Списки участников'!A:K,3,FALSE))</f>
        <v/>
      </c>
      <c r="D10" s="551"/>
      <c r="E10" s="543"/>
      <c r="F10" s="552"/>
      <c r="H10" s="537"/>
      <c r="I10" s="552"/>
      <c r="J10" s="556"/>
      <c r="K10" s="537"/>
      <c r="M10" s="535"/>
      <c r="N10" s="535"/>
      <c r="O10" s="530"/>
      <c r="Q10" s="535"/>
      <c r="R10" s="533"/>
      <c r="S10" s="543"/>
      <c r="T10" s="530"/>
      <c r="W10" s="530"/>
      <c r="Y10" s="530"/>
      <c r="AB10" s="530"/>
      <c r="AE10" s="530"/>
    </row>
    <row r="11" spans="1:31" ht="15" customHeight="1" x14ac:dyDescent="0.2">
      <c r="B11" s="544"/>
      <c r="C11" s="554"/>
      <c r="E11" s="543"/>
      <c r="F11" s="552"/>
      <c r="H11" s="537"/>
      <c r="I11" s="552"/>
      <c r="J11" s="557" t="s">
        <v>23</v>
      </c>
      <c r="K11" s="547">
        <v>19</v>
      </c>
      <c r="L11" s="548" t="str">
        <f>IF(K11="","",VLOOKUP(K11,'Списки участников'!A:K,3,FALSE))</f>
        <v>МАРКЕЛОВ Игорь</v>
      </c>
      <c r="M11" s="549"/>
      <c r="O11" s="530"/>
      <c r="Q11" s="535"/>
      <c r="R11" s="529"/>
      <c r="T11" s="533"/>
      <c r="V11" s="543"/>
      <c r="W11" s="530"/>
      <c r="Y11" s="530"/>
      <c r="AB11" s="530"/>
      <c r="AE11" s="530"/>
    </row>
    <row r="12" spans="1:31" ht="15" customHeight="1" x14ac:dyDescent="0.2">
      <c r="A12" s="550" t="s">
        <v>37</v>
      </c>
      <c r="B12" s="539"/>
      <c r="C12" s="540" t="str">
        <f>IF(B12="","",VLOOKUP(B12,'Списки участников'!A:K,3,FALSE))</f>
        <v/>
      </c>
      <c r="D12" s="549"/>
      <c r="E12" s="543"/>
      <c r="F12" s="552"/>
      <c r="H12" s="537"/>
      <c r="I12" s="552"/>
      <c r="J12" s="556"/>
      <c r="K12" s="537"/>
      <c r="L12" s="552" t="s">
        <v>2726</v>
      </c>
      <c r="M12" s="553"/>
      <c r="O12" s="530"/>
      <c r="Q12" s="535"/>
      <c r="R12" s="533"/>
      <c r="S12" s="543"/>
      <c r="T12" s="530"/>
      <c r="W12" s="530"/>
      <c r="Y12" s="530"/>
      <c r="AB12" s="530"/>
      <c r="AE12" s="530"/>
    </row>
    <row r="13" spans="1:31" ht="15" customHeight="1" x14ac:dyDescent="0.2">
      <c r="B13" s="544"/>
      <c r="C13" s="554"/>
      <c r="D13" s="546" t="s">
        <v>35</v>
      </c>
      <c r="E13" s="547">
        <v>19</v>
      </c>
      <c r="F13" s="548" t="str">
        <f>IF(E13="","",VLOOKUP(E13,'Списки участников'!A:K,3,FALSE))</f>
        <v>МАРКЕЛОВ Игорь</v>
      </c>
      <c r="G13" s="549"/>
      <c r="H13" s="537"/>
      <c r="I13" s="552"/>
      <c r="J13" s="556"/>
      <c r="K13" s="537"/>
      <c r="L13" s="552"/>
      <c r="M13" s="556"/>
      <c r="O13" s="530"/>
      <c r="Q13" s="535"/>
      <c r="R13" s="529"/>
      <c r="T13" s="530"/>
      <c r="W13" s="533"/>
      <c r="Y13" s="543"/>
      <c r="AB13" s="530"/>
      <c r="AE13" s="530"/>
    </row>
    <row r="14" spans="1:31" ht="15" customHeight="1" x14ac:dyDescent="0.2">
      <c r="A14" s="550" t="s">
        <v>42</v>
      </c>
      <c r="B14" s="539"/>
      <c r="C14" s="540" t="str">
        <f>IF(B14="","",VLOOKUP(B14,'Списки участников'!A:K,3,FALSE))</f>
        <v/>
      </c>
      <c r="D14" s="551"/>
      <c r="E14" s="543"/>
      <c r="F14" s="552"/>
      <c r="G14" s="553"/>
      <c r="H14" s="537"/>
      <c r="I14" s="552"/>
      <c r="J14" s="556"/>
      <c r="K14" s="537"/>
      <c r="L14" s="552"/>
      <c r="M14" s="556"/>
      <c r="O14" s="530"/>
      <c r="Q14" s="535"/>
      <c r="R14" s="533"/>
      <c r="S14" s="543"/>
      <c r="T14" s="530"/>
      <c r="W14" s="530"/>
      <c r="Y14" s="530"/>
      <c r="AB14" s="530"/>
      <c r="AE14" s="530"/>
    </row>
    <row r="15" spans="1:31" ht="15" customHeight="1" x14ac:dyDescent="0.2">
      <c r="B15" s="544"/>
      <c r="C15" s="554"/>
      <c r="E15" s="543"/>
      <c r="F15" s="552"/>
      <c r="G15" s="557" t="s">
        <v>30</v>
      </c>
      <c r="H15" s="547">
        <v>19</v>
      </c>
      <c r="I15" s="548" t="str">
        <f>IF(H15="","",VLOOKUP(H15,'Списки участников'!A:K,3,FALSE))</f>
        <v>МАРКЕЛОВ Игорь</v>
      </c>
      <c r="J15" s="551"/>
      <c r="K15" s="537"/>
      <c r="L15" s="552"/>
      <c r="M15" s="556"/>
      <c r="O15" s="530"/>
      <c r="Q15" s="535"/>
      <c r="R15" s="529"/>
      <c r="T15" s="533"/>
      <c r="V15" s="543"/>
      <c r="W15" s="530"/>
      <c r="Y15" s="530"/>
      <c r="AB15" s="530"/>
      <c r="AE15" s="530"/>
    </row>
    <row r="16" spans="1:31" ht="15" customHeight="1" x14ac:dyDescent="0.2">
      <c r="A16" s="550" t="s">
        <v>28</v>
      </c>
      <c r="B16" s="539"/>
      <c r="C16" s="540" t="str">
        <f>IF(B16="","",VLOOKUP(B16,'Списки участников'!A:K,3,FALSE))</f>
        <v/>
      </c>
      <c r="D16" s="549"/>
      <c r="E16" s="543"/>
      <c r="F16" s="552"/>
      <c r="G16" s="556"/>
      <c r="H16" s="537"/>
      <c r="I16" s="552" t="s">
        <v>2726</v>
      </c>
      <c r="K16" s="537"/>
      <c r="L16" s="552"/>
      <c r="M16" s="556"/>
      <c r="O16" s="530"/>
      <c r="Q16" s="535"/>
      <c r="R16" s="533"/>
      <c r="S16" s="543"/>
      <c r="T16" s="530"/>
      <c r="W16" s="530"/>
      <c r="Y16" s="530"/>
      <c r="AB16" s="530"/>
      <c r="AE16" s="530"/>
    </row>
    <row r="17" spans="1:32" ht="15" customHeight="1" x14ac:dyDescent="0.2">
      <c r="B17" s="544"/>
      <c r="C17" s="554"/>
      <c r="D17" s="546" t="s">
        <v>15</v>
      </c>
      <c r="E17" s="547">
        <v>42</v>
      </c>
      <c r="F17" s="548" t="str">
        <f>IF(E17="","",VLOOKUP(E17,'Списки участников'!A:K,3,FALSE))</f>
        <v>ПАНИН Сергей</v>
      </c>
      <c r="G17" s="551"/>
      <c r="H17" s="537"/>
      <c r="I17" s="552"/>
      <c r="K17" s="537"/>
      <c r="L17" s="552"/>
      <c r="M17" s="556"/>
      <c r="O17" s="530"/>
      <c r="Q17" s="535"/>
      <c r="R17" s="529"/>
      <c r="T17" s="530"/>
      <c r="W17" s="530"/>
      <c r="Y17" s="530"/>
      <c r="AB17" s="530"/>
      <c r="AC17" s="533"/>
      <c r="AD17" s="537"/>
      <c r="AE17" s="530"/>
      <c r="AF17" s="533"/>
    </row>
    <row r="18" spans="1:32" ht="15" customHeight="1" x14ac:dyDescent="0.2">
      <c r="A18" s="550" t="s">
        <v>22</v>
      </c>
      <c r="B18" s="539"/>
      <c r="C18" s="540" t="str">
        <f>IF(B18="","",VLOOKUP(B18,'Списки участников'!A:K,3,FALSE))</f>
        <v/>
      </c>
      <c r="D18" s="551"/>
      <c r="E18" s="543"/>
      <c r="F18" s="552"/>
      <c r="H18" s="537"/>
      <c r="I18" s="552"/>
      <c r="K18" s="537"/>
      <c r="L18" s="552"/>
      <c r="M18" s="556"/>
      <c r="O18" s="558"/>
      <c r="Q18" s="535"/>
      <c r="R18" s="533"/>
      <c r="S18" s="543"/>
      <c r="T18" s="530"/>
      <c r="W18" s="530"/>
      <c r="Y18" s="530"/>
      <c r="AB18" s="530"/>
      <c r="AE18" s="530"/>
    </row>
    <row r="19" spans="1:32" ht="15" customHeight="1" x14ac:dyDescent="0.2">
      <c r="B19" s="544"/>
      <c r="C19" s="554"/>
      <c r="E19" s="543"/>
      <c r="F19" s="552"/>
      <c r="H19" s="537"/>
      <c r="I19" s="552"/>
      <c r="K19" s="537"/>
      <c r="L19" s="552"/>
      <c r="M19" s="557" t="s">
        <v>12</v>
      </c>
      <c r="N19" s="559">
        <v>19</v>
      </c>
      <c r="O19" s="548" t="str">
        <f>IF(N19="","",VLOOKUP(N19,'Списки участников'!A:K,3,FALSE))</f>
        <v>МАРКЕЛОВ Игорь</v>
      </c>
      <c r="P19" s="549"/>
      <c r="Q19" s="885" t="str">
        <f>CONCATENATE(J3," ","м")</f>
        <v>33 м</v>
      </c>
      <c r="R19" s="529"/>
      <c r="T19" s="533"/>
      <c r="V19" s="543"/>
      <c r="W19" s="530"/>
      <c r="Y19" s="530"/>
      <c r="AB19" s="530"/>
      <c r="AE19" s="530"/>
    </row>
    <row r="20" spans="1:32" ht="15" customHeight="1" x14ac:dyDescent="0.2">
      <c r="A20" s="550" t="s">
        <v>38</v>
      </c>
      <c r="B20" s="539"/>
      <c r="C20" s="540" t="str">
        <f>IF(B20="","",VLOOKUP(B20,'Списки участников'!A:K,3,FALSE))</f>
        <v/>
      </c>
      <c r="D20" s="549"/>
      <c r="E20" s="543"/>
      <c r="F20" s="552"/>
      <c r="H20" s="537"/>
      <c r="I20" s="552"/>
      <c r="K20" s="537"/>
      <c r="L20" s="552"/>
      <c r="M20" s="556"/>
      <c r="O20" s="552" t="s">
        <v>2725</v>
      </c>
      <c r="Q20" s="535"/>
      <c r="R20" s="533"/>
      <c r="S20" s="543"/>
      <c r="T20" s="530"/>
      <c r="W20" s="530"/>
      <c r="Y20" s="530"/>
      <c r="AB20" s="530"/>
      <c r="AE20" s="530"/>
    </row>
    <row r="21" spans="1:32" ht="15" customHeight="1" x14ac:dyDescent="0.2">
      <c r="B21" s="544"/>
      <c r="C21" s="554"/>
      <c r="D21" s="546" t="s">
        <v>37</v>
      </c>
      <c r="E21" s="547">
        <v>15</v>
      </c>
      <c r="F21" s="548" t="str">
        <f>IF(E21="","",VLOOKUP(E21,'Списки участников'!A:K,3,FALSE))</f>
        <v>ГРАЧЕВ Дмитрий</v>
      </c>
      <c r="G21" s="549"/>
      <c r="H21" s="537"/>
      <c r="I21" s="552"/>
      <c r="K21" s="537"/>
      <c r="L21" s="552"/>
      <c r="M21" s="556"/>
      <c r="O21" s="552"/>
      <c r="Q21" s="535"/>
      <c r="R21" s="529"/>
      <c r="T21" s="530"/>
      <c r="W21" s="533"/>
      <c r="Y21" s="543"/>
      <c r="AB21" s="530"/>
      <c r="AE21" s="530"/>
    </row>
    <row r="22" spans="1:32" ht="15" customHeight="1" x14ac:dyDescent="0.2">
      <c r="A22" s="550" t="s">
        <v>30</v>
      </c>
      <c r="B22" s="539"/>
      <c r="C22" s="540" t="str">
        <f>IF(B22="","",VLOOKUP(B22,'Списки участников'!A:K,3,FALSE))</f>
        <v/>
      </c>
      <c r="D22" s="551"/>
      <c r="E22" s="543"/>
      <c r="F22" s="552"/>
      <c r="G22" s="553"/>
      <c r="H22" s="537"/>
      <c r="I22" s="552"/>
      <c r="K22" s="537"/>
      <c r="L22" s="552"/>
      <c r="M22" s="556"/>
      <c r="O22" s="552"/>
      <c r="Q22" s="535"/>
      <c r="R22" s="533"/>
      <c r="S22" s="543"/>
      <c r="T22" s="530"/>
      <c r="W22" s="530"/>
      <c r="Y22" s="530"/>
      <c r="AB22" s="530"/>
      <c r="AE22" s="530"/>
    </row>
    <row r="23" spans="1:32" ht="15" customHeight="1" x14ac:dyDescent="0.2">
      <c r="B23" s="544"/>
      <c r="C23" s="554"/>
      <c r="E23" s="543"/>
      <c r="F23" s="552"/>
      <c r="G23" s="557" t="s">
        <v>25</v>
      </c>
      <c r="H23" s="547">
        <v>23</v>
      </c>
      <c r="I23" s="548" t="str">
        <f>IF(H23="","",VLOOKUP(H23,'Списки участников'!A:K,3,FALSE))</f>
        <v>КОРНИЛАЕВ Михаил</v>
      </c>
      <c r="J23" s="549"/>
      <c r="K23" s="537"/>
      <c r="L23" s="552"/>
      <c r="M23" s="556"/>
      <c r="O23" s="552"/>
      <c r="Q23" s="535"/>
      <c r="R23" s="529"/>
      <c r="T23" s="533"/>
      <c r="V23" s="543"/>
      <c r="W23" s="530"/>
      <c r="Y23" s="530"/>
      <c r="AB23" s="530"/>
      <c r="AE23" s="530"/>
    </row>
    <row r="24" spans="1:32" ht="15" customHeight="1" x14ac:dyDescent="0.2">
      <c r="A24" s="550" t="s">
        <v>25</v>
      </c>
      <c r="B24" s="539"/>
      <c r="C24" s="540" t="str">
        <f>IF(B24="","",VLOOKUP(B24,'Списки участников'!A:K,3,FALSE))</f>
        <v/>
      </c>
      <c r="D24" s="549"/>
      <c r="E24" s="543"/>
      <c r="F24" s="552"/>
      <c r="G24" s="556"/>
      <c r="H24" s="537"/>
      <c r="I24" s="552" t="s">
        <v>2725</v>
      </c>
      <c r="J24" s="553"/>
      <c r="K24" s="537"/>
      <c r="L24" s="552"/>
      <c r="M24" s="556"/>
      <c r="O24" s="552"/>
      <c r="Q24" s="535"/>
      <c r="R24" s="533"/>
      <c r="S24" s="543"/>
      <c r="T24" s="530"/>
      <c r="W24" s="530"/>
      <c r="Y24" s="530"/>
      <c r="AB24" s="530"/>
      <c r="AE24" s="530"/>
    </row>
    <row r="25" spans="1:32" ht="15" customHeight="1" x14ac:dyDescent="0.2">
      <c r="B25" s="544"/>
      <c r="C25" s="554"/>
      <c r="D25" s="546" t="s">
        <v>42</v>
      </c>
      <c r="E25" s="547">
        <v>23</v>
      </c>
      <c r="F25" s="548" t="str">
        <f>IF(E25="","",VLOOKUP(E25,'Списки участников'!A:K,3,FALSE))</f>
        <v>КОРНИЛАЕВ Михаил</v>
      </c>
      <c r="G25" s="551"/>
      <c r="H25" s="537"/>
      <c r="I25" s="552"/>
      <c r="J25" s="556"/>
      <c r="K25" s="537"/>
      <c r="L25" s="552"/>
      <c r="M25" s="556"/>
      <c r="O25" s="552"/>
      <c r="Q25" s="535"/>
      <c r="R25" s="529"/>
      <c r="T25" s="530"/>
      <c r="W25" s="530"/>
      <c r="Y25" s="530"/>
      <c r="Z25" s="533"/>
      <c r="AB25" s="543"/>
      <c r="AE25" s="530"/>
    </row>
    <row r="26" spans="1:32" ht="15" customHeight="1" x14ac:dyDescent="0.2">
      <c r="A26" s="550" t="s">
        <v>17</v>
      </c>
      <c r="B26" s="539"/>
      <c r="C26" s="540" t="str">
        <f>IF(B26="","",VLOOKUP(B26,'Списки участников'!A:K,3,FALSE))</f>
        <v/>
      </c>
      <c r="D26" s="551"/>
      <c r="E26" s="543"/>
      <c r="F26" s="552"/>
      <c r="H26" s="537"/>
      <c r="I26" s="552"/>
      <c r="J26" s="556"/>
      <c r="K26" s="537"/>
      <c r="L26" s="552"/>
      <c r="M26" s="556"/>
      <c r="O26" s="552"/>
      <c r="Q26" s="535"/>
      <c r="R26" s="533"/>
      <c r="S26" s="543"/>
      <c r="T26" s="530"/>
      <c r="W26" s="530"/>
      <c r="Y26" s="530"/>
      <c r="AB26" s="530"/>
      <c r="AE26" s="530"/>
    </row>
    <row r="27" spans="1:32" ht="15" customHeight="1" x14ac:dyDescent="0.2">
      <c r="B27" s="544"/>
      <c r="C27" s="554"/>
      <c r="E27" s="543"/>
      <c r="F27" s="552"/>
      <c r="H27" s="537"/>
      <c r="I27" s="552"/>
      <c r="J27" s="557" t="s">
        <v>7</v>
      </c>
      <c r="K27" s="547">
        <v>27</v>
      </c>
      <c r="L27" s="548" t="str">
        <f>IF(K27="","",VLOOKUP(K27,'Списки участников'!A:K,3,FALSE))</f>
        <v>ФИЛЬЧУГОВ Геннадий</v>
      </c>
      <c r="M27" s="551"/>
      <c r="O27" s="552"/>
      <c r="Q27" s="535"/>
      <c r="R27" s="529"/>
      <c r="T27" s="533"/>
      <c r="V27" s="543"/>
      <c r="W27" s="530"/>
      <c r="Y27" s="530"/>
      <c r="AB27" s="530"/>
      <c r="AE27" s="530"/>
    </row>
    <row r="28" spans="1:32" ht="15" customHeight="1" x14ac:dyDescent="0.2">
      <c r="A28" s="550" t="s">
        <v>23</v>
      </c>
      <c r="B28" s="539"/>
      <c r="C28" s="540" t="str">
        <f>IF(B28="","",VLOOKUP(B28,'Списки участников'!A:K,3,FALSE))</f>
        <v/>
      </c>
      <c r="D28" s="549"/>
      <c r="E28" s="543"/>
      <c r="F28" s="552"/>
      <c r="H28" s="537"/>
      <c r="I28" s="552"/>
      <c r="J28" s="556"/>
      <c r="K28" s="537"/>
      <c r="L28" s="552" t="s">
        <v>2725</v>
      </c>
      <c r="M28" s="535"/>
      <c r="N28" s="535"/>
      <c r="O28" s="552"/>
      <c r="Q28" s="535"/>
      <c r="R28" s="533"/>
      <c r="S28" s="543"/>
      <c r="T28" s="530"/>
      <c r="W28" s="530"/>
      <c r="Y28" s="530"/>
      <c r="AB28" s="530"/>
      <c r="AE28" s="530"/>
    </row>
    <row r="29" spans="1:32" ht="15" customHeight="1" x14ac:dyDescent="0.2">
      <c r="B29" s="544"/>
      <c r="C29" s="554"/>
      <c r="D29" s="546" t="s">
        <v>28</v>
      </c>
      <c r="E29" s="547">
        <v>27</v>
      </c>
      <c r="F29" s="548" t="str">
        <f>IF(E29="","",VLOOKUP(E29,'Списки участников'!A:K,3,FALSE))</f>
        <v>ФИЛЬЧУГОВ Геннадий</v>
      </c>
      <c r="G29" s="549"/>
      <c r="H29" s="537"/>
      <c r="I29" s="552"/>
      <c r="J29" s="556"/>
      <c r="K29" s="537"/>
      <c r="L29" s="552"/>
      <c r="M29" s="535"/>
      <c r="N29" s="535"/>
      <c r="O29" s="552"/>
      <c r="Q29" s="535"/>
      <c r="R29" s="529"/>
      <c r="T29" s="530"/>
      <c r="W29" s="533"/>
      <c r="Y29" s="543"/>
      <c r="AB29" s="530"/>
      <c r="AC29" s="529"/>
      <c r="AD29" s="560"/>
      <c r="AE29" s="530"/>
      <c r="AF29" s="533"/>
    </row>
    <row r="30" spans="1:32" ht="15" customHeight="1" x14ac:dyDescent="0.2">
      <c r="A30" s="550" t="s">
        <v>7</v>
      </c>
      <c r="B30" s="539"/>
      <c r="C30" s="540" t="str">
        <f>IF(B30="","",VLOOKUP(B30,'Списки участников'!A:K,3,FALSE))</f>
        <v/>
      </c>
      <c r="D30" s="551"/>
      <c r="E30" s="543"/>
      <c r="F30" s="552"/>
      <c r="G30" s="553"/>
      <c r="H30" s="537"/>
      <c r="I30" s="561"/>
      <c r="J30" s="556"/>
      <c r="K30" s="537"/>
      <c r="M30" s="535"/>
      <c r="N30" s="535"/>
      <c r="O30" s="552"/>
      <c r="Q30" s="535"/>
      <c r="R30" s="533"/>
      <c r="S30" s="543"/>
      <c r="T30" s="530"/>
      <c r="W30" s="530"/>
      <c r="Y30" s="530"/>
      <c r="AB30" s="530"/>
      <c r="AE30" s="530"/>
    </row>
    <row r="31" spans="1:32" ht="15" customHeight="1" x14ac:dyDescent="0.2">
      <c r="B31" s="544"/>
      <c r="C31" s="554"/>
      <c r="E31" s="543"/>
      <c r="F31" s="552"/>
      <c r="G31" s="557" t="s">
        <v>17</v>
      </c>
      <c r="H31" s="547">
        <v>27</v>
      </c>
      <c r="I31" s="548" t="str">
        <f>IF(H31="","",VLOOKUP(H31,'Списки участников'!A:K,3,FALSE))</f>
        <v>ФИЛЬЧУГОВ Геннадий</v>
      </c>
      <c r="J31" s="551"/>
      <c r="K31" s="537"/>
      <c r="M31" s="536" t="s">
        <v>901</v>
      </c>
      <c r="N31" s="562">
        <f>IF(N19="","",IF(N19=K11,K27,IF(N19=K27,K11,"Ошибка")))</f>
        <v>27</v>
      </c>
      <c r="O31" s="563" t="str">
        <f>IF(N31="","",VLOOKUP(N31,'Списки участников'!A:K,3,FALSE))</f>
        <v>ФИЛЬЧУГОВ Геннадий</v>
      </c>
      <c r="P31" s="549"/>
      <c r="Q31" s="885" t="str">
        <f>CONCATENATE(J3+1," ","м")</f>
        <v>34 м</v>
      </c>
      <c r="R31" s="529"/>
      <c r="T31" s="533"/>
      <c r="V31" s="543"/>
      <c r="W31" s="530"/>
      <c r="Y31" s="530"/>
      <c r="AA31" s="533"/>
      <c r="AB31" s="564"/>
      <c r="AE31" s="530"/>
    </row>
    <row r="32" spans="1:32" ht="15" customHeight="1" x14ac:dyDescent="0.2">
      <c r="A32" s="550" t="s">
        <v>12</v>
      </c>
      <c r="B32" s="539"/>
      <c r="C32" s="540" t="str">
        <f>IF(B32="","",VLOOKUP(B32,'Списки участников'!A:K,3,FALSE))</f>
        <v/>
      </c>
      <c r="D32" s="549"/>
      <c r="E32" s="543"/>
      <c r="F32" s="552"/>
      <c r="G32" s="556"/>
      <c r="H32" s="537"/>
      <c r="I32" s="552" t="s">
        <v>2725</v>
      </c>
      <c r="K32" s="530"/>
      <c r="L32" s="552"/>
      <c r="M32" s="535"/>
      <c r="N32" s="535"/>
      <c r="O32" s="552"/>
      <c r="Q32" s="535"/>
      <c r="R32" s="533"/>
      <c r="S32" s="543"/>
      <c r="T32" s="530"/>
      <c r="W32" s="530"/>
      <c r="Y32" s="530"/>
      <c r="AB32" s="530"/>
      <c r="AC32" s="533"/>
      <c r="AD32" s="564"/>
      <c r="AE32" s="530"/>
      <c r="AF32" s="533"/>
    </row>
    <row r="33" spans="1:32" ht="15" customHeight="1" x14ac:dyDescent="0.2">
      <c r="B33" s="544"/>
      <c r="C33" s="554"/>
      <c r="D33" s="546" t="s">
        <v>22</v>
      </c>
      <c r="E33" s="547">
        <v>43</v>
      </c>
      <c r="F33" s="548" t="str">
        <f>IF(E33="","",VLOOKUP(E33,'Списки участников'!A:K,3,FALSE))</f>
        <v>ЕСЬКИН Михаил</v>
      </c>
      <c r="G33" s="551"/>
      <c r="H33" s="537"/>
      <c r="I33" s="552"/>
      <c r="J33" s="549" t="s">
        <v>897</v>
      </c>
      <c r="K33" s="565">
        <f>IF(K11="","",IF(K11=H7,H15,IF(K11=H15,H7,"Ошибка")))</f>
        <v>39</v>
      </c>
      <c r="L33" s="563" t="str">
        <f>IF(K33="","",VLOOKUP(K33,'Списки участников'!A:K,3,FALSE))</f>
        <v>ИСУПОВ Максим</v>
      </c>
      <c r="M33" s="549"/>
      <c r="O33" s="552"/>
      <c r="Q33" s="535"/>
      <c r="R33" s="529"/>
      <c r="T33" s="530"/>
      <c r="W33" s="530"/>
      <c r="Y33" s="530"/>
      <c r="AA33" s="533"/>
      <c r="AB33" s="564"/>
      <c r="AE33" s="530"/>
    </row>
    <row r="34" spans="1:32" ht="15" customHeight="1" x14ac:dyDescent="0.2">
      <c r="A34" s="550" t="s">
        <v>29</v>
      </c>
      <c r="B34" s="539"/>
      <c r="C34" s="540" t="str">
        <f>IF(B34="","",VLOOKUP(B34,'Списки участников'!A:K,3,FALSE))</f>
        <v/>
      </c>
      <c r="D34" s="551"/>
      <c r="E34" s="537"/>
      <c r="F34" s="552"/>
      <c r="I34" s="530"/>
      <c r="K34" s="530"/>
      <c r="L34" s="552"/>
      <c r="M34" s="546" t="s">
        <v>29</v>
      </c>
      <c r="N34" s="559">
        <v>39</v>
      </c>
      <c r="O34" s="563" t="str">
        <f>IF(N34="","",VLOOKUP(N34,'Списки участников'!A:K,3,FALSE))</f>
        <v>ИСУПОВ Максим</v>
      </c>
      <c r="P34" s="549"/>
      <c r="Q34" s="885" t="str">
        <f>CONCATENATE(J3+2," ","м")</f>
        <v>35 м</v>
      </c>
      <c r="R34" s="529"/>
      <c r="T34" s="530"/>
      <c r="W34" s="530"/>
      <c r="X34" s="533"/>
      <c r="Y34" s="564"/>
      <c r="AB34" s="530"/>
      <c r="AC34" s="529"/>
      <c r="AD34" s="564"/>
      <c r="AE34" s="530"/>
      <c r="AF34" s="533"/>
    </row>
    <row r="35" spans="1:32" ht="15" customHeight="1" x14ac:dyDescent="0.2">
      <c r="E35" s="530"/>
      <c r="I35" s="530"/>
      <c r="J35" s="549" t="s">
        <v>900</v>
      </c>
      <c r="K35" s="565">
        <f>IF(K27="","",IF(K27=H23,H31,IF(K27=H31,H23,"Ошибка")))</f>
        <v>23</v>
      </c>
      <c r="L35" s="563" t="str">
        <f>IF(K35="","",VLOOKUP(K35,'Списки участников'!A:K,3,FALSE))</f>
        <v>КОРНИЛАЕВ Михаил</v>
      </c>
      <c r="M35" s="551"/>
      <c r="O35" s="552" t="s">
        <v>2726</v>
      </c>
      <c r="Q35" s="972"/>
      <c r="R35" s="529"/>
      <c r="T35" s="530"/>
      <c r="W35" s="530"/>
      <c r="Y35" s="530"/>
      <c r="Z35" s="533"/>
      <c r="AB35" s="543"/>
      <c r="AE35" s="530"/>
    </row>
    <row r="36" spans="1:32" ht="15" customHeight="1" x14ac:dyDescent="0.2">
      <c r="E36" s="530"/>
      <c r="G36" s="549" t="s">
        <v>892</v>
      </c>
      <c r="H36" s="565">
        <v>60</v>
      </c>
      <c r="I36" s="563" t="str">
        <f>IF(H36="","",VLOOKUP(H36,'Списки участников'!A:K,3,FALSE))</f>
        <v xml:space="preserve"> Х</v>
      </c>
      <c r="J36" s="549"/>
      <c r="K36" s="530"/>
      <c r="L36" s="552"/>
      <c r="M36" s="536" t="s">
        <v>904</v>
      </c>
      <c r="N36" s="562">
        <f>IF(N34="","",IF(N34=K33,K35,IF(N34=K35,K33,"Ошибка")))</f>
        <v>23</v>
      </c>
      <c r="O36" s="563" t="str">
        <f>IF(N36="","",VLOOKUP(N36,'Списки участников'!A:K,3,FALSE))</f>
        <v>КОРНИЛАЕВ Михаил</v>
      </c>
      <c r="P36" s="549"/>
      <c r="Q36" s="885" t="str">
        <f>CONCATENATE(J3+3," ","м")</f>
        <v>36 м</v>
      </c>
      <c r="R36" s="529"/>
      <c r="T36" s="530"/>
      <c r="W36" s="530"/>
      <c r="X36" s="533"/>
      <c r="Y36" s="564"/>
      <c r="AB36" s="530"/>
      <c r="AE36" s="530"/>
    </row>
    <row r="37" spans="1:32" ht="15" customHeight="1" x14ac:dyDescent="0.2">
      <c r="E37" s="530"/>
      <c r="I37" s="552"/>
      <c r="J37" s="546" t="s">
        <v>13</v>
      </c>
      <c r="K37" s="567">
        <v>42</v>
      </c>
      <c r="L37" s="563" t="str">
        <f>IF(K37="","",VLOOKUP(K37,'Списки участников'!A:K,3,FALSE))</f>
        <v>ПАНИН Сергей</v>
      </c>
      <c r="M37" s="549"/>
      <c r="O37" s="552"/>
      <c r="Q37" s="972"/>
      <c r="R37" s="529"/>
      <c r="T37" s="530"/>
      <c r="W37" s="530"/>
      <c r="Y37" s="530"/>
      <c r="AB37" s="530"/>
      <c r="AC37" s="533"/>
      <c r="AD37" s="543"/>
      <c r="AE37" s="530"/>
      <c r="AF37" s="533"/>
    </row>
    <row r="38" spans="1:32" ht="15" customHeight="1" x14ac:dyDescent="0.2">
      <c r="E38" s="530"/>
      <c r="G38" s="549" t="s">
        <v>893</v>
      </c>
      <c r="H38" s="566">
        <f>IF(H15="","",IF(H15=E13,E17,IF(H15=E17,E13,"Ошибка")))</f>
        <v>42</v>
      </c>
      <c r="I38" s="563" t="str">
        <f>IF(H38="","",VLOOKUP(H38,'Списки участников'!A:K,3,FALSE))</f>
        <v>ПАНИН Сергей</v>
      </c>
      <c r="J38" s="551"/>
      <c r="K38" s="530"/>
      <c r="L38" s="552"/>
      <c r="M38" s="553"/>
      <c r="O38" s="552"/>
      <c r="Q38" s="972"/>
      <c r="R38" s="529"/>
      <c r="T38" s="530"/>
      <c r="W38" s="530"/>
      <c r="X38" s="533"/>
      <c r="Y38" s="564"/>
      <c r="AB38" s="530"/>
      <c r="AE38" s="530"/>
    </row>
    <row r="39" spans="1:32" ht="15" customHeight="1" x14ac:dyDescent="0.2">
      <c r="E39" s="530"/>
      <c r="I39" s="552"/>
      <c r="K39" s="530"/>
      <c r="L39" s="552"/>
      <c r="M39" s="557" t="s">
        <v>31</v>
      </c>
      <c r="N39" s="568">
        <v>43</v>
      </c>
      <c r="O39" s="563" t="str">
        <f>IF(N39="","",VLOOKUP(N39,'Списки участников'!A:K,3,FALSE))</f>
        <v>ЕСЬКИН Михаил</v>
      </c>
      <c r="P39" s="549"/>
      <c r="Q39" s="885" t="str">
        <f>CONCATENATE(J3+4," ","м")</f>
        <v>37 м</v>
      </c>
      <c r="R39" s="529"/>
      <c r="T39" s="530"/>
      <c r="W39" s="530"/>
      <c r="Y39" s="530"/>
      <c r="Z39" s="533"/>
      <c r="AB39" s="543"/>
      <c r="AE39" s="530"/>
    </row>
    <row r="40" spans="1:32" ht="15" customHeight="1" x14ac:dyDescent="0.2">
      <c r="E40" s="530"/>
      <c r="G40" s="549" t="s">
        <v>2</v>
      </c>
      <c r="H40" s="565">
        <f>IF(H23="","",IF(H23=E21,E25,IF(H23=E25,E21,"Ошибка")))</f>
        <v>15</v>
      </c>
      <c r="I40" s="563" t="str">
        <f>IF(H40="","",VLOOKUP(H40,'Списки участников'!A:K,3,FALSE))</f>
        <v>ГРАЧЕВ Дмитрий</v>
      </c>
      <c r="J40" s="549"/>
      <c r="K40" s="530"/>
      <c r="L40" s="552"/>
      <c r="M40" s="556"/>
      <c r="O40" s="552" t="s">
        <v>2725</v>
      </c>
      <c r="Q40" s="972"/>
      <c r="R40" s="529"/>
      <c r="T40" s="530"/>
      <c r="W40" s="530"/>
      <c r="X40" s="533"/>
      <c r="Y40" s="564"/>
      <c r="AB40" s="530"/>
      <c r="AC40" s="529"/>
      <c r="AD40" s="560"/>
      <c r="AE40" s="530"/>
      <c r="AF40" s="533"/>
    </row>
    <row r="41" spans="1:32" ht="15" customHeight="1" x14ac:dyDescent="0.2">
      <c r="E41" s="530"/>
      <c r="I41" s="552"/>
      <c r="J41" s="546" t="s">
        <v>32</v>
      </c>
      <c r="K41" s="567">
        <v>43</v>
      </c>
      <c r="L41" s="563" t="str">
        <f>IF(K41="","",VLOOKUP(K41,'Списки участников'!A:K,3,FALSE))</f>
        <v>ЕСЬКИН Михаил</v>
      </c>
      <c r="M41" s="551"/>
      <c r="O41" s="552"/>
      <c r="Q41" s="972"/>
      <c r="R41" s="529"/>
      <c r="T41" s="530"/>
      <c r="W41" s="530"/>
      <c r="Y41" s="530"/>
      <c r="AA41" s="533"/>
      <c r="AB41" s="564"/>
      <c r="AE41" s="530"/>
    </row>
    <row r="42" spans="1:32" ht="15" customHeight="1" x14ac:dyDescent="0.2">
      <c r="E42" s="530"/>
      <c r="G42" s="549" t="s">
        <v>895</v>
      </c>
      <c r="H42" s="565">
        <v>43</v>
      </c>
      <c r="I42" s="563" t="str">
        <f>IF(H42="","",VLOOKUP(H42,'Списки участников'!A:K,3,FALSE))</f>
        <v>ЕСЬКИН Михаил</v>
      </c>
      <c r="J42" s="551"/>
      <c r="K42" s="530"/>
      <c r="L42" s="552"/>
      <c r="M42" s="536" t="s">
        <v>70</v>
      </c>
      <c r="N42" s="569">
        <f>IF(N39="","",IF(N39=K37,K41,IF(N39=K41,K37,"Ошибка")))</f>
        <v>42</v>
      </c>
      <c r="O42" s="563" t="str">
        <f>IF(N42="","",VLOOKUP(N42,'Списки участников'!A:K,3,FALSE))</f>
        <v>ПАНИН Сергей</v>
      </c>
      <c r="P42" s="549"/>
      <c r="Q42" s="885" t="str">
        <f>CONCATENATE(J3+5," ","м")</f>
        <v>38 м</v>
      </c>
      <c r="R42" s="529"/>
      <c r="T42" s="530"/>
      <c r="W42" s="530"/>
      <c r="Y42" s="530"/>
      <c r="AB42" s="530"/>
      <c r="AC42" s="533"/>
      <c r="AD42" s="564"/>
      <c r="AE42" s="530"/>
      <c r="AF42" s="533"/>
    </row>
    <row r="43" spans="1:32" ht="15" customHeight="1" x14ac:dyDescent="0.2">
      <c r="E43" s="530"/>
      <c r="I43" s="552"/>
      <c r="J43" s="570" t="s">
        <v>882</v>
      </c>
      <c r="K43" s="565">
        <v>60</v>
      </c>
      <c r="L43" s="563" t="str">
        <f>IF(K43="","",VLOOKUP(K43,'Списки участников'!A:K,3,FALSE))</f>
        <v xml:space="preserve"> Х</v>
      </c>
      <c r="M43" s="549"/>
      <c r="O43" s="552"/>
      <c r="Q43" s="972"/>
      <c r="R43" s="529"/>
      <c r="T43" s="530"/>
      <c r="W43" s="530"/>
      <c r="Y43" s="530"/>
      <c r="AA43" s="533"/>
      <c r="AB43" s="564"/>
      <c r="AE43" s="530"/>
    </row>
    <row r="44" spans="1:32" ht="15" customHeight="1" x14ac:dyDescent="0.2">
      <c r="E44" s="530"/>
      <c r="I44" s="552"/>
      <c r="K44" s="530"/>
      <c r="L44" s="552"/>
      <c r="M44" s="546" t="s">
        <v>34</v>
      </c>
      <c r="N44" s="568">
        <v>15</v>
      </c>
      <c r="O44" s="563" t="str">
        <f>IF(N44="","",VLOOKUP(N44,'Списки участников'!A:K,3,FALSE))</f>
        <v>ГРАЧЕВ Дмитрий</v>
      </c>
      <c r="P44" s="549"/>
      <c r="Q44" s="885" t="str">
        <f>CONCATENATE(J3+6," ","м")</f>
        <v>39 м</v>
      </c>
      <c r="R44" s="529"/>
      <c r="T44" s="530"/>
      <c r="U44" s="533"/>
      <c r="V44" s="564"/>
      <c r="W44" s="530"/>
      <c r="Y44" s="530"/>
      <c r="AB44" s="530"/>
      <c r="AC44" s="529"/>
      <c r="AD44" s="560"/>
      <c r="AE44" s="530"/>
      <c r="AF44" s="533"/>
    </row>
    <row r="45" spans="1:32" ht="15" customHeight="1" x14ac:dyDescent="0.2">
      <c r="E45" s="530"/>
      <c r="I45" s="552"/>
      <c r="J45" s="535" t="s">
        <v>885</v>
      </c>
      <c r="K45" s="565">
        <v>15</v>
      </c>
      <c r="L45" s="563" t="str">
        <f>IF(K45="","",VLOOKUP(K45,'Списки участников'!A:K,3,FALSE))</f>
        <v>ГРАЧЕВ Дмитрий</v>
      </c>
      <c r="M45" s="551"/>
      <c r="O45" s="552"/>
      <c r="Q45" s="972"/>
      <c r="R45" s="529"/>
      <c r="T45" s="530"/>
      <c r="W45" s="533"/>
      <c r="Y45" s="543"/>
      <c r="AB45" s="530"/>
      <c r="AE45" s="530"/>
    </row>
    <row r="46" spans="1:32" ht="15" customHeight="1" x14ac:dyDescent="0.2">
      <c r="D46" s="530"/>
      <c r="E46" s="971"/>
      <c r="F46" s="967" t="str">
        <f>IF(E46="","",VLOOKUP(E46,'Списки участников'!A:K,3,FALSE))</f>
        <v/>
      </c>
      <c r="G46" s="530"/>
      <c r="I46" s="552"/>
      <c r="K46" s="530"/>
      <c r="L46" s="552"/>
      <c r="M46" s="536" t="s">
        <v>888</v>
      </c>
      <c r="N46" s="569">
        <f>IF(N44="","",IF(N44=K43,K45,IF(N44=K45,K43,"Ошибка")))</f>
        <v>60</v>
      </c>
      <c r="O46" s="967" t="str">
        <f>IF(N46="","",VLOOKUP(N46,'Списки участников'!A:K,3,FALSE))</f>
        <v xml:space="preserve"> Х</v>
      </c>
      <c r="Q46" s="968" t="str">
        <f>CONCATENATE(J3+7," ","м")</f>
        <v>40 м</v>
      </c>
      <c r="R46" s="529"/>
      <c r="T46" s="530"/>
      <c r="U46" s="533"/>
      <c r="V46" s="564"/>
      <c r="W46" s="530"/>
      <c r="Y46" s="530"/>
      <c r="AB46" s="530"/>
      <c r="AE46" s="530"/>
    </row>
    <row r="47" spans="1:32" ht="15" customHeight="1" x14ac:dyDescent="0.2">
      <c r="C47" s="530"/>
      <c r="D47" s="530"/>
      <c r="E47" s="530"/>
      <c r="F47" s="552"/>
      <c r="G47" s="533"/>
      <c r="H47" s="1004"/>
      <c r="I47" s="967"/>
      <c r="J47" s="530"/>
      <c r="K47" s="530"/>
      <c r="L47" s="552"/>
      <c r="O47" s="552"/>
      <c r="Q47" s="973"/>
      <c r="R47" s="529"/>
      <c r="T47" s="530"/>
      <c r="W47" s="530"/>
      <c r="Y47" s="530"/>
      <c r="Z47" s="533"/>
      <c r="AB47" s="543"/>
      <c r="AE47" s="530"/>
    </row>
    <row r="48" spans="1:32" ht="15" customHeight="1" x14ac:dyDescent="0.2">
      <c r="C48" s="530"/>
      <c r="D48" s="530"/>
      <c r="E48" s="530"/>
      <c r="G48" s="530"/>
      <c r="I48" s="530"/>
      <c r="J48" s="530"/>
      <c r="K48" s="530"/>
      <c r="L48" s="552"/>
      <c r="M48" s="529"/>
      <c r="N48" s="1003"/>
      <c r="O48" s="967"/>
      <c r="Q48" s="968"/>
      <c r="R48" s="529"/>
      <c r="T48" s="530"/>
      <c r="W48" s="530"/>
      <c r="Y48" s="530"/>
      <c r="AB48" s="530"/>
      <c r="AE48" s="530"/>
    </row>
    <row r="49" spans="3:31" ht="10.35" customHeight="1" x14ac:dyDescent="0.2">
      <c r="H49" s="1145"/>
      <c r="I49" s="1145"/>
      <c r="J49" s="573"/>
      <c r="R49" s="529"/>
      <c r="T49" s="530"/>
      <c r="V49" s="574"/>
      <c r="W49" s="530"/>
      <c r="Y49" s="530"/>
      <c r="AB49" s="530"/>
      <c r="AE49" s="530"/>
    </row>
    <row r="50" spans="3:31" ht="14.25" customHeight="1" x14ac:dyDescent="0.2">
      <c r="C50" s="575" t="s">
        <v>760</v>
      </c>
      <c r="H50" s="1141"/>
      <c r="I50" s="1141"/>
      <c r="J50" s="1141"/>
      <c r="R50" s="529"/>
      <c r="T50" s="530"/>
      <c r="W50" s="530"/>
      <c r="Y50" s="530"/>
      <c r="AB50" s="530"/>
      <c r="AE50" s="530"/>
    </row>
    <row r="51" spans="3:31" ht="10.35" customHeight="1" x14ac:dyDescent="0.2">
      <c r="C51" s="552"/>
      <c r="J51" s="573"/>
      <c r="R51" s="530"/>
      <c r="T51" s="530"/>
      <c r="V51" s="574"/>
      <c r="W51" s="530"/>
      <c r="Y51" s="530"/>
      <c r="AB51" s="530"/>
      <c r="AE51" s="530"/>
    </row>
    <row r="52" spans="3:31" ht="15.75" customHeight="1" x14ac:dyDescent="0.2">
      <c r="C52" s="575" t="s">
        <v>761</v>
      </c>
      <c r="H52" s="1141"/>
      <c r="I52" s="1141"/>
      <c r="J52" s="1141"/>
      <c r="R52" s="530"/>
      <c r="T52" s="530"/>
      <c r="W52" s="530"/>
      <c r="Y52" s="530"/>
      <c r="AB52" s="530"/>
      <c r="AE52" s="530"/>
    </row>
    <row r="53" spans="3:31" ht="10.35" customHeight="1" x14ac:dyDescent="0.2">
      <c r="C53" s="530"/>
      <c r="R53" s="530"/>
      <c r="T53" s="530"/>
      <c r="W53" s="530"/>
      <c r="Y53" s="530"/>
      <c r="AB53" s="530"/>
      <c r="AE53" s="530"/>
    </row>
    <row r="54" spans="3:31" ht="10.35" customHeight="1" x14ac:dyDescent="0.2">
      <c r="R54" s="530"/>
      <c r="T54" s="530"/>
      <c r="W54" s="530"/>
      <c r="Y54" s="530"/>
      <c r="AB54" s="530"/>
      <c r="AE54" s="530"/>
    </row>
    <row r="55" spans="3:31" ht="10.35" customHeight="1" x14ac:dyDescent="0.2">
      <c r="R55" s="530"/>
      <c r="T55" s="530"/>
      <c r="W55" s="530"/>
      <c r="Y55" s="530"/>
      <c r="AB55" s="530"/>
      <c r="AE55" s="530"/>
    </row>
  </sheetData>
  <mergeCells count="7">
    <mergeCell ref="H52:J52"/>
    <mergeCell ref="A1:Q1"/>
    <mergeCell ref="A2:Q2"/>
    <mergeCell ref="A3:E3"/>
    <mergeCell ref="M3:Q3"/>
    <mergeCell ref="H49:I49"/>
    <mergeCell ref="H50:J50"/>
  </mergeCells>
  <pageMargins left="0.59055118110236227" right="0.59055118110236227" top="0" bottom="0.39370078740157483" header="0.39370078740157483" footer="0.51181102362204722"/>
  <pageSetup paperSize="9" scale="70" orientation="portrait" r:id="rId1"/>
  <headerFooter alignWithMargins="0">
    <oddHeader xml:space="preserve">&amp;R
</oddHeader>
  </headerFooter>
  <rowBreaks count="1" manualBreakCount="1">
    <brk id="53" max="15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Z55"/>
  <sheetViews>
    <sheetView view="pageBreakPreview" zoomScale="90" zoomScaleNormal="60" zoomScaleSheetLayoutView="90" workbookViewId="0">
      <selection activeCell="W10" sqref="W10"/>
    </sheetView>
  </sheetViews>
  <sheetFormatPr defaultColWidth="21.83203125" defaultRowHeight="10.35" customHeight="1" outlineLevelCol="1" x14ac:dyDescent="0.2"/>
  <cols>
    <col min="1" max="1" width="3.1640625" style="536" customWidth="1"/>
    <col min="2" max="2" width="4.33203125" style="536" hidden="1" customWidth="1" outlineLevel="1"/>
    <col min="3" max="3" width="25" style="535" customWidth="1" collapsed="1"/>
    <col min="4" max="4" width="3.1640625" style="535" customWidth="1"/>
    <col min="5" max="5" width="4.6640625" style="535" hidden="1" customWidth="1" outlineLevel="1"/>
    <col min="6" max="6" width="21.5" style="530" customWidth="1" collapsed="1"/>
    <col min="7" max="7" width="3.1640625" style="535" customWidth="1"/>
    <col min="8" max="8" width="5.6640625" style="530" hidden="1" customWidth="1" outlineLevel="1"/>
    <col min="9" max="9" width="21.5" style="535" customWidth="1" collapsed="1"/>
    <col min="10" max="10" width="3.1640625" style="535" customWidth="1"/>
    <col min="11" max="11" width="4.33203125" style="535" hidden="1" customWidth="1" outlineLevel="1"/>
    <col min="12" max="12" width="21.6640625" style="530" customWidth="1" collapsed="1"/>
    <col min="13" max="13" width="3.33203125" style="530" customWidth="1"/>
    <col min="14" max="14" width="5.33203125" style="530" hidden="1" customWidth="1" outlineLevel="1"/>
    <col min="15" max="15" width="21.5" style="535" customWidth="1" collapsed="1"/>
    <col min="16" max="16" width="3.83203125" style="530" customWidth="1"/>
    <col min="17" max="17" width="4.33203125" style="530" customWidth="1"/>
    <col min="18" max="18" width="3.1640625" style="535" customWidth="1"/>
    <col min="19" max="19" width="16" style="530" customWidth="1"/>
    <col min="20" max="20" width="3.1640625" style="535" customWidth="1"/>
    <col min="21" max="21" width="3.1640625" style="530" customWidth="1"/>
    <col min="22" max="22" width="16" style="530" customWidth="1"/>
    <col min="23" max="23" width="3.1640625" style="535" customWidth="1"/>
    <col min="24" max="24" width="3.1640625" style="530" customWidth="1"/>
    <col min="25" max="25" width="16" style="535" customWidth="1"/>
    <col min="26" max="27" width="3.1640625" style="530" customWidth="1"/>
    <col min="28" max="28" width="15.5" style="535" customWidth="1"/>
    <col min="29" max="29" width="3.1640625" style="530" customWidth="1"/>
    <col min="30" max="30" width="16.1640625" style="530" customWidth="1"/>
    <col min="31" max="31" width="3.1640625" style="535" customWidth="1"/>
    <col min="32" max="32" width="3.6640625" style="530" customWidth="1"/>
    <col min="33" max="33" width="21.83203125" style="530" customWidth="1"/>
    <col min="34" max="34" width="21.83203125" style="535" customWidth="1"/>
    <col min="35" max="36" width="21.83203125" style="530" customWidth="1"/>
    <col min="37" max="41" width="21.83203125" style="535" customWidth="1"/>
    <col min="42" max="43" width="21.83203125" style="530" customWidth="1"/>
    <col min="44" max="44" width="21.83203125" style="535" customWidth="1"/>
    <col min="45" max="46" width="21.83203125" style="530" customWidth="1"/>
    <col min="47" max="47" width="21.83203125" style="535" customWidth="1"/>
    <col min="48" max="49" width="21.83203125" style="530" customWidth="1"/>
    <col min="50" max="50" width="21.83203125" style="535" customWidth="1"/>
    <col min="51" max="52" width="21.83203125" style="530" customWidth="1"/>
    <col min="53" max="16384" width="21.83203125" style="535"/>
  </cols>
  <sheetData>
    <row r="1" spans="1:31" ht="48" customHeight="1" x14ac:dyDescent="0.2">
      <c r="A1" s="1429" t="str">
        <f>'Списки участников'!A1</f>
        <v xml:space="preserve">X Спартакиада
среди предприятий Нижегородской области ФСК "Профсоюзов",
под девизом "Будь спортивным - будь успешным!"
</v>
      </c>
      <c r="B1" s="1429"/>
      <c r="C1" s="1429"/>
      <c r="D1" s="1429"/>
      <c r="E1" s="1429"/>
      <c r="F1" s="1429"/>
      <c r="G1" s="1429"/>
      <c r="H1" s="1429"/>
      <c r="I1" s="1429"/>
      <c r="J1" s="1429"/>
      <c r="K1" s="1429"/>
      <c r="L1" s="1429"/>
      <c r="M1" s="1429"/>
      <c r="N1" s="1429"/>
      <c r="O1" s="1429"/>
      <c r="P1" s="1429"/>
      <c r="Q1" s="1429"/>
      <c r="R1" s="529"/>
      <c r="T1" s="530"/>
      <c r="W1" s="531"/>
      <c r="X1" s="532"/>
      <c r="Y1" s="533"/>
      <c r="AB1" s="530"/>
      <c r="AD1" s="534"/>
      <c r="AE1" s="530"/>
    </row>
    <row r="2" spans="1:31" ht="14.25" customHeight="1" x14ac:dyDescent="0.2">
      <c r="A2" s="1265"/>
      <c r="B2" s="1265"/>
      <c r="C2" s="1265"/>
      <c r="D2" s="1265"/>
      <c r="E2" s="1265"/>
      <c r="F2" s="1265"/>
      <c r="G2" s="1265"/>
      <c r="H2" s="1265"/>
      <c r="I2" s="1265"/>
      <c r="J2" s="1265"/>
      <c r="K2" s="1265"/>
      <c r="L2" s="1265"/>
      <c r="M2" s="1265"/>
      <c r="N2" s="1265"/>
      <c r="O2" s="1265"/>
      <c r="P2" s="1265"/>
      <c r="Q2" s="1265"/>
      <c r="R2" s="529"/>
      <c r="T2" s="530"/>
      <c r="W2" s="531"/>
      <c r="X2" s="532"/>
      <c r="Y2" s="533"/>
      <c r="AB2" s="530"/>
      <c r="AE2" s="530"/>
    </row>
    <row r="3" spans="1:31" ht="17.25" customHeight="1" x14ac:dyDescent="0.2">
      <c r="A3" s="1266" t="str">
        <f>'Списки участников'!C3</f>
        <v>22 октября 2016 г.</v>
      </c>
      <c r="B3" s="1266"/>
      <c r="C3" s="1266"/>
      <c r="D3" s="1266"/>
      <c r="E3" s="1266"/>
      <c r="I3" s="881" t="s">
        <v>2622</v>
      </c>
      <c r="J3" s="882" t="s">
        <v>10</v>
      </c>
      <c r="K3" s="883"/>
      <c r="L3" s="884" t="s">
        <v>2735</v>
      </c>
      <c r="M3" s="1266" t="str">
        <f>'Списки участников'!F3</f>
        <v xml:space="preserve">                                               г. Н. Новгород</v>
      </c>
      <c r="N3" s="1266"/>
      <c r="O3" s="1266"/>
      <c r="P3" s="1266"/>
      <c r="Q3" s="1266"/>
      <c r="R3" s="529"/>
      <c r="T3" s="530"/>
      <c r="W3" s="530"/>
      <c r="Y3" s="530"/>
      <c r="AB3" s="530"/>
      <c r="AE3" s="530"/>
    </row>
    <row r="4" spans="1:31" ht="15" customHeight="1" x14ac:dyDescent="0.2">
      <c r="A4" s="538">
        <v>1</v>
      </c>
      <c r="B4" s="539"/>
      <c r="C4" s="540" t="str">
        <f>IF(B4="","",VLOOKUP(B4,'Списки участников'!A:K,3,FALSE))</f>
        <v/>
      </c>
      <c r="E4" s="541"/>
      <c r="F4" s="535"/>
      <c r="G4" s="536"/>
      <c r="H4" s="536"/>
      <c r="I4" s="542"/>
      <c r="J4" s="536"/>
      <c r="K4" s="536"/>
      <c r="L4" s="535"/>
      <c r="M4" s="535"/>
      <c r="N4" s="535"/>
      <c r="P4" s="535"/>
      <c r="Q4" s="535"/>
      <c r="R4" s="533"/>
      <c r="S4" s="543"/>
      <c r="T4" s="530"/>
      <c r="W4" s="530"/>
      <c r="Y4" s="530"/>
      <c r="AB4" s="530"/>
      <c r="AE4" s="530"/>
    </row>
    <row r="5" spans="1:31" ht="15" customHeight="1" x14ac:dyDescent="0.2">
      <c r="B5" s="544"/>
      <c r="C5" s="545"/>
      <c r="D5" s="546" t="s">
        <v>10</v>
      </c>
      <c r="E5" s="547">
        <v>32</v>
      </c>
      <c r="F5" s="548" t="str">
        <f>IF(E5="","",VLOOKUP(E5,'Списки участников'!A:K,3,FALSE))</f>
        <v>РОЖЕНКОВА Наталья</v>
      </c>
      <c r="G5" s="549"/>
      <c r="I5" s="530"/>
      <c r="K5" s="530"/>
      <c r="M5" s="535"/>
      <c r="N5" s="535"/>
      <c r="O5" s="530"/>
      <c r="Q5" s="535"/>
      <c r="R5" s="529"/>
      <c r="T5" s="530"/>
      <c r="W5" s="533"/>
      <c r="Y5" s="537"/>
      <c r="AB5" s="530"/>
      <c r="AE5" s="530"/>
    </row>
    <row r="6" spans="1:31" ht="15" customHeight="1" x14ac:dyDescent="0.2">
      <c r="A6" s="550" t="s">
        <v>41</v>
      </c>
      <c r="B6" s="539"/>
      <c r="C6" s="540" t="str">
        <f>IF(B6="","",VLOOKUP(B6,'Списки участников'!A:K,3,FALSE))</f>
        <v/>
      </c>
      <c r="D6" s="551"/>
      <c r="E6" s="543"/>
      <c r="F6" s="552"/>
      <c r="G6" s="553"/>
      <c r="H6" s="537"/>
      <c r="I6" s="530"/>
      <c r="K6" s="530"/>
      <c r="M6" s="535"/>
      <c r="N6" s="535"/>
      <c r="O6" s="530"/>
      <c r="Q6" s="535"/>
      <c r="R6" s="533"/>
      <c r="S6" s="543"/>
      <c r="T6" s="530"/>
      <c r="W6" s="530"/>
      <c r="Y6" s="530"/>
      <c r="AB6" s="530"/>
      <c r="AE6" s="530"/>
    </row>
    <row r="7" spans="1:31" ht="15" customHeight="1" x14ac:dyDescent="0.2">
      <c r="B7" s="544"/>
      <c r="C7" s="554"/>
      <c r="E7" s="543"/>
      <c r="F7" s="552"/>
      <c r="G7" s="555">
        <v>9</v>
      </c>
      <c r="H7" s="547">
        <v>32</v>
      </c>
      <c r="I7" s="548" t="str">
        <f>IF(H7="","",VLOOKUP(H7,'Списки участников'!A:K,3,FALSE))</f>
        <v>РОЖЕНКОВА Наталья</v>
      </c>
      <c r="J7" s="549"/>
      <c r="K7" s="530"/>
      <c r="M7" s="535"/>
      <c r="N7" s="535"/>
      <c r="O7" s="530"/>
      <c r="Q7" s="535"/>
      <c r="R7" s="529"/>
      <c r="T7" s="533"/>
      <c r="V7" s="543"/>
      <c r="W7" s="530"/>
      <c r="Y7" s="530"/>
      <c r="AB7" s="530"/>
      <c r="AE7" s="530"/>
    </row>
    <row r="8" spans="1:31" ht="15" customHeight="1" x14ac:dyDescent="0.2">
      <c r="A8" s="550" t="s">
        <v>35</v>
      </c>
      <c r="B8" s="539"/>
      <c r="C8" s="540" t="str">
        <f>IF(B8="","",VLOOKUP(B8,'Списки участников'!A:K,3,FALSE))</f>
        <v/>
      </c>
      <c r="D8" s="549"/>
      <c r="E8" s="543"/>
      <c r="F8" s="552"/>
      <c r="G8" s="556"/>
      <c r="H8" s="537"/>
      <c r="I8" s="552" t="s">
        <v>2725</v>
      </c>
      <c r="J8" s="553"/>
      <c r="K8" s="537"/>
      <c r="M8" s="535"/>
      <c r="N8" s="535"/>
      <c r="O8" s="530"/>
      <c r="Q8" s="535"/>
      <c r="R8" s="533"/>
      <c r="S8" s="543"/>
      <c r="T8" s="530"/>
      <c r="W8" s="530"/>
      <c r="Y8" s="530"/>
      <c r="AB8" s="530"/>
      <c r="AE8" s="530"/>
    </row>
    <row r="9" spans="1:31" ht="15" customHeight="1" x14ac:dyDescent="0.2">
      <c r="B9" s="544"/>
      <c r="C9" s="554"/>
      <c r="D9" s="546" t="s">
        <v>41</v>
      </c>
      <c r="E9" s="547">
        <v>8</v>
      </c>
      <c r="F9" s="548" t="str">
        <f>IF(E9="","",VLOOKUP(E9,'Списки участников'!A:K,3,FALSE))</f>
        <v>ЧЕРТОВА Ольга</v>
      </c>
      <c r="G9" s="551"/>
      <c r="H9" s="537"/>
      <c r="I9" s="552"/>
      <c r="J9" s="556"/>
      <c r="K9" s="537"/>
      <c r="M9" s="535"/>
      <c r="N9" s="535"/>
      <c r="O9" s="530"/>
      <c r="Q9" s="535"/>
      <c r="R9" s="529"/>
      <c r="T9" s="530"/>
      <c r="W9" s="530"/>
      <c r="Y9" s="530"/>
      <c r="Z9" s="533"/>
      <c r="AB9" s="537"/>
      <c r="AE9" s="530"/>
    </row>
    <row r="10" spans="1:31" ht="15" customHeight="1" x14ac:dyDescent="0.2">
      <c r="A10" s="550" t="s">
        <v>15</v>
      </c>
      <c r="B10" s="539"/>
      <c r="C10" s="540" t="str">
        <f>IF(B10="","",VLOOKUP(B10,'Списки участников'!A:K,3,FALSE))</f>
        <v/>
      </c>
      <c r="D10" s="551"/>
      <c r="E10" s="543"/>
      <c r="F10" s="552"/>
      <c r="H10" s="537"/>
      <c r="I10" s="552"/>
      <c r="J10" s="556"/>
      <c r="K10" s="537"/>
      <c r="M10" s="535"/>
      <c r="N10" s="535"/>
      <c r="O10" s="530"/>
      <c r="Q10" s="535"/>
      <c r="R10" s="533"/>
      <c r="S10" s="543"/>
      <c r="T10" s="530"/>
      <c r="W10" s="530"/>
      <c r="Y10" s="530"/>
      <c r="AB10" s="530"/>
      <c r="AE10" s="530"/>
    </row>
    <row r="11" spans="1:31" ht="15" customHeight="1" x14ac:dyDescent="0.2">
      <c r="B11" s="544"/>
      <c r="C11" s="554"/>
      <c r="E11" s="543"/>
      <c r="F11" s="552"/>
      <c r="H11" s="537"/>
      <c r="I11" s="552"/>
      <c r="J11" s="557" t="s">
        <v>23</v>
      </c>
      <c r="K11" s="547">
        <v>32</v>
      </c>
      <c r="L11" s="548" t="str">
        <f>IF(K11="","",VLOOKUP(K11,'Списки участников'!A:K,3,FALSE))</f>
        <v>РОЖЕНКОВА Наталья</v>
      </c>
      <c r="M11" s="549"/>
      <c r="O11" s="530"/>
      <c r="Q11" s="535"/>
      <c r="R11" s="529"/>
      <c r="T11" s="533"/>
      <c r="V11" s="543"/>
      <c r="W11" s="530"/>
      <c r="Y11" s="530"/>
      <c r="AB11" s="530"/>
      <c r="AE11" s="530"/>
    </row>
    <row r="12" spans="1:31" ht="15" customHeight="1" x14ac:dyDescent="0.2">
      <c r="A12" s="550" t="s">
        <v>37</v>
      </c>
      <c r="B12" s="539"/>
      <c r="C12" s="540" t="str">
        <f>IF(B12="","",VLOOKUP(B12,'Списки участников'!A:K,3,FALSE))</f>
        <v/>
      </c>
      <c r="D12" s="549"/>
      <c r="E12" s="543"/>
      <c r="F12" s="552"/>
      <c r="H12" s="537"/>
      <c r="I12" s="552"/>
      <c r="J12" s="556"/>
      <c r="K12" s="537"/>
      <c r="L12" s="552" t="s">
        <v>2726</v>
      </c>
      <c r="M12" s="553"/>
      <c r="O12" s="530"/>
      <c r="Q12" s="535"/>
      <c r="R12" s="533"/>
      <c r="S12" s="543"/>
      <c r="T12" s="530"/>
      <c r="W12" s="530"/>
      <c r="Y12" s="530"/>
      <c r="AB12" s="530"/>
      <c r="AE12" s="530"/>
    </row>
    <row r="13" spans="1:31" ht="15" customHeight="1" x14ac:dyDescent="0.2">
      <c r="B13" s="544"/>
      <c r="C13" s="554"/>
      <c r="D13" s="546" t="s">
        <v>35</v>
      </c>
      <c r="E13" s="547">
        <v>36</v>
      </c>
      <c r="F13" s="548" t="str">
        <f>IF(E13="","",VLOOKUP(E13,'Списки участников'!A:K,3,FALSE))</f>
        <v>ТКАЧЕНКО Светлана</v>
      </c>
      <c r="G13" s="549"/>
      <c r="H13" s="537"/>
      <c r="I13" s="552"/>
      <c r="J13" s="556"/>
      <c r="K13" s="537"/>
      <c r="L13" s="552"/>
      <c r="M13" s="556"/>
      <c r="O13" s="530"/>
      <c r="Q13" s="535"/>
      <c r="R13" s="529"/>
      <c r="T13" s="530"/>
      <c r="W13" s="533"/>
      <c r="Y13" s="543"/>
      <c r="AB13" s="530"/>
      <c r="AE13" s="530"/>
    </row>
    <row r="14" spans="1:31" ht="15" customHeight="1" x14ac:dyDescent="0.2">
      <c r="A14" s="550" t="s">
        <v>42</v>
      </c>
      <c r="B14" s="539"/>
      <c r="C14" s="540" t="str">
        <f>IF(B14="","",VLOOKUP(B14,'Списки участников'!A:K,3,FALSE))</f>
        <v/>
      </c>
      <c r="D14" s="551"/>
      <c r="E14" s="543"/>
      <c r="F14" s="552"/>
      <c r="G14" s="553"/>
      <c r="H14" s="537"/>
      <c r="I14" s="552"/>
      <c r="J14" s="556"/>
      <c r="K14" s="537"/>
      <c r="L14" s="552"/>
      <c r="M14" s="556"/>
      <c r="O14" s="530"/>
      <c r="Q14" s="535"/>
      <c r="R14" s="533"/>
      <c r="S14" s="543"/>
      <c r="T14" s="530"/>
      <c r="W14" s="530"/>
      <c r="Y14" s="530"/>
      <c r="AB14" s="530"/>
      <c r="AE14" s="530"/>
    </row>
    <row r="15" spans="1:31" ht="15" customHeight="1" x14ac:dyDescent="0.2">
      <c r="B15" s="544"/>
      <c r="C15" s="554"/>
      <c r="E15" s="543"/>
      <c r="F15" s="552"/>
      <c r="G15" s="557" t="s">
        <v>30</v>
      </c>
      <c r="H15" s="547">
        <v>12</v>
      </c>
      <c r="I15" s="548" t="str">
        <f>IF(H15="","",VLOOKUP(H15,'Списки участников'!A:K,3,FALSE))</f>
        <v>АКИМОВА Марина</v>
      </c>
      <c r="J15" s="551"/>
      <c r="K15" s="537"/>
      <c r="L15" s="552"/>
      <c r="M15" s="556"/>
      <c r="O15" s="530"/>
      <c r="Q15" s="535"/>
      <c r="R15" s="529"/>
      <c r="T15" s="533"/>
      <c r="V15" s="543"/>
      <c r="W15" s="530"/>
      <c r="Y15" s="530"/>
      <c r="AB15" s="530"/>
      <c r="AE15" s="530"/>
    </row>
    <row r="16" spans="1:31" ht="15" customHeight="1" x14ac:dyDescent="0.2">
      <c r="A16" s="550" t="s">
        <v>28</v>
      </c>
      <c r="B16" s="539"/>
      <c r="C16" s="540" t="str">
        <f>IF(B16="","",VLOOKUP(B16,'Списки участников'!A:K,3,FALSE))</f>
        <v/>
      </c>
      <c r="D16" s="549"/>
      <c r="E16" s="543"/>
      <c r="F16" s="552"/>
      <c r="G16" s="556"/>
      <c r="H16" s="537"/>
      <c r="I16" s="552" t="s">
        <v>2726</v>
      </c>
      <c r="K16" s="537"/>
      <c r="L16" s="552"/>
      <c r="M16" s="556"/>
      <c r="O16" s="530"/>
      <c r="Q16" s="535"/>
      <c r="R16" s="533"/>
      <c r="S16" s="543"/>
      <c r="T16" s="530"/>
      <c r="W16" s="530"/>
      <c r="Y16" s="530"/>
      <c r="AB16" s="530"/>
      <c r="AE16" s="530"/>
    </row>
    <row r="17" spans="1:32" ht="15" customHeight="1" x14ac:dyDescent="0.2">
      <c r="B17" s="544"/>
      <c r="C17" s="554"/>
      <c r="D17" s="546" t="s">
        <v>15</v>
      </c>
      <c r="E17" s="547">
        <v>12</v>
      </c>
      <c r="F17" s="548" t="str">
        <f>IF(E17="","",VLOOKUP(E17,'Списки участников'!A:K,3,FALSE))</f>
        <v>АКИМОВА Марина</v>
      </c>
      <c r="G17" s="551"/>
      <c r="H17" s="537"/>
      <c r="I17" s="552"/>
      <c r="K17" s="537"/>
      <c r="L17" s="552"/>
      <c r="M17" s="556"/>
      <c r="O17" s="530"/>
      <c r="Q17" s="535"/>
      <c r="R17" s="529"/>
      <c r="T17" s="530"/>
      <c r="W17" s="530"/>
      <c r="Y17" s="530"/>
      <c r="AB17" s="530"/>
      <c r="AC17" s="533"/>
      <c r="AD17" s="537"/>
      <c r="AE17" s="530"/>
      <c r="AF17" s="533"/>
    </row>
    <row r="18" spans="1:32" ht="15" customHeight="1" x14ac:dyDescent="0.2">
      <c r="A18" s="550" t="s">
        <v>22</v>
      </c>
      <c r="B18" s="539"/>
      <c r="C18" s="540" t="str">
        <f>IF(B18="","",VLOOKUP(B18,'Списки участников'!A:K,3,FALSE))</f>
        <v/>
      </c>
      <c r="D18" s="551"/>
      <c r="E18" s="543"/>
      <c r="F18" s="552"/>
      <c r="H18" s="537"/>
      <c r="I18" s="552"/>
      <c r="K18" s="537"/>
      <c r="L18" s="552"/>
      <c r="M18" s="556"/>
      <c r="O18" s="558"/>
      <c r="Q18" s="535"/>
      <c r="R18" s="533"/>
      <c r="S18" s="543"/>
      <c r="T18" s="530"/>
      <c r="W18" s="530"/>
      <c r="Y18" s="530"/>
      <c r="AB18" s="530"/>
      <c r="AE18" s="530"/>
    </row>
    <row r="19" spans="1:32" ht="15" customHeight="1" x14ac:dyDescent="0.2">
      <c r="B19" s="544"/>
      <c r="C19" s="554"/>
      <c r="E19" s="543"/>
      <c r="F19" s="552"/>
      <c r="H19" s="537"/>
      <c r="I19" s="552"/>
      <c r="K19" s="537"/>
      <c r="L19" s="552"/>
      <c r="M19" s="557" t="s">
        <v>12</v>
      </c>
      <c r="N19" s="559">
        <v>32</v>
      </c>
      <c r="O19" s="548" t="str">
        <f>IF(N19="","",VLOOKUP(N19,'Списки участников'!A:K,3,FALSE))</f>
        <v>РОЖЕНКОВА Наталья</v>
      </c>
      <c r="P19" s="549"/>
      <c r="Q19" s="885" t="str">
        <f>CONCATENATE(J3," ","м")</f>
        <v>1 м</v>
      </c>
      <c r="R19" s="529"/>
      <c r="T19" s="533"/>
      <c r="V19" s="543"/>
      <c r="W19" s="530"/>
      <c r="Y19" s="530"/>
      <c r="AB19" s="530"/>
      <c r="AE19" s="530"/>
    </row>
    <row r="20" spans="1:32" ht="15" customHeight="1" x14ac:dyDescent="0.2">
      <c r="A20" s="550" t="s">
        <v>38</v>
      </c>
      <c r="B20" s="539"/>
      <c r="C20" s="540" t="str">
        <f>IF(B20="","",VLOOKUP(B20,'Списки участников'!A:K,3,FALSE))</f>
        <v/>
      </c>
      <c r="D20" s="549"/>
      <c r="E20" s="543"/>
      <c r="F20" s="552"/>
      <c r="H20" s="537"/>
      <c r="I20" s="552"/>
      <c r="K20" s="537"/>
      <c r="L20" s="552"/>
      <c r="M20" s="556"/>
      <c r="O20" s="552" t="s">
        <v>2725</v>
      </c>
      <c r="Q20" s="535"/>
      <c r="R20" s="533"/>
      <c r="S20" s="543"/>
      <c r="T20" s="530"/>
      <c r="W20" s="530"/>
      <c r="Y20" s="530"/>
      <c r="AB20" s="530"/>
      <c r="AE20" s="530"/>
    </row>
    <row r="21" spans="1:32" ht="15" customHeight="1" x14ac:dyDescent="0.2">
      <c r="B21" s="544"/>
      <c r="C21" s="554"/>
      <c r="D21" s="546" t="s">
        <v>37</v>
      </c>
      <c r="E21" s="547">
        <v>20</v>
      </c>
      <c r="F21" s="548" t="str">
        <f>IF(E21="","",VLOOKUP(E21,'Списки участников'!A:K,3,FALSE))</f>
        <v>КАРПОВА Юлия</v>
      </c>
      <c r="G21" s="549"/>
      <c r="H21" s="537"/>
      <c r="I21" s="552"/>
      <c r="K21" s="537"/>
      <c r="L21" s="552"/>
      <c r="M21" s="556"/>
      <c r="O21" s="552"/>
      <c r="Q21" s="535"/>
      <c r="R21" s="529"/>
      <c r="T21" s="530"/>
      <c r="W21" s="533"/>
      <c r="Y21" s="543"/>
      <c r="AB21" s="530"/>
      <c r="AE21" s="530"/>
    </row>
    <row r="22" spans="1:32" ht="15" customHeight="1" x14ac:dyDescent="0.2">
      <c r="A22" s="550" t="s">
        <v>30</v>
      </c>
      <c r="B22" s="539"/>
      <c r="C22" s="540" t="str">
        <f>IF(B22="","",VLOOKUP(B22,'Списки участников'!A:K,3,FALSE))</f>
        <v/>
      </c>
      <c r="D22" s="551"/>
      <c r="E22" s="543"/>
      <c r="F22" s="552"/>
      <c r="G22" s="553"/>
      <c r="H22" s="537"/>
      <c r="I22" s="552"/>
      <c r="K22" s="537"/>
      <c r="L22" s="552"/>
      <c r="M22" s="556"/>
      <c r="O22" s="552"/>
      <c r="Q22" s="535"/>
      <c r="R22" s="533"/>
      <c r="S22" s="543"/>
      <c r="T22" s="530"/>
      <c r="W22" s="530"/>
      <c r="Y22" s="530"/>
      <c r="AB22" s="530"/>
      <c r="AE22" s="530"/>
    </row>
    <row r="23" spans="1:32" ht="15" customHeight="1" x14ac:dyDescent="0.2">
      <c r="B23" s="544"/>
      <c r="C23" s="554"/>
      <c r="E23" s="543"/>
      <c r="F23" s="552"/>
      <c r="G23" s="557" t="s">
        <v>25</v>
      </c>
      <c r="H23" s="547">
        <v>20</v>
      </c>
      <c r="I23" s="548" t="str">
        <f>IF(H23="","",VLOOKUP(H23,'Списки участников'!A:K,3,FALSE))</f>
        <v>КАРПОВА Юлия</v>
      </c>
      <c r="J23" s="549"/>
      <c r="K23" s="537"/>
      <c r="L23" s="552"/>
      <c r="M23" s="556"/>
      <c r="O23" s="552"/>
      <c r="Q23" s="535"/>
      <c r="R23" s="529"/>
      <c r="T23" s="533"/>
      <c r="V23" s="543"/>
      <c r="W23" s="530"/>
      <c r="Y23" s="530"/>
      <c r="AB23" s="530"/>
      <c r="AE23" s="530"/>
    </row>
    <row r="24" spans="1:32" ht="15" customHeight="1" x14ac:dyDescent="0.2">
      <c r="A24" s="550" t="s">
        <v>25</v>
      </c>
      <c r="B24" s="539"/>
      <c r="C24" s="540" t="str">
        <f>IF(B24="","",VLOOKUP(B24,'Списки участников'!A:K,3,FALSE))</f>
        <v/>
      </c>
      <c r="D24" s="549"/>
      <c r="E24" s="543"/>
      <c r="F24" s="552"/>
      <c r="G24" s="556"/>
      <c r="H24" s="537"/>
      <c r="I24" s="552" t="s">
        <v>2725</v>
      </c>
      <c r="J24" s="553"/>
      <c r="K24" s="537"/>
      <c r="L24" s="552"/>
      <c r="M24" s="556"/>
      <c r="O24" s="552"/>
      <c r="Q24" s="535"/>
      <c r="R24" s="533"/>
      <c r="S24" s="543"/>
      <c r="T24" s="530"/>
      <c r="W24" s="530"/>
      <c r="Y24" s="530"/>
      <c r="AB24" s="530"/>
      <c r="AE24" s="530"/>
    </row>
    <row r="25" spans="1:32" ht="15" customHeight="1" x14ac:dyDescent="0.2">
      <c r="B25" s="544"/>
      <c r="C25" s="554"/>
      <c r="D25" s="546" t="s">
        <v>42</v>
      </c>
      <c r="E25" s="547">
        <v>40</v>
      </c>
      <c r="F25" s="548" t="str">
        <f>IF(E25="","",VLOOKUP(E25,'Списки участников'!A:K,3,FALSE))</f>
        <v>МАНЗЕНКОВА Наталья</v>
      </c>
      <c r="G25" s="551"/>
      <c r="H25" s="537"/>
      <c r="I25" s="552"/>
      <c r="J25" s="556"/>
      <c r="K25" s="537"/>
      <c r="L25" s="552"/>
      <c r="M25" s="556"/>
      <c r="O25" s="552"/>
      <c r="Q25" s="535"/>
      <c r="R25" s="529"/>
      <c r="T25" s="530"/>
      <c r="W25" s="530"/>
      <c r="Y25" s="530"/>
      <c r="Z25" s="533"/>
      <c r="AB25" s="543"/>
      <c r="AE25" s="530"/>
    </row>
    <row r="26" spans="1:32" ht="15" customHeight="1" x14ac:dyDescent="0.2">
      <c r="A26" s="550" t="s">
        <v>17</v>
      </c>
      <c r="B26" s="539"/>
      <c r="C26" s="540" t="str">
        <f>IF(B26="","",VLOOKUP(B26,'Списки участников'!A:K,3,FALSE))</f>
        <v/>
      </c>
      <c r="D26" s="551"/>
      <c r="E26" s="543"/>
      <c r="F26" s="552"/>
      <c r="H26" s="537"/>
      <c r="I26" s="552"/>
      <c r="J26" s="556"/>
      <c r="K26" s="537"/>
      <c r="L26" s="552"/>
      <c r="M26" s="556"/>
      <c r="O26" s="552"/>
      <c r="Q26" s="535"/>
      <c r="R26" s="533"/>
      <c r="S26" s="543"/>
      <c r="T26" s="530"/>
      <c r="W26" s="530"/>
      <c r="Y26" s="530"/>
      <c r="AB26" s="530"/>
      <c r="AE26" s="530"/>
    </row>
    <row r="27" spans="1:32" ht="15" customHeight="1" x14ac:dyDescent="0.2">
      <c r="B27" s="544"/>
      <c r="C27" s="554"/>
      <c r="E27" s="543"/>
      <c r="F27" s="552"/>
      <c r="H27" s="537"/>
      <c r="I27" s="552"/>
      <c r="J27" s="557" t="s">
        <v>7</v>
      </c>
      <c r="K27" s="547">
        <v>20</v>
      </c>
      <c r="L27" s="548" t="str">
        <f>IF(K27="","",VLOOKUP(K27,'Списки участников'!A:K,3,FALSE))</f>
        <v>КАРПОВА Юлия</v>
      </c>
      <c r="M27" s="551"/>
      <c r="O27" s="552"/>
      <c r="Q27" s="535"/>
      <c r="R27" s="529"/>
      <c r="T27" s="533"/>
      <c r="V27" s="543"/>
      <c r="W27" s="530"/>
      <c r="Y27" s="530"/>
      <c r="AB27" s="530"/>
      <c r="AE27" s="530"/>
    </row>
    <row r="28" spans="1:32" ht="15" customHeight="1" x14ac:dyDescent="0.2">
      <c r="A28" s="550" t="s">
        <v>23</v>
      </c>
      <c r="B28" s="539"/>
      <c r="C28" s="540" t="str">
        <f>IF(B28="","",VLOOKUP(B28,'Списки участников'!A:K,3,FALSE))</f>
        <v/>
      </c>
      <c r="D28" s="549"/>
      <c r="E28" s="543"/>
      <c r="F28" s="552"/>
      <c r="H28" s="537"/>
      <c r="I28" s="552"/>
      <c r="J28" s="556"/>
      <c r="K28" s="537"/>
      <c r="L28" s="552" t="s">
        <v>2725</v>
      </c>
      <c r="M28" s="535"/>
      <c r="N28" s="535"/>
      <c r="O28" s="552"/>
      <c r="Q28" s="535"/>
      <c r="R28" s="533"/>
      <c r="S28" s="543"/>
      <c r="T28" s="530"/>
      <c r="W28" s="530"/>
      <c r="Y28" s="530"/>
      <c r="AB28" s="530"/>
      <c r="AE28" s="530"/>
    </row>
    <row r="29" spans="1:32" ht="15" customHeight="1" x14ac:dyDescent="0.2">
      <c r="B29" s="544"/>
      <c r="C29" s="554"/>
      <c r="D29" s="546" t="s">
        <v>28</v>
      </c>
      <c r="E29" s="547">
        <v>44</v>
      </c>
      <c r="F29" s="548" t="str">
        <f>IF(E29="","",VLOOKUP(E29,'Списки участников'!A:K,3,FALSE))</f>
        <v>ЦАРЕВА Анна</v>
      </c>
      <c r="G29" s="549"/>
      <c r="H29" s="537"/>
      <c r="I29" s="552"/>
      <c r="J29" s="556"/>
      <c r="K29" s="537"/>
      <c r="L29" s="552"/>
      <c r="M29" s="535"/>
      <c r="N29" s="535"/>
      <c r="O29" s="552"/>
      <c r="Q29" s="535"/>
      <c r="R29" s="529"/>
      <c r="T29" s="530"/>
      <c r="W29" s="533"/>
      <c r="Y29" s="543"/>
      <c r="AB29" s="530"/>
      <c r="AC29" s="529"/>
      <c r="AD29" s="560"/>
      <c r="AE29" s="530"/>
      <c r="AF29" s="533"/>
    </row>
    <row r="30" spans="1:32" ht="15" customHeight="1" x14ac:dyDescent="0.2">
      <c r="A30" s="550" t="s">
        <v>7</v>
      </c>
      <c r="B30" s="539"/>
      <c r="C30" s="540" t="str">
        <f>IF(B30="","",VLOOKUP(B30,'Списки участников'!A:K,3,FALSE))</f>
        <v/>
      </c>
      <c r="D30" s="551"/>
      <c r="E30" s="543"/>
      <c r="F30" s="552"/>
      <c r="G30" s="553"/>
      <c r="H30" s="537"/>
      <c r="I30" s="561"/>
      <c r="J30" s="556"/>
      <c r="K30" s="537"/>
      <c r="M30" s="535"/>
      <c r="N30" s="535"/>
      <c r="O30" s="552"/>
      <c r="Q30" s="535"/>
      <c r="R30" s="533"/>
      <c r="S30" s="543"/>
      <c r="T30" s="530"/>
      <c r="W30" s="530"/>
      <c r="Y30" s="530"/>
      <c r="AB30" s="530"/>
      <c r="AE30" s="530"/>
    </row>
    <row r="31" spans="1:32" ht="15" customHeight="1" x14ac:dyDescent="0.2">
      <c r="B31" s="544"/>
      <c r="C31" s="554"/>
      <c r="E31" s="543"/>
      <c r="F31" s="552"/>
      <c r="G31" s="557" t="s">
        <v>17</v>
      </c>
      <c r="H31" s="547">
        <v>4</v>
      </c>
      <c r="I31" s="548" t="str">
        <f>IF(H31="","",VLOOKUP(H31,'Списки участников'!A:K,3,FALSE))</f>
        <v>АЛЕКСЕЕВА Елена</v>
      </c>
      <c r="J31" s="551"/>
      <c r="K31" s="537"/>
      <c r="M31" s="536" t="s">
        <v>901</v>
      </c>
      <c r="N31" s="562">
        <f>IF(N19="","",IF(N19=K11,K27,IF(N19=K27,K11,"Ошибка")))</f>
        <v>20</v>
      </c>
      <c r="O31" s="563" t="str">
        <f>IF(N31="","",VLOOKUP(N31,'Списки участников'!A:K,3,FALSE))</f>
        <v>КАРПОВА Юлия</v>
      </c>
      <c r="P31" s="549"/>
      <c r="Q31" s="885" t="str">
        <f>CONCATENATE(J3+1," ","м")</f>
        <v>2 м</v>
      </c>
      <c r="R31" s="529"/>
      <c r="T31" s="533"/>
      <c r="V31" s="543"/>
      <c r="W31" s="530"/>
      <c r="Y31" s="530"/>
      <c r="AA31" s="533"/>
      <c r="AB31" s="564"/>
      <c r="AE31" s="530"/>
    </row>
    <row r="32" spans="1:32" ht="15" customHeight="1" x14ac:dyDescent="0.2">
      <c r="A32" s="550" t="s">
        <v>12</v>
      </c>
      <c r="B32" s="539"/>
      <c r="C32" s="540" t="str">
        <f>IF(B32="","",VLOOKUP(B32,'Списки участников'!A:K,3,FALSE))</f>
        <v/>
      </c>
      <c r="D32" s="549"/>
      <c r="E32" s="543"/>
      <c r="F32" s="552"/>
      <c r="G32" s="556"/>
      <c r="H32" s="537"/>
      <c r="I32" s="552" t="s">
        <v>2725</v>
      </c>
      <c r="K32" s="530"/>
      <c r="L32" s="552"/>
      <c r="M32" s="535"/>
      <c r="N32" s="535"/>
      <c r="O32" s="552"/>
      <c r="Q32" s="535"/>
      <c r="R32" s="533"/>
      <c r="S32" s="543"/>
      <c r="T32" s="530"/>
      <c r="W32" s="530"/>
      <c r="Y32" s="530"/>
      <c r="AB32" s="530"/>
      <c r="AC32" s="533"/>
      <c r="AD32" s="564"/>
      <c r="AE32" s="530"/>
      <c r="AF32" s="533"/>
    </row>
    <row r="33" spans="1:32" ht="15" customHeight="1" x14ac:dyDescent="0.2">
      <c r="B33" s="544"/>
      <c r="C33" s="554"/>
      <c r="D33" s="546" t="s">
        <v>22</v>
      </c>
      <c r="E33" s="547">
        <v>4</v>
      </c>
      <c r="F33" s="548" t="str">
        <f>IF(E33="","",VLOOKUP(E33,'Списки участников'!A:K,3,FALSE))</f>
        <v>АЛЕКСЕЕВА Елена</v>
      </c>
      <c r="G33" s="551"/>
      <c r="H33" s="537"/>
      <c r="I33" s="552"/>
      <c r="J33" s="549" t="s">
        <v>897</v>
      </c>
      <c r="K33" s="565">
        <f>IF(K11="","",IF(K11=H7,H15,IF(K11=H15,H7,"Ошибка")))</f>
        <v>12</v>
      </c>
      <c r="L33" s="563" t="str">
        <f>IF(K33="","",VLOOKUP(K33,'Списки участников'!A:K,3,FALSE))</f>
        <v>АКИМОВА Марина</v>
      </c>
      <c r="M33" s="549"/>
      <c r="O33" s="552"/>
      <c r="Q33" s="535"/>
      <c r="R33" s="529"/>
      <c r="T33" s="530"/>
      <c r="W33" s="530"/>
      <c r="Y33" s="530"/>
      <c r="AA33" s="533"/>
      <c r="AB33" s="564"/>
      <c r="AE33" s="530"/>
    </row>
    <row r="34" spans="1:32" ht="15" customHeight="1" x14ac:dyDescent="0.2">
      <c r="A34" s="550" t="s">
        <v>29</v>
      </c>
      <c r="B34" s="539"/>
      <c r="C34" s="540" t="str">
        <f>IF(B34="","",VLOOKUP(B34,'Списки участников'!A:K,3,FALSE))</f>
        <v/>
      </c>
      <c r="D34" s="551"/>
      <c r="E34" s="537"/>
      <c r="F34" s="552"/>
      <c r="I34" s="530"/>
      <c r="K34" s="530"/>
      <c r="L34" s="552"/>
      <c r="M34" s="546" t="s">
        <v>29</v>
      </c>
      <c r="N34" s="559">
        <v>12</v>
      </c>
      <c r="O34" s="563" t="str">
        <f>IF(N34="","",VLOOKUP(N34,'Списки участников'!A:K,3,FALSE))</f>
        <v>АКИМОВА Марина</v>
      </c>
      <c r="P34" s="549"/>
      <c r="Q34" s="885" t="str">
        <f>CONCATENATE(J3+2," ","м")</f>
        <v>3 м</v>
      </c>
      <c r="R34" s="529"/>
      <c r="T34" s="530"/>
      <c r="W34" s="530"/>
      <c r="X34" s="533"/>
      <c r="Y34" s="564"/>
      <c r="AB34" s="530"/>
      <c r="AC34" s="529"/>
      <c r="AD34" s="564"/>
      <c r="AE34" s="530"/>
      <c r="AF34" s="533"/>
    </row>
    <row r="35" spans="1:32" ht="15" customHeight="1" x14ac:dyDescent="0.2">
      <c r="E35" s="530"/>
      <c r="I35" s="530"/>
      <c r="J35" s="549" t="s">
        <v>900</v>
      </c>
      <c r="K35" s="565">
        <f>IF(K27="","",IF(K27=H23,H31,IF(K27=H31,H23,"Ошибка")))</f>
        <v>4</v>
      </c>
      <c r="L35" s="563" t="str">
        <f>IF(K35="","",VLOOKUP(K35,'Списки участников'!A:K,3,FALSE))</f>
        <v>АЛЕКСЕЕВА Елена</v>
      </c>
      <c r="M35" s="551"/>
      <c r="O35" s="552" t="s">
        <v>2726</v>
      </c>
      <c r="Q35" s="964"/>
      <c r="R35" s="529"/>
      <c r="T35" s="530"/>
      <c r="W35" s="530"/>
      <c r="Y35" s="530"/>
      <c r="Z35" s="533"/>
      <c r="AB35" s="543"/>
      <c r="AE35" s="530"/>
    </row>
    <row r="36" spans="1:32" ht="15" customHeight="1" x14ac:dyDescent="0.2">
      <c r="E36" s="530"/>
      <c r="G36" s="549" t="s">
        <v>892</v>
      </c>
      <c r="H36" s="565">
        <v>8</v>
      </c>
      <c r="I36" s="563" t="str">
        <f>IF(H36="","",VLOOKUP(H36,'Списки участников'!A:K,3,FALSE))</f>
        <v>ЧЕРТОВА Ольга</v>
      </c>
      <c r="J36" s="549"/>
      <c r="K36" s="530"/>
      <c r="L36" s="552"/>
      <c r="M36" s="536" t="s">
        <v>904</v>
      </c>
      <c r="N36" s="562">
        <f>IF(N34="","",IF(N34=K33,K35,IF(N34=K35,K33,"Ошибка")))</f>
        <v>4</v>
      </c>
      <c r="O36" s="563" t="str">
        <f>IF(N36="","",VLOOKUP(N36,'Списки участников'!A:K,3,FALSE))</f>
        <v>АЛЕКСЕЕВА Елена</v>
      </c>
      <c r="P36" s="549"/>
      <c r="Q36" s="885" t="str">
        <f>CONCATENATE(J3+3," ","м")</f>
        <v>4 м</v>
      </c>
      <c r="R36" s="529"/>
      <c r="T36" s="530"/>
      <c r="W36" s="530"/>
      <c r="X36" s="533"/>
      <c r="Y36" s="564"/>
      <c r="AB36" s="530"/>
      <c r="AE36" s="530"/>
    </row>
    <row r="37" spans="1:32" ht="15" customHeight="1" x14ac:dyDescent="0.2">
      <c r="E37" s="530"/>
      <c r="I37" s="552"/>
      <c r="J37" s="546" t="s">
        <v>13</v>
      </c>
      <c r="K37" s="567">
        <v>36</v>
      </c>
      <c r="L37" s="563" t="str">
        <f>IF(K37="","",VLOOKUP(K37,'Списки участников'!A:K,3,FALSE))</f>
        <v>ТКАЧЕНКО Светлана</v>
      </c>
      <c r="M37" s="549"/>
      <c r="O37" s="552"/>
      <c r="Q37" s="964"/>
      <c r="R37" s="529"/>
      <c r="T37" s="530"/>
      <c r="W37" s="530"/>
      <c r="Y37" s="530"/>
      <c r="AB37" s="530"/>
      <c r="AC37" s="533"/>
      <c r="AD37" s="543"/>
      <c r="AE37" s="530"/>
      <c r="AF37" s="533"/>
    </row>
    <row r="38" spans="1:32" ht="15" customHeight="1" x14ac:dyDescent="0.2">
      <c r="E38" s="530"/>
      <c r="G38" s="549" t="s">
        <v>893</v>
      </c>
      <c r="H38" s="566">
        <f>IF(H15="","",IF(H15=E13,E17,IF(H15=E17,E13,"Ошибка")))</f>
        <v>36</v>
      </c>
      <c r="I38" s="563" t="str">
        <f>IF(H38="","",VLOOKUP(H38,'Списки участников'!A:K,3,FALSE))</f>
        <v>ТКАЧЕНКО Светлана</v>
      </c>
      <c r="J38" s="551"/>
      <c r="K38" s="530"/>
      <c r="L38" s="552"/>
      <c r="M38" s="553"/>
      <c r="O38" s="552"/>
      <c r="Q38" s="964"/>
      <c r="R38" s="529"/>
      <c r="T38" s="530"/>
      <c r="W38" s="530"/>
      <c r="X38" s="533"/>
      <c r="Y38" s="564"/>
      <c r="AB38" s="530"/>
      <c r="AE38" s="530"/>
    </row>
    <row r="39" spans="1:32" ht="15" customHeight="1" x14ac:dyDescent="0.2">
      <c r="E39" s="530"/>
      <c r="I39" s="552"/>
      <c r="K39" s="530"/>
      <c r="L39" s="552"/>
      <c r="M39" s="557" t="s">
        <v>31</v>
      </c>
      <c r="N39" s="568">
        <v>40</v>
      </c>
      <c r="O39" s="563" t="str">
        <f>IF(N39="","",VLOOKUP(N39,'Списки участников'!A:K,3,FALSE))</f>
        <v>МАНЗЕНКОВА Наталья</v>
      </c>
      <c r="P39" s="549"/>
      <c r="Q39" s="885" t="str">
        <f>CONCATENATE(J3+4," ","м")</f>
        <v>5 м</v>
      </c>
      <c r="R39" s="529"/>
      <c r="T39" s="530"/>
      <c r="W39" s="530"/>
      <c r="Y39" s="530"/>
      <c r="Z39" s="533"/>
      <c r="AB39" s="543"/>
      <c r="AE39" s="530"/>
    </row>
    <row r="40" spans="1:32" ht="15" customHeight="1" x14ac:dyDescent="0.2">
      <c r="E40" s="530"/>
      <c r="G40" s="549" t="s">
        <v>2</v>
      </c>
      <c r="H40" s="565">
        <f>IF(H23="","",IF(H23=E21,E25,IF(H23=E25,E21,"Ошибка")))</f>
        <v>40</v>
      </c>
      <c r="I40" s="563" t="str">
        <f>IF(H40="","",VLOOKUP(H40,'Списки участников'!A:K,3,FALSE))</f>
        <v>МАНЗЕНКОВА Наталья</v>
      </c>
      <c r="J40" s="549"/>
      <c r="K40" s="530"/>
      <c r="L40" s="552"/>
      <c r="M40" s="556"/>
      <c r="O40" s="552" t="s">
        <v>2725</v>
      </c>
      <c r="Q40" s="964"/>
      <c r="R40" s="529"/>
      <c r="T40" s="530"/>
      <c r="W40" s="530"/>
      <c r="X40" s="533"/>
      <c r="Y40" s="564"/>
      <c r="AB40" s="530"/>
      <c r="AC40" s="529"/>
      <c r="AD40" s="560"/>
      <c r="AE40" s="530"/>
      <c r="AF40" s="533"/>
    </row>
    <row r="41" spans="1:32" ht="15" customHeight="1" x14ac:dyDescent="0.2">
      <c r="E41" s="530"/>
      <c r="I41" s="552"/>
      <c r="J41" s="546" t="s">
        <v>32</v>
      </c>
      <c r="K41" s="567">
        <v>40</v>
      </c>
      <c r="L41" s="563" t="str">
        <f>IF(K41="","",VLOOKUP(K41,'Списки участников'!A:K,3,FALSE))</f>
        <v>МАНЗЕНКОВА Наталья</v>
      </c>
      <c r="M41" s="551"/>
      <c r="O41" s="552"/>
      <c r="Q41" s="964"/>
      <c r="R41" s="529"/>
      <c r="T41" s="530"/>
      <c r="W41" s="530"/>
      <c r="Y41" s="530"/>
      <c r="AA41" s="533"/>
      <c r="AB41" s="564"/>
      <c r="AE41" s="530"/>
    </row>
    <row r="42" spans="1:32" ht="15" customHeight="1" x14ac:dyDescent="0.2">
      <c r="E42" s="530"/>
      <c r="G42" s="549" t="s">
        <v>895</v>
      </c>
      <c r="H42" s="565">
        <v>44</v>
      </c>
      <c r="I42" s="563" t="str">
        <f>IF(H42="","",VLOOKUP(H42,'Списки участников'!A:K,3,FALSE))</f>
        <v>ЦАРЕВА Анна</v>
      </c>
      <c r="J42" s="551"/>
      <c r="K42" s="530"/>
      <c r="L42" s="552"/>
      <c r="M42" s="536" t="s">
        <v>70</v>
      </c>
      <c r="N42" s="569">
        <f>IF(N39="","",IF(N39=K37,K41,IF(N39=K41,K37,"Ошибка")))</f>
        <v>36</v>
      </c>
      <c r="O42" s="563" t="str">
        <f>IF(N42="","",VLOOKUP(N42,'Списки участников'!A:K,3,FALSE))</f>
        <v>ТКАЧЕНКО Светлана</v>
      </c>
      <c r="P42" s="549"/>
      <c r="Q42" s="885" t="str">
        <f>CONCATENATE(J3+5," ","м")</f>
        <v>6 м</v>
      </c>
      <c r="R42" s="529"/>
      <c r="T42" s="530"/>
      <c r="W42" s="530"/>
      <c r="Y42" s="530"/>
      <c r="AB42" s="530"/>
      <c r="AC42" s="533"/>
      <c r="AD42" s="564"/>
      <c r="AE42" s="530"/>
      <c r="AF42" s="533"/>
    </row>
    <row r="43" spans="1:32" ht="15" customHeight="1" x14ac:dyDescent="0.2">
      <c r="E43" s="530"/>
      <c r="I43" s="552"/>
      <c r="J43" s="570" t="s">
        <v>882</v>
      </c>
      <c r="K43" s="565">
        <v>8</v>
      </c>
      <c r="L43" s="563" t="str">
        <f>IF(K43="","",VLOOKUP(K43,'Списки участников'!A:K,3,FALSE))</f>
        <v>ЧЕРТОВА Ольга</v>
      </c>
      <c r="M43" s="549"/>
      <c r="O43" s="552"/>
      <c r="Q43" s="964"/>
      <c r="R43" s="529"/>
      <c r="T43" s="530"/>
      <c r="W43" s="530"/>
      <c r="Y43" s="530"/>
      <c r="AA43" s="533"/>
      <c r="AB43" s="564"/>
      <c r="AE43" s="530"/>
    </row>
    <row r="44" spans="1:32" ht="15" customHeight="1" x14ac:dyDescent="0.2">
      <c r="E44" s="530"/>
      <c r="I44" s="552"/>
      <c r="K44" s="530"/>
      <c r="L44" s="552"/>
      <c r="M44" s="546" t="s">
        <v>34</v>
      </c>
      <c r="N44" s="568">
        <v>8</v>
      </c>
      <c r="O44" s="563" t="str">
        <f>IF(N44="","",VLOOKUP(N44,'Списки участников'!A:K,3,FALSE))</f>
        <v>ЧЕРТОВА Ольга</v>
      </c>
      <c r="P44" s="549"/>
      <c r="Q44" s="885" t="str">
        <f>CONCATENATE(J3+6," ","м")</f>
        <v>7 м</v>
      </c>
      <c r="R44" s="529"/>
      <c r="T44" s="530"/>
      <c r="U44" s="533"/>
      <c r="V44" s="564"/>
      <c r="W44" s="530"/>
      <c r="Y44" s="530"/>
      <c r="AB44" s="530"/>
      <c r="AC44" s="529"/>
      <c r="AD44" s="560"/>
      <c r="AE44" s="530"/>
      <c r="AF44" s="533"/>
    </row>
    <row r="45" spans="1:32" ht="15" customHeight="1" x14ac:dyDescent="0.2">
      <c r="E45" s="530"/>
      <c r="I45" s="552"/>
      <c r="J45" s="535" t="s">
        <v>885</v>
      </c>
      <c r="K45" s="565">
        <v>44</v>
      </c>
      <c r="L45" s="563" t="str">
        <f>IF(K45="","",VLOOKUP(K45,'Списки участников'!A:K,3,FALSE))</f>
        <v>ЦАРЕВА Анна</v>
      </c>
      <c r="M45" s="551"/>
      <c r="O45" s="552"/>
      <c r="Q45" s="964"/>
      <c r="R45" s="529"/>
      <c r="T45" s="530"/>
      <c r="W45" s="533"/>
      <c r="Y45" s="543"/>
      <c r="AB45" s="530"/>
      <c r="AE45" s="530"/>
    </row>
    <row r="46" spans="1:32" ht="15" customHeight="1" x14ac:dyDescent="0.2">
      <c r="D46" s="530"/>
      <c r="E46" s="971"/>
      <c r="F46" s="967" t="str">
        <f>IF(E46="","",VLOOKUP(E46,'Списки участников'!A:K,3,FALSE))</f>
        <v/>
      </c>
      <c r="G46" s="530"/>
      <c r="I46" s="552"/>
      <c r="K46" s="530"/>
      <c r="L46" s="552"/>
      <c r="M46" s="536" t="s">
        <v>888</v>
      </c>
      <c r="N46" s="569">
        <f>IF(N44="","",IF(N44=K43,K45,IF(N44=K45,K43,"Ошибка")))</f>
        <v>44</v>
      </c>
      <c r="O46" s="967" t="str">
        <f>IF(N46="","",VLOOKUP(N46,'Списки участников'!A:K,3,FALSE))</f>
        <v>ЦАРЕВА Анна</v>
      </c>
      <c r="Q46" s="968" t="str">
        <f>CONCATENATE(J3+7," ","м")</f>
        <v>8 м</v>
      </c>
      <c r="R46" s="529"/>
      <c r="T46" s="530"/>
      <c r="U46" s="533"/>
      <c r="V46" s="564"/>
      <c r="W46" s="530"/>
      <c r="Y46" s="530"/>
      <c r="AB46" s="530"/>
      <c r="AE46" s="530"/>
    </row>
    <row r="47" spans="1:32" ht="15" customHeight="1" x14ac:dyDescent="0.2">
      <c r="C47" s="530"/>
      <c r="D47" s="530"/>
      <c r="E47" s="530"/>
      <c r="F47" s="552"/>
      <c r="G47" s="533"/>
      <c r="H47" s="969"/>
      <c r="I47" s="967"/>
      <c r="J47" s="530"/>
      <c r="K47" s="530"/>
      <c r="L47" s="552"/>
      <c r="O47" s="552"/>
      <c r="Q47" s="966"/>
      <c r="R47" s="529"/>
      <c r="T47" s="530"/>
      <c r="W47" s="530"/>
      <c r="Y47" s="530"/>
      <c r="Z47" s="533"/>
      <c r="AB47" s="543"/>
      <c r="AE47" s="530"/>
    </row>
    <row r="48" spans="1:32" ht="15" customHeight="1" x14ac:dyDescent="0.2">
      <c r="C48" s="530"/>
      <c r="D48" s="530"/>
      <c r="E48" s="530"/>
      <c r="G48" s="530"/>
      <c r="I48" s="530"/>
      <c r="J48" s="530"/>
      <c r="K48" s="530"/>
      <c r="L48" s="552"/>
      <c r="M48" s="529"/>
      <c r="N48" s="970"/>
      <c r="O48" s="967"/>
      <c r="Q48" s="968"/>
      <c r="R48" s="529"/>
      <c r="T48" s="530"/>
      <c r="W48" s="530"/>
      <c r="Y48" s="530"/>
      <c r="AB48" s="530"/>
      <c r="AE48" s="530"/>
    </row>
    <row r="49" spans="3:31" ht="10.35" customHeight="1" x14ac:dyDescent="0.2">
      <c r="H49" s="1145"/>
      <c r="I49" s="1145"/>
      <c r="J49" s="573"/>
      <c r="R49" s="529"/>
      <c r="T49" s="530"/>
      <c r="V49" s="574"/>
      <c r="W49" s="530"/>
      <c r="Y49" s="530"/>
      <c r="AB49" s="530"/>
      <c r="AE49" s="530"/>
    </row>
    <row r="50" spans="3:31" ht="14.25" customHeight="1" x14ac:dyDescent="0.2">
      <c r="C50" s="575" t="s">
        <v>760</v>
      </c>
      <c r="H50" s="1141"/>
      <c r="I50" s="1141"/>
      <c r="J50" s="1141"/>
      <c r="R50" s="529"/>
      <c r="T50" s="530"/>
      <c r="W50" s="530"/>
      <c r="Y50" s="530"/>
      <c r="AB50" s="530"/>
      <c r="AE50" s="530"/>
    </row>
    <row r="51" spans="3:31" ht="10.35" customHeight="1" x14ac:dyDescent="0.2">
      <c r="C51" s="552"/>
      <c r="J51" s="573"/>
      <c r="R51" s="530"/>
      <c r="T51" s="530"/>
      <c r="V51" s="574"/>
      <c r="W51" s="530"/>
      <c r="Y51" s="530"/>
      <c r="AB51" s="530"/>
      <c r="AE51" s="530"/>
    </row>
    <row r="52" spans="3:31" ht="15.75" customHeight="1" x14ac:dyDescent="0.2">
      <c r="C52" s="575" t="s">
        <v>761</v>
      </c>
      <c r="H52" s="1141"/>
      <c r="I52" s="1141"/>
      <c r="J52" s="1141"/>
      <c r="R52" s="530"/>
      <c r="T52" s="530"/>
      <c r="W52" s="530"/>
      <c r="Y52" s="530"/>
      <c r="AB52" s="530"/>
      <c r="AE52" s="530"/>
    </row>
    <row r="53" spans="3:31" ht="10.35" customHeight="1" x14ac:dyDescent="0.2">
      <c r="C53" s="530"/>
      <c r="R53" s="530"/>
      <c r="T53" s="530"/>
      <c r="W53" s="530"/>
      <c r="Y53" s="530"/>
      <c r="AB53" s="530"/>
      <c r="AE53" s="530"/>
    </row>
    <row r="54" spans="3:31" ht="10.35" customHeight="1" x14ac:dyDescent="0.2">
      <c r="R54" s="530"/>
      <c r="T54" s="530"/>
      <c r="W54" s="530"/>
      <c r="Y54" s="530"/>
      <c r="AB54" s="530"/>
      <c r="AE54" s="530"/>
    </row>
    <row r="55" spans="3:31" ht="10.35" customHeight="1" x14ac:dyDescent="0.2">
      <c r="R55" s="530"/>
      <c r="T55" s="530"/>
      <c r="W55" s="530"/>
      <c r="Y55" s="530"/>
      <c r="AB55" s="530"/>
      <c r="AE55" s="530"/>
    </row>
  </sheetData>
  <mergeCells count="7">
    <mergeCell ref="H52:J52"/>
    <mergeCell ref="A1:Q1"/>
    <mergeCell ref="A2:Q2"/>
    <mergeCell ref="A3:E3"/>
    <mergeCell ref="M3:Q3"/>
    <mergeCell ref="H49:I49"/>
    <mergeCell ref="H50:J50"/>
  </mergeCells>
  <pageMargins left="0.59055118110236227" right="0.59055118110236227" top="0" bottom="0.39370078740157483" header="0.39370078740157483" footer="0.51181102362204722"/>
  <pageSetup paperSize="9" scale="70" orientation="portrait" r:id="rId1"/>
  <headerFooter alignWithMargins="0">
    <oddHeader xml:space="preserve">&amp;R
</oddHeader>
  </headerFooter>
  <rowBreaks count="1" manualBreakCount="1">
    <brk id="53" max="15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H84"/>
  <sheetViews>
    <sheetView view="pageBreakPreview" zoomScale="120" zoomScaleNormal="100" zoomScaleSheetLayoutView="120" workbookViewId="0">
      <selection activeCell="AW9" sqref="AW9"/>
    </sheetView>
  </sheetViews>
  <sheetFormatPr defaultRowHeight="12.75" outlineLevelCol="1" x14ac:dyDescent="0.2"/>
  <cols>
    <col min="1" max="1" width="5.6640625" style="91" customWidth="1"/>
    <col min="2" max="2" width="5" style="91" hidden="1" customWidth="1" outlineLevel="1"/>
    <col min="3" max="3" width="30" style="91" customWidth="1" collapsed="1"/>
    <col min="4" max="30" width="2.83203125" style="91" customWidth="1"/>
    <col min="31" max="32" width="3.5" style="91" customWidth="1"/>
    <col min="33" max="33" width="9.5" style="91" customWidth="1"/>
    <col min="34" max="34" width="7.83203125" style="91" customWidth="1"/>
    <col min="35" max="51" width="3.5" style="91" customWidth="1"/>
    <col min="52" max="16384" width="9.33203125" style="91"/>
  </cols>
  <sheetData>
    <row r="1" spans="1:34" ht="41.25" customHeight="1" x14ac:dyDescent="0.25">
      <c r="C1" s="1167" t="str">
        <f>'Списки участников'!A1</f>
        <v xml:space="preserve">X Спартакиада
среди предприятий Нижегородской области ФСК "Профсоюзов",
под девизом "Будь спортивным - будь успешным!"
</v>
      </c>
      <c r="D1" s="1167"/>
      <c r="E1" s="1167"/>
      <c r="F1" s="1167"/>
      <c r="G1" s="1167"/>
      <c r="H1" s="1167"/>
      <c r="I1" s="1167"/>
      <c r="J1" s="1167"/>
      <c r="K1" s="1167"/>
      <c r="L1" s="1167"/>
      <c r="M1" s="1167"/>
      <c r="N1" s="1167"/>
      <c r="O1" s="1167"/>
      <c r="P1" s="1167"/>
      <c r="Q1" s="1167"/>
      <c r="R1" s="1167"/>
      <c r="S1" s="1167"/>
      <c r="T1" s="1167"/>
      <c r="U1" s="1167"/>
      <c r="V1" s="1167"/>
      <c r="W1" s="1167"/>
      <c r="X1" s="1167"/>
      <c r="Y1" s="1167"/>
      <c r="Z1" s="1167"/>
      <c r="AA1" s="1167"/>
      <c r="AB1" s="1167"/>
      <c r="AC1" s="1167"/>
      <c r="AD1" s="1167"/>
      <c r="AE1" s="1167"/>
      <c r="AF1" s="1167"/>
      <c r="AG1" s="1167"/>
    </row>
    <row r="2" spans="1:34" ht="15.75" x14ac:dyDescent="0.25">
      <c r="C2" s="438" t="str">
        <f>'Списки участников'!C3</f>
        <v>22 октября 2016 г.</v>
      </c>
      <c r="D2" s="1093"/>
      <c r="E2" s="1093"/>
      <c r="F2" s="1093"/>
      <c r="G2" s="1093"/>
      <c r="H2" s="1093"/>
      <c r="I2" s="1093"/>
      <c r="J2" s="1093"/>
      <c r="K2" s="1093"/>
      <c r="L2" s="1093"/>
      <c r="M2" s="1093"/>
      <c r="N2" s="1093"/>
      <c r="O2" s="1093"/>
      <c r="P2" s="1093"/>
      <c r="Q2" s="1093"/>
      <c r="R2" s="1093"/>
      <c r="S2" s="1093"/>
      <c r="T2" s="1093"/>
      <c r="U2" s="1093"/>
      <c r="V2" s="1093"/>
      <c r="W2" s="1093"/>
      <c r="X2" s="1093"/>
      <c r="Y2" s="1093"/>
      <c r="Z2" s="1093"/>
      <c r="AA2" s="1093"/>
      <c r="AB2" s="1168" t="str">
        <f>'Списки участников'!F3</f>
        <v xml:space="preserve">                                               г. Н. Новгород</v>
      </c>
      <c r="AC2" s="1168"/>
      <c r="AD2" s="1168"/>
      <c r="AE2" s="1168"/>
      <c r="AF2" s="1168"/>
      <c r="AG2" s="1168"/>
    </row>
    <row r="3" spans="1:34" ht="15.75" x14ac:dyDescent="0.25">
      <c r="A3" s="128"/>
      <c r="B3" s="128"/>
      <c r="C3" s="787" t="s">
        <v>2729</v>
      </c>
      <c r="D3" s="128"/>
      <c r="E3" s="128"/>
      <c r="F3" s="128"/>
      <c r="G3" s="1169" t="s">
        <v>2711</v>
      </c>
      <c r="H3" s="1169"/>
      <c r="I3" s="1169"/>
      <c r="J3" s="1169"/>
      <c r="K3" s="1169"/>
      <c r="L3" s="1169"/>
      <c r="M3" s="1169"/>
      <c r="N3" s="1169"/>
      <c r="O3" s="1169"/>
      <c r="P3" s="1169"/>
      <c r="Q3" s="1169"/>
      <c r="R3" s="1169"/>
      <c r="S3" s="1169"/>
      <c r="T3" s="1169"/>
      <c r="U3" s="1169"/>
      <c r="V3" s="1169"/>
      <c r="W3" s="1169"/>
      <c r="X3" s="1169"/>
      <c r="Y3" s="1169"/>
      <c r="Z3" s="1169"/>
      <c r="AA3" s="1169"/>
      <c r="AB3" s="128"/>
      <c r="AC3" s="128"/>
      <c r="AD3" s="128"/>
      <c r="AE3" s="128"/>
      <c r="AF3" s="128"/>
      <c r="AG3" s="128"/>
      <c r="AH3" s="128"/>
    </row>
    <row r="4" spans="1:34" ht="12" customHeight="1" x14ac:dyDescent="0.2">
      <c r="A4" s="129" t="s">
        <v>3</v>
      </c>
      <c r="B4" s="846"/>
      <c r="C4" s="131" t="s">
        <v>757</v>
      </c>
      <c r="D4" s="1170">
        <v>1</v>
      </c>
      <c r="E4" s="1171"/>
      <c r="F4" s="1172"/>
      <c r="G4" s="1170">
        <v>2</v>
      </c>
      <c r="H4" s="1171"/>
      <c r="I4" s="1172"/>
      <c r="J4" s="1170">
        <v>3</v>
      </c>
      <c r="K4" s="1171"/>
      <c r="L4" s="1172"/>
      <c r="M4" s="1170">
        <v>4</v>
      </c>
      <c r="N4" s="1171"/>
      <c r="O4" s="1172"/>
      <c r="P4" s="1170">
        <v>5</v>
      </c>
      <c r="Q4" s="1171"/>
      <c r="R4" s="1172"/>
      <c r="S4" s="1170">
        <v>6</v>
      </c>
      <c r="T4" s="1171"/>
      <c r="U4" s="1172"/>
      <c r="V4" s="1170">
        <v>7</v>
      </c>
      <c r="W4" s="1171"/>
      <c r="X4" s="1172"/>
      <c r="Y4" s="1170">
        <v>8</v>
      </c>
      <c r="Z4" s="1171"/>
      <c r="AA4" s="1172"/>
      <c r="AB4" s="1170">
        <v>9</v>
      </c>
      <c r="AC4" s="1171"/>
      <c r="AD4" s="1172"/>
      <c r="AE4" s="1173" t="s">
        <v>758</v>
      </c>
      <c r="AF4" s="1174"/>
      <c r="AG4" s="847" t="s">
        <v>759</v>
      </c>
      <c r="AH4" s="440" t="s">
        <v>100</v>
      </c>
    </row>
    <row r="5" spans="1:34" ht="12" customHeight="1" x14ac:dyDescent="0.2">
      <c r="A5" s="1175">
        <v>1</v>
      </c>
      <c r="B5" s="1177">
        <v>48</v>
      </c>
      <c r="C5" s="441" t="str">
        <f>IF(B5="","",VLOOKUP(B5,'Списки участников'!A:H,3,FALSE))</f>
        <v>КАЗАРИНА Светлана</v>
      </c>
      <c r="D5" s="1179"/>
      <c r="E5" s="1179"/>
      <c r="F5" s="1180"/>
      <c r="G5" s="1183">
        <v>1</v>
      </c>
      <c r="H5" s="1184"/>
      <c r="I5" s="1185"/>
      <c r="J5" s="1183">
        <v>1</v>
      </c>
      <c r="K5" s="1184"/>
      <c r="L5" s="1185"/>
      <c r="M5" s="1183">
        <v>1</v>
      </c>
      <c r="N5" s="1184"/>
      <c r="O5" s="1185"/>
      <c r="P5" s="1183">
        <v>1</v>
      </c>
      <c r="Q5" s="1184"/>
      <c r="R5" s="1185"/>
      <c r="S5" s="1183"/>
      <c r="T5" s="1184"/>
      <c r="U5" s="1185"/>
      <c r="V5" s="1183"/>
      <c r="W5" s="1184"/>
      <c r="X5" s="1185"/>
      <c r="Y5" s="1183"/>
      <c r="Z5" s="1184"/>
      <c r="AA5" s="1185"/>
      <c r="AB5" s="1183"/>
      <c r="AC5" s="1184"/>
      <c r="AD5" s="1185"/>
      <c r="AE5" s="1196">
        <f>IF(B5="","",SUM(G5,J5,M5,P5,S5,V5,Y5,AB5,))</f>
        <v>4</v>
      </c>
      <c r="AF5" s="1197"/>
      <c r="AG5" s="1187"/>
      <c r="AH5" s="1186">
        <v>13</v>
      </c>
    </row>
    <row r="6" spans="1:34" ht="12" customHeight="1" x14ac:dyDescent="0.2">
      <c r="A6" s="1176"/>
      <c r="B6" s="1178"/>
      <c r="C6" s="442" t="str">
        <f>IF(B5="","",VLOOKUP(B5,'Списки участников'!A:H,6,FALSE))</f>
        <v>ПАО НАЗ "СОКОЛ"</v>
      </c>
      <c r="D6" s="1181"/>
      <c r="E6" s="1181"/>
      <c r="F6" s="1182"/>
      <c r="G6" s="443">
        <v>0</v>
      </c>
      <c r="H6" s="444" t="str">
        <f>IF(G5="","",":")</f>
        <v>:</v>
      </c>
      <c r="I6" s="445">
        <v>2</v>
      </c>
      <c r="J6" s="443">
        <v>0</v>
      </c>
      <c r="K6" s="444" t="str">
        <f>IF(J5="","",":")</f>
        <v>:</v>
      </c>
      <c r="L6" s="445">
        <v>2</v>
      </c>
      <c r="M6" s="443">
        <v>0</v>
      </c>
      <c r="N6" s="444" t="str">
        <f>IF(M6="","",":")</f>
        <v>:</v>
      </c>
      <c r="O6" s="445">
        <v>2</v>
      </c>
      <c r="P6" s="443">
        <v>0</v>
      </c>
      <c r="Q6" s="444" t="str">
        <f>IF(P6="","",":")</f>
        <v>:</v>
      </c>
      <c r="R6" s="445">
        <v>2</v>
      </c>
      <c r="S6" s="443"/>
      <c r="T6" s="444" t="str">
        <f>IF(S6="","",":")</f>
        <v/>
      </c>
      <c r="U6" s="445"/>
      <c r="V6" s="443"/>
      <c r="W6" s="444" t="str">
        <f>IF(V6="","",":")</f>
        <v/>
      </c>
      <c r="X6" s="445"/>
      <c r="Y6" s="443"/>
      <c r="Z6" s="444" t="str">
        <f>IF(Y6="","",":")</f>
        <v/>
      </c>
      <c r="AA6" s="445"/>
      <c r="AB6" s="443"/>
      <c r="AC6" s="444" t="str">
        <f>IF(AB6="","",":")</f>
        <v/>
      </c>
      <c r="AD6" s="445"/>
      <c r="AE6" s="1198"/>
      <c r="AF6" s="1199"/>
      <c r="AG6" s="1188"/>
      <c r="AH6" s="1186"/>
    </row>
    <row r="7" spans="1:34" ht="12" customHeight="1" x14ac:dyDescent="0.2">
      <c r="A7" s="1175">
        <v>2</v>
      </c>
      <c r="B7" s="1177">
        <v>28</v>
      </c>
      <c r="C7" s="441" t="str">
        <f>IF(B7="","",VLOOKUP(B7,'Списки участников'!A:H,3,FALSE))</f>
        <v>КОТОВА Наталья</v>
      </c>
      <c r="D7" s="1189">
        <f>IF(G5="","",IF(G6="W",0,IF(G5=2,1,IF(G5=1,2,IF(G5=0,2)))))</f>
        <v>2</v>
      </c>
      <c r="E7" s="1190"/>
      <c r="F7" s="1191"/>
      <c r="G7" s="1192"/>
      <c r="H7" s="1193"/>
      <c r="I7" s="1194"/>
      <c r="J7" s="1183">
        <v>2</v>
      </c>
      <c r="K7" s="1184"/>
      <c r="L7" s="1185"/>
      <c r="M7" s="1183">
        <v>2</v>
      </c>
      <c r="N7" s="1184"/>
      <c r="O7" s="1185"/>
      <c r="P7" s="1183">
        <v>2</v>
      </c>
      <c r="Q7" s="1184"/>
      <c r="R7" s="1185"/>
      <c r="S7" s="1183"/>
      <c r="T7" s="1184"/>
      <c r="U7" s="1185"/>
      <c r="V7" s="1183"/>
      <c r="W7" s="1184"/>
      <c r="X7" s="1185"/>
      <c r="Y7" s="1183"/>
      <c r="Z7" s="1184"/>
      <c r="AA7" s="1185"/>
      <c r="AB7" s="1183"/>
      <c r="AC7" s="1184"/>
      <c r="AD7" s="1185"/>
      <c r="AE7" s="1196">
        <f>IF(B7="","",SUM(D7,J7,M7,P7,S7,V7,Y7,AB7,))</f>
        <v>8</v>
      </c>
      <c r="AF7" s="1197"/>
      <c r="AG7" s="1187"/>
      <c r="AH7" s="1186">
        <v>9</v>
      </c>
    </row>
    <row r="8" spans="1:34" ht="12" customHeight="1" x14ac:dyDescent="0.2">
      <c r="A8" s="1176"/>
      <c r="B8" s="1178"/>
      <c r="C8" s="442" t="str">
        <f>IF(B7="","",VLOOKUP(B7,'Списки участников'!A:H,6,FALSE))</f>
        <v>"КРАСНОЕ СОРМОВО"</v>
      </c>
      <c r="D8" s="446">
        <f>IF(G6="","",IF(I6="l","W",I6))</f>
        <v>2</v>
      </c>
      <c r="E8" s="447" t="str">
        <f>IF(G5="","",":")</f>
        <v>:</v>
      </c>
      <c r="F8" s="448">
        <f>IF(I6="","",IF(G6="W","L",G6))</f>
        <v>0</v>
      </c>
      <c r="G8" s="1195"/>
      <c r="H8" s="1181"/>
      <c r="I8" s="1182"/>
      <c r="J8" s="443">
        <v>2</v>
      </c>
      <c r="K8" s="444" t="str">
        <f>IF(J7="","",":")</f>
        <v>:</v>
      </c>
      <c r="L8" s="445">
        <v>1</v>
      </c>
      <c r="M8" s="443">
        <v>2</v>
      </c>
      <c r="N8" s="444" t="str">
        <f>IF(M7="","",":")</f>
        <v>:</v>
      </c>
      <c r="O8" s="445">
        <v>1</v>
      </c>
      <c r="P8" s="443">
        <v>2</v>
      </c>
      <c r="Q8" s="444" t="str">
        <f>IF(P7="","",":")</f>
        <v>:</v>
      </c>
      <c r="R8" s="445">
        <v>1</v>
      </c>
      <c r="S8" s="443"/>
      <c r="T8" s="444" t="str">
        <f>IF(S8="","",":")</f>
        <v/>
      </c>
      <c r="U8" s="445"/>
      <c r="V8" s="443"/>
      <c r="W8" s="444" t="str">
        <f>IF(V8="","",":")</f>
        <v/>
      </c>
      <c r="X8" s="445"/>
      <c r="Y8" s="443"/>
      <c r="Z8" s="444" t="str">
        <f>IF(Y8="","",":")</f>
        <v/>
      </c>
      <c r="AA8" s="445"/>
      <c r="AB8" s="443"/>
      <c r="AC8" s="444" t="str">
        <f>IF(AB8="","",":")</f>
        <v/>
      </c>
      <c r="AD8" s="445"/>
      <c r="AE8" s="1198"/>
      <c r="AF8" s="1199"/>
      <c r="AG8" s="1188"/>
      <c r="AH8" s="1186"/>
    </row>
    <row r="9" spans="1:34" ht="12" customHeight="1" x14ac:dyDescent="0.2">
      <c r="A9" s="1175">
        <v>3</v>
      </c>
      <c r="B9" s="1177">
        <v>52</v>
      </c>
      <c r="C9" s="441">
        <f>IF(B9="","",VLOOKUP(B9,'Списки участников'!A:H,3,FALSE))</f>
        <v>0</v>
      </c>
      <c r="D9" s="1189">
        <f>IF(J5="","",IF(J6="W",0,IF(J5=2,1,IF(J5=1,2,IF(J5=0,2)))))</f>
        <v>2</v>
      </c>
      <c r="E9" s="1190"/>
      <c r="F9" s="1191"/>
      <c r="G9" s="1183">
        <f>IF(J7="","",IF(J8="W",0,IF(J7=2,1,IF(J7=1,2,IF(J7=0,2)))))</f>
        <v>1</v>
      </c>
      <c r="H9" s="1184"/>
      <c r="I9" s="1185"/>
      <c r="J9" s="1192"/>
      <c r="K9" s="1193"/>
      <c r="L9" s="1194"/>
      <c r="M9" s="1183">
        <v>2</v>
      </c>
      <c r="N9" s="1184"/>
      <c r="O9" s="1185"/>
      <c r="P9" s="1183">
        <v>2</v>
      </c>
      <c r="Q9" s="1184"/>
      <c r="R9" s="1185"/>
      <c r="S9" s="1183"/>
      <c r="T9" s="1184"/>
      <c r="U9" s="1185"/>
      <c r="V9" s="1183"/>
      <c r="W9" s="1184"/>
      <c r="X9" s="1185"/>
      <c r="Y9" s="1183"/>
      <c r="Z9" s="1184"/>
      <c r="AA9" s="1185"/>
      <c r="AB9" s="1183"/>
      <c r="AC9" s="1184"/>
      <c r="AD9" s="1185"/>
      <c r="AE9" s="1196">
        <f>IF(B9="","",SUM(D9,G9,M9,P9,S9,V9,Y9,AB9,))</f>
        <v>7</v>
      </c>
      <c r="AF9" s="1197"/>
      <c r="AG9" s="1200"/>
      <c r="AH9" s="1186">
        <v>10</v>
      </c>
    </row>
    <row r="10" spans="1:34" ht="12" customHeight="1" x14ac:dyDescent="0.2">
      <c r="A10" s="1176"/>
      <c r="B10" s="1178"/>
      <c r="C10" s="442">
        <f>IF(B9="","",VLOOKUP(B9,'Списки участников'!A:H,6,FALSE))</f>
        <v>0</v>
      </c>
      <c r="D10" s="449">
        <f>IF(J6="","",IF(L6="l","W",L6))</f>
        <v>2</v>
      </c>
      <c r="E10" s="444" t="str">
        <f>IF(K6="","",":")</f>
        <v>:</v>
      </c>
      <c r="F10" s="450">
        <f>IF(L6="","",IF(J6="W","L",J6))</f>
        <v>0</v>
      </c>
      <c r="G10" s="449">
        <f>IF(J8="","",IF(L8="l","W",L8))</f>
        <v>1</v>
      </c>
      <c r="H10" s="444" t="str">
        <f>IF(K8="","",":")</f>
        <v>:</v>
      </c>
      <c r="I10" s="450">
        <f>IF(L8="","",IF(J8="W","L",J8))</f>
        <v>2</v>
      </c>
      <c r="J10" s="1195"/>
      <c r="K10" s="1181"/>
      <c r="L10" s="1182"/>
      <c r="M10" s="443">
        <v>2</v>
      </c>
      <c r="N10" s="444" t="str">
        <f>IF(M9="","",":")</f>
        <v>:</v>
      </c>
      <c r="O10" s="445">
        <v>0</v>
      </c>
      <c r="P10" s="443">
        <v>2</v>
      </c>
      <c r="Q10" s="444" t="str">
        <f>IF(P9="","",":")</f>
        <v>:</v>
      </c>
      <c r="R10" s="445">
        <v>1</v>
      </c>
      <c r="S10" s="443"/>
      <c r="T10" s="444" t="str">
        <f>IF(S9="","",":")</f>
        <v/>
      </c>
      <c r="U10" s="445"/>
      <c r="V10" s="443"/>
      <c r="W10" s="444" t="str">
        <f>IF(V10="","",":")</f>
        <v/>
      </c>
      <c r="X10" s="445"/>
      <c r="Y10" s="443"/>
      <c r="Z10" s="444" t="str">
        <f>IF(Y10="","",":")</f>
        <v/>
      </c>
      <c r="AA10" s="445"/>
      <c r="AB10" s="443"/>
      <c r="AC10" s="444" t="str">
        <f>IF(AB10="","",":")</f>
        <v/>
      </c>
      <c r="AD10" s="445"/>
      <c r="AE10" s="1198"/>
      <c r="AF10" s="1199"/>
      <c r="AG10" s="1201"/>
      <c r="AH10" s="1186"/>
    </row>
    <row r="11" spans="1:34" ht="12" customHeight="1" x14ac:dyDescent="0.2">
      <c r="A11" s="1175">
        <v>4</v>
      </c>
      <c r="B11" s="1177">
        <v>24</v>
      </c>
      <c r="C11" s="441" t="str">
        <f>IF(B11="","",VLOOKUP(B11,'Списки участников'!A:H,3,FALSE))</f>
        <v>КРЫЛОВА Ольга</v>
      </c>
      <c r="D11" s="1183">
        <f>IF(M5="","",IF(M6="W",0,IF(M5=2,1,IF(M5=1,2,IF(M5=0,2)))))</f>
        <v>2</v>
      </c>
      <c r="E11" s="1184"/>
      <c r="F11" s="1185"/>
      <c r="G11" s="1183">
        <f>IF(M7="","",IF(M8="W",0,IF(M7=2,1,IF(M7=1,2,IF(M7=0,2)))))</f>
        <v>1</v>
      </c>
      <c r="H11" s="1184"/>
      <c r="I11" s="1185"/>
      <c r="J11" s="1183">
        <f>IF(M9="","",IF(M10="W",0,IF(M9=2,1,IF(M9=1,2,IF(M9=0,2)))))</f>
        <v>1</v>
      </c>
      <c r="K11" s="1184"/>
      <c r="L11" s="1185"/>
      <c r="M11" s="1193"/>
      <c r="N11" s="1193"/>
      <c r="O11" s="1193"/>
      <c r="P11" s="1183">
        <v>1</v>
      </c>
      <c r="Q11" s="1184"/>
      <c r="R11" s="1185"/>
      <c r="S11" s="1183"/>
      <c r="T11" s="1184"/>
      <c r="U11" s="1185"/>
      <c r="V11" s="1183"/>
      <c r="W11" s="1184"/>
      <c r="X11" s="1185"/>
      <c r="Y11" s="1183"/>
      <c r="Z11" s="1184"/>
      <c r="AA11" s="1185"/>
      <c r="AB11" s="1183"/>
      <c r="AC11" s="1184"/>
      <c r="AD11" s="1185"/>
      <c r="AE11" s="1196">
        <f>IF(B11="","",SUM(D11,J11,G11,P11,S11,V11,Y11,AB11,))</f>
        <v>5</v>
      </c>
      <c r="AF11" s="1197"/>
      <c r="AG11" s="1200"/>
      <c r="AH11" s="1186">
        <v>12</v>
      </c>
    </row>
    <row r="12" spans="1:34" ht="12" customHeight="1" x14ac:dyDescent="0.2">
      <c r="A12" s="1176"/>
      <c r="B12" s="1178"/>
      <c r="C12" s="442" t="str">
        <f>IF(B11="","",VLOOKUP(B11,'Списки участников'!A:H,6,FALSE))</f>
        <v>НИИИС</v>
      </c>
      <c r="D12" s="449">
        <f>IF(M6="","",IF(O6="l","W",O6))</f>
        <v>2</v>
      </c>
      <c r="E12" s="444" t="str">
        <f>IF(N6="","",":")</f>
        <v>:</v>
      </c>
      <c r="F12" s="450">
        <f>IF(O6="","",IF(M6="W","L",M6))</f>
        <v>0</v>
      </c>
      <c r="G12" s="449">
        <f>IF(M8="","",IF(O8="l","W",O8))</f>
        <v>1</v>
      </c>
      <c r="H12" s="444" t="str">
        <f>IF(N8="","",":")</f>
        <v>:</v>
      </c>
      <c r="I12" s="450">
        <f>IF(O8="","",IF(M8="W","L",M8))</f>
        <v>2</v>
      </c>
      <c r="J12" s="449">
        <f>IF(M10="","",IF(O10="l","W",O10))</f>
        <v>0</v>
      </c>
      <c r="K12" s="444" t="str">
        <f>IF(N10="","",":")</f>
        <v>:</v>
      </c>
      <c r="L12" s="450">
        <f>IF(O10="","",IF(M10="W","L",M10))</f>
        <v>2</v>
      </c>
      <c r="M12" s="1202"/>
      <c r="N12" s="1202"/>
      <c r="O12" s="1202"/>
      <c r="P12" s="443">
        <v>1</v>
      </c>
      <c r="Q12" s="444" t="str">
        <f>IF(P11="","",":")</f>
        <v>:</v>
      </c>
      <c r="R12" s="445">
        <v>2</v>
      </c>
      <c r="S12" s="443"/>
      <c r="T12" s="444" t="str">
        <f>IF(S11="","",":")</f>
        <v/>
      </c>
      <c r="U12" s="445"/>
      <c r="V12" s="443"/>
      <c r="W12" s="444" t="str">
        <f>IF(V11="","",":")</f>
        <v/>
      </c>
      <c r="X12" s="445"/>
      <c r="Y12" s="443"/>
      <c r="Z12" s="444" t="str">
        <f>IF(Y12="","",":")</f>
        <v/>
      </c>
      <c r="AA12" s="445"/>
      <c r="AB12" s="443"/>
      <c r="AC12" s="444" t="str">
        <f>IF(AB12="","",":")</f>
        <v/>
      </c>
      <c r="AD12" s="445"/>
      <c r="AE12" s="1198"/>
      <c r="AF12" s="1199"/>
      <c r="AG12" s="1201"/>
      <c r="AH12" s="1186"/>
    </row>
    <row r="13" spans="1:34" ht="12" customHeight="1" x14ac:dyDescent="0.2">
      <c r="A13" s="1175">
        <v>5</v>
      </c>
      <c r="B13" s="1177">
        <v>16</v>
      </c>
      <c r="C13" s="441" t="str">
        <f>IF(B13="","",VLOOKUP(B13,'Списки участников'!A:H,3,FALSE))</f>
        <v>ВАХРОМОВА Ирина</v>
      </c>
      <c r="D13" s="1183">
        <f>IF(P5="","",IF(P6="W",0,IF(P5=2,1,IF(P5=1,2,IF(P5=0,2)))))</f>
        <v>2</v>
      </c>
      <c r="E13" s="1184"/>
      <c r="F13" s="1185"/>
      <c r="G13" s="1183">
        <f>IF(P7="","",IF(P8="W",0,IF(P7=2,1,IF(P7=1,2,IF(P7=0,2)))))</f>
        <v>1</v>
      </c>
      <c r="H13" s="1184"/>
      <c r="I13" s="1185"/>
      <c r="J13" s="1183">
        <f>IF(P9="","",IF(P10="W",0,IF(P9=2,1,IF(P9=1,2,IF(P9=0,2)))))</f>
        <v>1</v>
      </c>
      <c r="K13" s="1184"/>
      <c r="L13" s="1185"/>
      <c r="M13" s="1183">
        <f>IF(P11="","",IF(P12="W",0,IF(P11=2,1,IF(P11=1,2,IF(P11=0,2)))))</f>
        <v>2</v>
      </c>
      <c r="N13" s="1184"/>
      <c r="O13" s="1185"/>
      <c r="P13" s="1192"/>
      <c r="Q13" s="1193"/>
      <c r="R13" s="1194"/>
      <c r="S13" s="1183"/>
      <c r="T13" s="1184"/>
      <c r="U13" s="1185"/>
      <c r="V13" s="1183"/>
      <c r="W13" s="1184"/>
      <c r="X13" s="1185"/>
      <c r="Y13" s="1183"/>
      <c r="Z13" s="1184"/>
      <c r="AA13" s="1185"/>
      <c r="AB13" s="1183"/>
      <c r="AC13" s="1184"/>
      <c r="AD13" s="1185"/>
      <c r="AE13" s="1196">
        <f>IF(B13="","",SUM(D13,J13,M13,G13,S13,V13,Y13,AB13,))</f>
        <v>6</v>
      </c>
      <c r="AF13" s="1197"/>
      <c r="AG13" s="1200"/>
      <c r="AH13" s="1186">
        <v>11</v>
      </c>
    </row>
    <row r="14" spans="1:34" ht="12" customHeight="1" x14ac:dyDescent="0.2">
      <c r="A14" s="1176"/>
      <c r="B14" s="1178"/>
      <c r="C14" s="442" t="str">
        <f>IF(B13="","",VLOOKUP(B13,'Списки участников'!A:H,6,FALSE))</f>
        <v>ТПП</v>
      </c>
      <c r="D14" s="449">
        <f>IF(P6="","",IF(R6="l","W",R6))</f>
        <v>2</v>
      </c>
      <c r="E14" s="444" t="str">
        <f>IF(Q6="","",":")</f>
        <v>:</v>
      </c>
      <c r="F14" s="450">
        <f>IF(R6="","",IF(P6="W","L",P6))</f>
        <v>0</v>
      </c>
      <c r="G14" s="449">
        <f>IF(P8="","",IF(R8="l","W",R8))</f>
        <v>1</v>
      </c>
      <c r="H14" s="444" t="str">
        <f>IF(Q8="","",":")</f>
        <v>:</v>
      </c>
      <c r="I14" s="450">
        <f>IF(R8="","",IF(P8="W","L",P8))</f>
        <v>2</v>
      </c>
      <c r="J14" s="449">
        <f>IF(P10="","",IF(R10="l","W",R10))</f>
        <v>1</v>
      </c>
      <c r="K14" s="444" t="str">
        <f>IF(Q10="","",":")</f>
        <v>:</v>
      </c>
      <c r="L14" s="450">
        <f>IF(R10="","",IF(P10="W","L",P10))</f>
        <v>2</v>
      </c>
      <c r="M14" s="449">
        <f>IF(P12="","",IF(R12="l","W",R12))</f>
        <v>2</v>
      </c>
      <c r="N14" s="444" t="str">
        <f>IF(Q12="","",":")</f>
        <v>:</v>
      </c>
      <c r="O14" s="450">
        <f>IF(R12="","",IF(P12="W","L",P12))</f>
        <v>1</v>
      </c>
      <c r="P14" s="1195"/>
      <c r="Q14" s="1181"/>
      <c r="R14" s="1182"/>
      <c r="S14" s="443"/>
      <c r="T14" s="444" t="str">
        <f>IF(S13="","",":")</f>
        <v/>
      </c>
      <c r="U14" s="445"/>
      <c r="V14" s="443"/>
      <c r="W14" s="444" t="str">
        <f>IF(V13="","",":")</f>
        <v/>
      </c>
      <c r="X14" s="445"/>
      <c r="Y14" s="443"/>
      <c r="Z14" s="444" t="str">
        <f>IF(Y13="","",":")</f>
        <v/>
      </c>
      <c r="AA14" s="445"/>
      <c r="AB14" s="443"/>
      <c r="AC14" s="444" t="str">
        <f>IF(AB14="","",":")</f>
        <v/>
      </c>
      <c r="AD14" s="445"/>
      <c r="AE14" s="1198"/>
      <c r="AF14" s="1199"/>
      <c r="AG14" s="1201"/>
      <c r="AH14" s="1186"/>
    </row>
    <row r="15" spans="1:34" ht="12" customHeight="1" x14ac:dyDescent="0.2">
      <c r="A15" s="1175">
        <v>6</v>
      </c>
      <c r="B15" s="1177"/>
      <c r="C15" s="441" t="str">
        <f>IF(B15="","",VLOOKUP(B15,'Списки участников'!A:H,3,FALSE))</f>
        <v/>
      </c>
      <c r="D15" s="1183" t="str">
        <f>IF(S5="","",IF(S6="W",0,IF(S5=2,1,IF(S5=1,2,IF(S5=0,2)))))</f>
        <v/>
      </c>
      <c r="E15" s="1184"/>
      <c r="F15" s="1185"/>
      <c r="G15" s="1183" t="str">
        <f>IF(S7="","",IF(S8="W",0,IF(S7=2,1,IF(S7=1,2,IF(S7=0,2)))))</f>
        <v/>
      </c>
      <c r="H15" s="1184"/>
      <c r="I15" s="1185"/>
      <c r="J15" s="1183" t="str">
        <f>IF(S9="","",IF(S10="W",0,IF(S9=2,1,IF(S9=1,2,IF(S9=0,2)))))</f>
        <v/>
      </c>
      <c r="K15" s="1184"/>
      <c r="L15" s="1185"/>
      <c r="M15" s="1183" t="str">
        <f>IF(S11="","",IF(S12="W",0,IF(S11=2,1,IF(S11=1,2,IF(S11=0,2)))))</f>
        <v/>
      </c>
      <c r="N15" s="1184"/>
      <c r="O15" s="1185"/>
      <c r="P15" s="1183" t="str">
        <f>IF(S13="","",IF(S14="W",0,IF(S13=2,1,IF(S13=1,2,IF(S13=0,2)))))</f>
        <v/>
      </c>
      <c r="Q15" s="1184"/>
      <c r="R15" s="1185"/>
      <c r="S15" s="1192"/>
      <c r="T15" s="1193"/>
      <c r="U15" s="1194"/>
      <c r="V15" s="1183"/>
      <c r="W15" s="1184"/>
      <c r="X15" s="1185"/>
      <c r="Y15" s="1183"/>
      <c r="Z15" s="1184"/>
      <c r="AA15" s="1185"/>
      <c r="AB15" s="1183"/>
      <c r="AC15" s="1184"/>
      <c r="AD15" s="1185"/>
      <c r="AE15" s="1196" t="str">
        <f>IF(B15="","",SUM(D15,J15,M15,P15,G15,V15,Y15,AB15,))</f>
        <v/>
      </c>
      <c r="AF15" s="1197"/>
      <c r="AG15" s="1200"/>
      <c r="AH15" s="1186" t="str">
        <f>IF(B15="","",RANK(AE15,ГР13О))</f>
        <v/>
      </c>
    </row>
    <row r="16" spans="1:34" ht="12" customHeight="1" x14ac:dyDescent="0.2">
      <c r="A16" s="1176"/>
      <c r="B16" s="1178"/>
      <c r="C16" s="442" t="str">
        <f>IF(B15="","",VLOOKUP(B15,'Списки участников'!A:H,6,FALSE))</f>
        <v/>
      </c>
      <c r="D16" s="449" t="str">
        <f>IF(S6="","",IF(U6="l","W",U6))</f>
        <v/>
      </c>
      <c r="E16" s="444" t="str">
        <f>IF(T6="","",":")</f>
        <v/>
      </c>
      <c r="F16" s="450" t="str">
        <f>IF(U6="","",IF(S6="W","L",S6))</f>
        <v/>
      </c>
      <c r="G16" s="449" t="str">
        <f>IF(S8="","",IF(U8="l","W",U8))</f>
        <v/>
      </c>
      <c r="H16" s="444" t="str">
        <f>IF(T8="","",":")</f>
        <v/>
      </c>
      <c r="I16" s="450" t="str">
        <f>IF(U8="","",IF(S8="W","L",S8))</f>
        <v/>
      </c>
      <c r="J16" s="449" t="str">
        <f>IF(S10="","",IF(U10="l","W",U10))</f>
        <v/>
      </c>
      <c r="K16" s="444" t="str">
        <f>IF(T10="","",":")</f>
        <v/>
      </c>
      <c r="L16" s="450" t="str">
        <f>IF(U10="","",IF(S10="W","L",S10))</f>
        <v/>
      </c>
      <c r="M16" s="449" t="str">
        <f>IF(S12="","",IF(U12="l","W",U12))</f>
        <v/>
      </c>
      <c r="N16" s="444" t="str">
        <f>IF(T12="","",":")</f>
        <v/>
      </c>
      <c r="O16" s="450" t="str">
        <f>IF(U12="","",IF(S12="W","L",S12))</f>
        <v/>
      </c>
      <c r="P16" s="449" t="str">
        <f>IF(S14="","",IF(U14="l","W",U14))</f>
        <v/>
      </c>
      <c r="Q16" s="444" t="str">
        <f>IF(T14="","",":")</f>
        <v/>
      </c>
      <c r="R16" s="450" t="str">
        <f>IF(U14="","",IF(S14="W","L",S14))</f>
        <v/>
      </c>
      <c r="S16" s="1195"/>
      <c r="T16" s="1181"/>
      <c r="U16" s="1182"/>
      <c r="V16" s="443"/>
      <c r="W16" s="444" t="str">
        <f>IF(V15="","",":")</f>
        <v/>
      </c>
      <c r="X16" s="445"/>
      <c r="Y16" s="443"/>
      <c r="Z16" s="444" t="str">
        <f>IF(Y15="","",":")</f>
        <v/>
      </c>
      <c r="AA16" s="445"/>
      <c r="AB16" s="443"/>
      <c r="AC16" s="444" t="str">
        <f>IF(AB15="","",":")</f>
        <v/>
      </c>
      <c r="AD16" s="445"/>
      <c r="AE16" s="1198"/>
      <c r="AF16" s="1199"/>
      <c r="AG16" s="1201"/>
      <c r="AH16" s="1186"/>
    </row>
    <row r="17" spans="1:34" ht="12" hidden="1" customHeight="1" x14ac:dyDescent="0.2">
      <c r="A17" s="1175">
        <v>7</v>
      </c>
      <c r="B17" s="1177"/>
      <c r="C17" s="441" t="str">
        <f>IF(B17="","",VLOOKUP(B17,'Списки участников'!A:H,3,FALSE))</f>
        <v/>
      </c>
      <c r="D17" s="1183" t="str">
        <f>IF(V5="","",IF(V6="W",0,IF(V5=2,1,IF(V5=1,2,IF(V5=0,2)))))</f>
        <v/>
      </c>
      <c r="E17" s="1184"/>
      <c r="F17" s="1185"/>
      <c r="G17" s="1183" t="str">
        <f>IF(V7="","",IF(V8="W",0,IF(V7=2,1,IF(V7=1,2,IF(V7=0,2)))))</f>
        <v/>
      </c>
      <c r="H17" s="1184"/>
      <c r="I17" s="1185"/>
      <c r="J17" s="1183" t="str">
        <f>IF(V9="","",IF(V10="W",0,IF(V9=2,1,IF(V9=1,2,IF(V9=0,2)))))</f>
        <v/>
      </c>
      <c r="K17" s="1184"/>
      <c r="L17" s="1185"/>
      <c r="M17" s="1183" t="str">
        <f>IF(V11="","",IF(V12="W",0,IF(V11=2,1,IF(V11=1,2,IF(V11=0,2)))))</f>
        <v/>
      </c>
      <c r="N17" s="1184"/>
      <c r="O17" s="1185"/>
      <c r="P17" s="1183" t="str">
        <f>IF(V13="","",IF(V14="W",0,IF(V13=2,1,IF(V13=1,2,IF(V13=0,2)))))</f>
        <v/>
      </c>
      <c r="Q17" s="1184"/>
      <c r="R17" s="1185"/>
      <c r="S17" s="1183" t="str">
        <f>IF(V15="","",IF(V16="W",0,IF(V15=2,1,IF(V15=1,2,IF(V15=0,2)))))</f>
        <v/>
      </c>
      <c r="T17" s="1184"/>
      <c r="U17" s="1185"/>
      <c r="V17" s="1203"/>
      <c r="W17" s="1179"/>
      <c r="X17" s="1180"/>
      <c r="Y17" s="1183"/>
      <c r="Z17" s="1184"/>
      <c r="AA17" s="1185"/>
      <c r="AB17" s="1183"/>
      <c r="AC17" s="1184"/>
      <c r="AD17" s="1185"/>
      <c r="AE17" s="1196" t="str">
        <f>IF(B17="","",SUM(D17,J17,M17,P17,S17,G17,Y17,AB17,))</f>
        <v/>
      </c>
      <c r="AF17" s="1197"/>
      <c r="AG17" s="1200"/>
      <c r="AH17" s="1186" t="str">
        <f>IF(B17="","",RANK(AE17,ГР13О))</f>
        <v/>
      </c>
    </row>
    <row r="18" spans="1:34" ht="12" hidden="1" customHeight="1" x14ac:dyDescent="0.2">
      <c r="A18" s="1176"/>
      <c r="B18" s="1178"/>
      <c r="C18" s="442" t="str">
        <f>IF(B17="","",VLOOKUP(B17,'Списки участников'!A:H,6,FALSE))</f>
        <v/>
      </c>
      <c r="D18" s="449" t="str">
        <f>IF(V6="","",IF(X6="l","W",X6))</f>
        <v/>
      </c>
      <c r="E18" s="444" t="str">
        <f>IF(W6="","",":")</f>
        <v/>
      </c>
      <c r="F18" s="450" t="str">
        <f>IF(X6="","",IF(V6="W","L",V6))</f>
        <v/>
      </c>
      <c r="G18" s="449" t="str">
        <f>IF(V8="","",IF(X8="l","W",X8))</f>
        <v/>
      </c>
      <c r="H18" s="444" t="str">
        <f>IF(W8="","",":")</f>
        <v/>
      </c>
      <c r="I18" s="450" t="str">
        <f>IF(X8="","",IF(V8="W","L",V8))</f>
        <v/>
      </c>
      <c r="J18" s="449" t="str">
        <f>IF(V10="","",IF(X10="l","W",X10))</f>
        <v/>
      </c>
      <c r="K18" s="444" t="str">
        <f>IF(W10="","",":")</f>
        <v/>
      </c>
      <c r="L18" s="450" t="str">
        <f>IF(X10="","",IF(V10="W","L",V10))</f>
        <v/>
      </c>
      <c r="M18" s="449" t="str">
        <f>IF(V12="","",IF(X12="l","W",X12))</f>
        <v/>
      </c>
      <c r="N18" s="444" t="str">
        <f>IF(W12="","",":")</f>
        <v/>
      </c>
      <c r="O18" s="450" t="str">
        <f>IF(X12="","",IF(V12="W","L",V12))</f>
        <v/>
      </c>
      <c r="P18" s="449" t="str">
        <f>IF(V14="","",IF(X14="l","W",X14))</f>
        <v/>
      </c>
      <c r="Q18" s="444" t="str">
        <f>IF(W14="","",":")</f>
        <v/>
      </c>
      <c r="R18" s="450" t="str">
        <f>IF(X14="","",IF(V14="W","L",V14))</f>
        <v/>
      </c>
      <c r="S18" s="449" t="str">
        <f>IF(V16="","",IF(X16="l","W",X16))</f>
        <v/>
      </c>
      <c r="T18" s="444" t="str">
        <f>IF(W16="","",":")</f>
        <v/>
      </c>
      <c r="U18" s="450" t="str">
        <f>IF(X16="","",IF(V16="W","L",V16))</f>
        <v/>
      </c>
      <c r="V18" s="1195"/>
      <c r="W18" s="1181"/>
      <c r="X18" s="1182"/>
      <c r="Y18" s="443"/>
      <c r="Z18" s="444" t="str">
        <f>IF(Y17="","",":")</f>
        <v/>
      </c>
      <c r="AA18" s="445"/>
      <c r="AB18" s="443"/>
      <c r="AC18" s="444" t="str">
        <f>IF(AB17="","",":")</f>
        <v/>
      </c>
      <c r="AD18" s="445"/>
      <c r="AE18" s="1198"/>
      <c r="AF18" s="1199"/>
      <c r="AG18" s="1201"/>
      <c r="AH18" s="1186"/>
    </row>
    <row r="19" spans="1:34" ht="12" hidden="1" customHeight="1" x14ac:dyDescent="0.2">
      <c r="A19" s="1175">
        <v>8</v>
      </c>
      <c r="B19" s="1177"/>
      <c r="C19" s="441" t="str">
        <f>IF(B19="","",VLOOKUP(B19,'Списки участников'!A:H,3,FALSE))</f>
        <v/>
      </c>
      <c r="D19" s="1183" t="str">
        <f>IF(Y5="","",IF(Y6="W",0,IF(Y5=2,1,IF(Y5=1,2,IF(Y5=0,2)))))</f>
        <v/>
      </c>
      <c r="E19" s="1184"/>
      <c r="F19" s="1185"/>
      <c r="G19" s="1183" t="str">
        <f>IF(Y7="","",IF(Y8="W",0,IF(Y7=2,1,IF(Y7=1,2,IF(Y7=0,2)))))</f>
        <v/>
      </c>
      <c r="H19" s="1184"/>
      <c r="I19" s="1185"/>
      <c r="J19" s="1183" t="str">
        <f>IF(Y9="","",IF(Y10="W",0,IF(Y9=2,1,IF(Y9=1,2,IF(Y9=0,2)))))</f>
        <v/>
      </c>
      <c r="K19" s="1184"/>
      <c r="L19" s="1185"/>
      <c r="M19" s="1183" t="str">
        <f>IF(Y11="","",IF(Y12="W",0,IF(Y11=2,1,IF(Y11=1,2,IF(Y11=0,2)))))</f>
        <v/>
      </c>
      <c r="N19" s="1184"/>
      <c r="O19" s="1185"/>
      <c r="P19" s="1183" t="str">
        <f>IF(Y13="","",IF(Y14="W",0,IF(Y13=2,1,IF(Y13=1,2,IF(Y13=0,2)))))</f>
        <v/>
      </c>
      <c r="Q19" s="1184"/>
      <c r="R19" s="1185"/>
      <c r="S19" s="1183" t="str">
        <f>IF(Y15="","",IF(Y16="W",0,IF(Y15=2,1,IF(Y15=1,2,IF(Y15=0,2)))))</f>
        <v/>
      </c>
      <c r="T19" s="1184"/>
      <c r="U19" s="1185"/>
      <c r="V19" s="1183" t="str">
        <f>IF(Y17="","",IF(Y18="W",0,IF(Y17=2,1,IF(Y17=1,2,IF(Y17=0,2)))))</f>
        <v/>
      </c>
      <c r="W19" s="1184"/>
      <c r="X19" s="1185"/>
      <c r="Y19" s="1192"/>
      <c r="Z19" s="1193"/>
      <c r="AA19" s="1194"/>
      <c r="AB19" s="1183"/>
      <c r="AC19" s="1184"/>
      <c r="AD19" s="1185"/>
      <c r="AE19" s="1196" t="str">
        <f>IF(B19="","",SUM(D19,J19,M19,P19,S19,V19,G19,AB19,))</f>
        <v/>
      </c>
      <c r="AF19" s="1197"/>
      <c r="AG19" s="1200"/>
      <c r="AH19" s="1186" t="str">
        <f>IF(B19="","",RANK(AE19,ГР13О))</f>
        <v/>
      </c>
    </row>
    <row r="20" spans="1:34" ht="12" hidden="1" customHeight="1" x14ac:dyDescent="0.2">
      <c r="A20" s="1176"/>
      <c r="B20" s="1178"/>
      <c r="C20" s="442" t="str">
        <f>IF(B19="","",VLOOKUP(B19,'Списки участников'!A:H,6,FALSE))</f>
        <v/>
      </c>
      <c r="D20" s="449" t="str">
        <f>IF(Y6="","",IF(AA6="l","W",AA6))</f>
        <v/>
      </c>
      <c r="E20" s="444" t="str">
        <f>IF(Z6="","",":")</f>
        <v/>
      </c>
      <c r="F20" s="450" t="str">
        <f>IF(AA6="","",IF(Y6="W","L",Y6))</f>
        <v/>
      </c>
      <c r="G20" s="449" t="str">
        <f>IF(Y8="","",IF(AA8="l","W",AA8))</f>
        <v/>
      </c>
      <c r="H20" s="444" t="str">
        <f>IF(Z8="","",":")</f>
        <v/>
      </c>
      <c r="I20" s="450" t="str">
        <f>IF(AA8="","",IF(Y8="W","L",Y8))</f>
        <v/>
      </c>
      <c r="J20" s="449" t="str">
        <f>IF(Y10="","",IF(AA10="l","W",AA10))</f>
        <v/>
      </c>
      <c r="K20" s="444" t="str">
        <f>IF(Z10="","",":")</f>
        <v/>
      </c>
      <c r="L20" s="450" t="str">
        <f>IF(AA10="","",IF(Y10="W","L",Y10))</f>
        <v/>
      </c>
      <c r="M20" s="449" t="str">
        <f>IF(Y12="","",IF(AA12="l","W",AA12))</f>
        <v/>
      </c>
      <c r="N20" s="444" t="str">
        <f>IF(Z12="","",":")</f>
        <v/>
      </c>
      <c r="O20" s="450" t="str">
        <f>IF(AA12="","",IF(Y12="W","L",Y12))</f>
        <v/>
      </c>
      <c r="P20" s="449" t="str">
        <f>IF(Y14="","",IF(AA14="l","W",AA14))</f>
        <v/>
      </c>
      <c r="Q20" s="444" t="str">
        <f>IF(Z14="","",":")</f>
        <v/>
      </c>
      <c r="R20" s="450" t="str">
        <f>IF(AA14="","",IF(Y14="W","L",Y14))</f>
        <v/>
      </c>
      <c r="S20" s="449" t="str">
        <f>IF(Y16="","",IF(AA16="l","W",AA16))</f>
        <v/>
      </c>
      <c r="T20" s="444" t="str">
        <f>IF(Z16="","",":")</f>
        <v/>
      </c>
      <c r="U20" s="450" t="str">
        <f>IF(AA16="","",IF(Y16="W","L",Y16))</f>
        <v/>
      </c>
      <c r="V20" s="449" t="str">
        <f>IF(Y18="","",IF(AA18="l","W",AA18))</f>
        <v/>
      </c>
      <c r="W20" s="444" t="str">
        <f>IF(Z18="","",":")</f>
        <v/>
      </c>
      <c r="X20" s="450" t="str">
        <f>IF(AA18="","",IF(Y18="W","L",Y18))</f>
        <v/>
      </c>
      <c r="Y20" s="1195"/>
      <c r="Z20" s="1181"/>
      <c r="AA20" s="1182"/>
      <c r="AB20" s="443"/>
      <c r="AC20" s="444" t="str">
        <f>IF(AB19="","",":")</f>
        <v/>
      </c>
      <c r="AD20" s="445"/>
      <c r="AE20" s="1198"/>
      <c r="AF20" s="1199"/>
      <c r="AG20" s="1201"/>
      <c r="AH20" s="1186"/>
    </row>
    <row r="21" spans="1:34" ht="12" hidden="1" customHeight="1" x14ac:dyDescent="0.2">
      <c r="A21" s="1175">
        <v>9</v>
      </c>
      <c r="B21" s="1177"/>
      <c r="C21" s="441" t="str">
        <f>IF(B21="","",VLOOKUP(B21,'Списки участников'!A:H,3,FALSE))</f>
        <v/>
      </c>
      <c r="D21" s="1183" t="str">
        <f>IF(AB5="","",IF(AB6="W",0,IF(AB5=2,1,IF(AB5=1,2,IF(AB5=0,2)))))</f>
        <v/>
      </c>
      <c r="E21" s="1184"/>
      <c r="F21" s="1185"/>
      <c r="G21" s="1183" t="str">
        <f>IF(AB7="","",IF(AB8="W",0,IF(AB7=2,1,IF(AB7=1,2,IF(AB7=0,2)))))</f>
        <v/>
      </c>
      <c r="H21" s="1184"/>
      <c r="I21" s="1185"/>
      <c r="J21" s="1183" t="str">
        <f>IF(AB9="","",IF(AB10="W",0,IF(AB9=2,1,IF(AB9=1,2,IF(AB9=0,2)))))</f>
        <v/>
      </c>
      <c r="K21" s="1184"/>
      <c r="L21" s="1185"/>
      <c r="M21" s="1183" t="str">
        <f>IF(AB11="","",IF(AB12="W",0,IF(AB11=2,1,IF(AB11=1,2,IF(AB11=0,2)))))</f>
        <v/>
      </c>
      <c r="N21" s="1184"/>
      <c r="O21" s="1185"/>
      <c r="P21" s="1183" t="str">
        <f>IF(AB13="","",IF(AB14="W",0,IF(AB13=2,1,IF(AB13=1,2,IF(AB13=0,2)))))</f>
        <v/>
      </c>
      <c r="Q21" s="1184"/>
      <c r="R21" s="1185"/>
      <c r="S21" s="1183" t="str">
        <f>IF(AB15="","",IF(AB16="W",0,IF(AB15=2,1,IF(AB15=1,2,IF(AB15=0,2)))))</f>
        <v/>
      </c>
      <c r="T21" s="1184"/>
      <c r="U21" s="1185"/>
      <c r="V21" s="1183" t="str">
        <f>IF(AB17="","",IF(AB18="W",0,IF(AB17=2,1,IF(AB17=1,2,IF(AB17=0,2)))))</f>
        <v/>
      </c>
      <c r="W21" s="1184"/>
      <c r="X21" s="1185"/>
      <c r="Y21" s="1183" t="str">
        <f>IF(AB19="","",IF(AB20="W",0,IF(AB19=2,1,IF(AB19=1,2,IF(AB19=0,2)))))</f>
        <v/>
      </c>
      <c r="Z21" s="1184"/>
      <c r="AA21" s="1185"/>
      <c r="AB21" s="1203"/>
      <c r="AC21" s="1179"/>
      <c r="AD21" s="1180"/>
      <c r="AE21" s="1196" t="str">
        <f>IF(B21="","",SUM(D21,J21,M21,P21,S21,V21,Y21,G21,))</f>
        <v/>
      </c>
      <c r="AF21" s="1197"/>
      <c r="AG21" s="1200"/>
      <c r="AH21" s="1186" t="str">
        <f>IF(B21="","",RANK(AE21,ГР13О))</f>
        <v/>
      </c>
    </row>
    <row r="22" spans="1:34" ht="12" hidden="1" customHeight="1" x14ac:dyDescent="0.2">
      <c r="A22" s="1176"/>
      <c r="B22" s="1178"/>
      <c r="C22" s="442" t="str">
        <f>IF(B21="","",VLOOKUP(B21,'Списки участников'!A:H,6,FALSE))</f>
        <v/>
      </c>
      <c r="D22" s="449" t="str">
        <f>IF(AB6="","",IF(AD6="l","W",AD6))</f>
        <v/>
      </c>
      <c r="E22" s="444" t="str">
        <f>IF(AC6="","",":")</f>
        <v/>
      </c>
      <c r="F22" s="450" t="str">
        <f>IF(AD6="","",IF(AB6="W","L",AB6))</f>
        <v/>
      </c>
      <c r="G22" s="449" t="str">
        <f>IF(AB8="","",IF(AD8="l","W",AD8))</f>
        <v/>
      </c>
      <c r="H22" s="444" t="str">
        <f>IF(AC8="","",":")</f>
        <v/>
      </c>
      <c r="I22" s="450" t="str">
        <f>IF(AD8="","",IF(AB8="W","L",AB8))</f>
        <v/>
      </c>
      <c r="J22" s="449" t="str">
        <f>IF(AB10="","",IF(AD10="l","W",AD10))</f>
        <v/>
      </c>
      <c r="K22" s="444" t="str">
        <f>IF(AC10="","",":")</f>
        <v/>
      </c>
      <c r="L22" s="450" t="str">
        <f>IF(AD10="","",IF(AB10="W","L",AB10))</f>
        <v/>
      </c>
      <c r="M22" s="449" t="str">
        <f>IF(AB12="","",IF(AD12="l","W",AD12))</f>
        <v/>
      </c>
      <c r="N22" s="444" t="str">
        <f>IF(AC12="","",":")</f>
        <v/>
      </c>
      <c r="O22" s="450" t="str">
        <f>IF(AD12="","",IF(AB12="W","L",AB12))</f>
        <v/>
      </c>
      <c r="P22" s="449" t="str">
        <f>IF(AB14="","",IF(AD14="l","W",AD14))</f>
        <v/>
      </c>
      <c r="Q22" s="444" t="str">
        <f>IF(AC14="","",":")</f>
        <v/>
      </c>
      <c r="R22" s="450" t="str">
        <f>IF(AD14="","",IF(AB14="W","L",AB14))</f>
        <v/>
      </c>
      <c r="S22" s="449" t="str">
        <f>IF(AB16="","",IF(AD16="l","W",AD16))</f>
        <v/>
      </c>
      <c r="T22" s="444" t="str">
        <f>IF(AC16="","",":")</f>
        <v/>
      </c>
      <c r="U22" s="450" t="str">
        <f>IF(AD16="","",IF(AB16="W","L",AB16))</f>
        <v/>
      </c>
      <c r="V22" s="449" t="str">
        <f>IF(AB18="","",IF(AD18="l","W",AD18))</f>
        <v/>
      </c>
      <c r="W22" s="444" t="str">
        <f>IF(AC18="","",":")</f>
        <v/>
      </c>
      <c r="X22" s="450" t="str">
        <f>IF(AD18="","",IF(AB18="W","L",AB18))</f>
        <v/>
      </c>
      <c r="Y22" s="449" t="str">
        <f>IF(AB20="","",IF(AD20="l","W",AD20))</f>
        <v/>
      </c>
      <c r="Z22" s="444" t="str">
        <f>IF(AC20="","",":")</f>
        <v/>
      </c>
      <c r="AA22" s="450" t="str">
        <f>IF(AD20="","",IF(AB20="W","L",AB20))</f>
        <v/>
      </c>
      <c r="AB22" s="1195"/>
      <c r="AC22" s="1181"/>
      <c r="AD22" s="1182"/>
      <c r="AE22" s="1198"/>
      <c r="AF22" s="1199"/>
      <c r="AG22" s="1201"/>
      <c r="AH22" s="1186"/>
    </row>
    <row r="23" spans="1:34" ht="12" hidden="1" customHeight="1" x14ac:dyDescent="0.25">
      <c r="A23" s="128"/>
      <c r="B23" s="128"/>
      <c r="C23" s="451"/>
      <c r="D23" s="128"/>
      <c r="E23" s="128"/>
      <c r="F23" s="128"/>
      <c r="G23" s="1204" t="s">
        <v>2615</v>
      </c>
      <c r="H23" s="1204"/>
      <c r="I23" s="1204"/>
      <c r="J23" s="1204"/>
      <c r="K23" s="1204"/>
      <c r="L23" s="1204"/>
      <c r="M23" s="1204"/>
      <c r="N23" s="1204"/>
      <c r="O23" s="1204"/>
      <c r="P23" s="1204"/>
      <c r="Q23" s="1204"/>
      <c r="R23" s="1204"/>
      <c r="S23" s="1204"/>
      <c r="T23" s="1204"/>
      <c r="U23" s="1204"/>
      <c r="V23" s="1204"/>
      <c r="W23" s="1204"/>
      <c r="X23" s="1204"/>
      <c r="Y23" s="1204"/>
      <c r="Z23" s="1204"/>
      <c r="AA23" s="1204"/>
      <c r="AB23" s="128"/>
      <c r="AC23" s="128"/>
      <c r="AD23" s="128"/>
      <c r="AE23" s="128"/>
      <c r="AF23" s="128"/>
      <c r="AG23" s="128"/>
      <c r="AH23" s="128"/>
    </row>
    <row r="24" spans="1:34" ht="12" hidden="1" customHeight="1" x14ac:dyDescent="0.2">
      <c r="A24" s="129" t="s">
        <v>3</v>
      </c>
      <c r="B24" s="846"/>
      <c r="C24" s="131" t="s">
        <v>757</v>
      </c>
      <c r="D24" s="1170">
        <v>1</v>
      </c>
      <c r="E24" s="1171"/>
      <c r="F24" s="1172"/>
      <c r="G24" s="1170">
        <v>2</v>
      </c>
      <c r="H24" s="1171"/>
      <c r="I24" s="1172"/>
      <c r="J24" s="1170">
        <v>3</v>
      </c>
      <c r="K24" s="1171"/>
      <c r="L24" s="1172"/>
      <c r="M24" s="1170">
        <v>4</v>
      </c>
      <c r="N24" s="1171"/>
      <c r="O24" s="1172"/>
      <c r="P24" s="1170">
        <v>5</v>
      </c>
      <c r="Q24" s="1171"/>
      <c r="R24" s="1172"/>
      <c r="S24" s="1170">
        <v>6</v>
      </c>
      <c r="T24" s="1171"/>
      <c r="U24" s="1172"/>
      <c r="V24" s="1170">
        <v>7</v>
      </c>
      <c r="W24" s="1171"/>
      <c r="X24" s="1172"/>
      <c r="Y24" s="1170">
        <v>8</v>
      </c>
      <c r="Z24" s="1171"/>
      <c r="AA24" s="1172"/>
      <c r="AB24" s="1170">
        <v>9</v>
      </c>
      <c r="AC24" s="1171"/>
      <c r="AD24" s="1172"/>
      <c r="AE24" s="1173" t="s">
        <v>758</v>
      </c>
      <c r="AF24" s="1174"/>
      <c r="AG24" s="847" t="s">
        <v>759</v>
      </c>
      <c r="AH24" s="440" t="s">
        <v>100</v>
      </c>
    </row>
    <row r="25" spans="1:34" ht="12" hidden="1" customHeight="1" x14ac:dyDescent="0.2">
      <c r="A25" s="1175">
        <v>1</v>
      </c>
      <c r="B25" s="1205"/>
      <c r="C25" s="441" t="str">
        <f>IF(B25="","",VLOOKUP(B25,'Списки участников'!A:H,3,FALSE))</f>
        <v/>
      </c>
      <c r="D25" s="1179"/>
      <c r="E25" s="1179"/>
      <c r="F25" s="1180"/>
      <c r="G25" s="1183"/>
      <c r="H25" s="1184"/>
      <c r="I25" s="1185"/>
      <c r="J25" s="1183"/>
      <c r="K25" s="1184"/>
      <c r="L25" s="1185"/>
      <c r="M25" s="1183"/>
      <c r="N25" s="1184"/>
      <c r="O25" s="1185"/>
      <c r="P25" s="1183"/>
      <c r="Q25" s="1184"/>
      <c r="R25" s="1185"/>
      <c r="S25" s="1183"/>
      <c r="T25" s="1184"/>
      <c r="U25" s="1185"/>
      <c r="V25" s="1183"/>
      <c r="W25" s="1184"/>
      <c r="X25" s="1185"/>
      <c r="Y25" s="1183"/>
      <c r="Z25" s="1184"/>
      <c r="AA25" s="1185"/>
      <c r="AB25" s="1183"/>
      <c r="AC25" s="1184"/>
      <c r="AD25" s="1185"/>
      <c r="AE25" s="1196" t="str">
        <f>IF(B25="","",SUM(G25,J25,M25,P25,S25,V25,Y25,AB25,))</f>
        <v/>
      </c>
      <c r="AF25" s="1197"/>
      <c r="AG25" s="1187"/>
      <c r="AH25" s="1186" t="str">
        <f>IF(B25="","",RANK(AE25,ГР14О))</f>
        <v/>
      </c>
    </row>
    <row r="26" spans="1:34" ht="12" hidden="1" customHeight="1" x14ac:dyDescent="0.2">
      <c r="A26" s="1176"/>
      <c r="B26" s="1206"/>
      <c r="C26" s="442" t="str">
        <f>IF(B25="","",VLOOKUP(B25,'Списки участников'!A:H,6,FALSE))</f>
        <v/>
      </c>
      <c r="D26" s="1181"/>
      <c r="E26" s="1181"/>
      <c r="F26" s="1182"/>
      <c r="G26" s="443"/>
      <c r="H26" s="444" t="str">
        <f>IF(G25="","",":")</f>
        <v/>
      </c>
      <c r="I26" s="445"/>
      <c r="J26" s="443"/>
      <c r="K26" s="444" t="str">
        <f>IF(J25="","",":")</f>
        <v/>
      </c>
      <c r="L26" s="445"/>
      <c r="M26" s="443"/>
      <c r="N26" s="444" t="str">
        <f>IF(M26="","",":")</f>
        <v/>
      </c>
      <c r="O26" s="445"/>
      <c r="P26" s="443"/>
      <c r="Q26" s="444" t="str">
        <f>IF(P26="","",":")</f>
        <v/>
      </c>
      <c r="R26" s="445"/>
      <c r="S26" s="443"/>
      <c r="T26" s="444" t="str">
        <f>IF(S26="","",":")</f>
        <v/>
      </c>
      <c r="U26" s="445"/>
      <c r="V26" s="443"/>
      <c r="W26" s="444" t="str">
        <f>IF(V26="","",":")</f>
        <v/>
      </c>
      <c r="X26" s="445"/>
      <c r="Y26" s="443"/>
      <c r="Z26" s="444" t="str">
        <f>IF(Y26="","",":")</f>
        <v/>
      </c>
      <c r="AA26" s="445"/>
      <c r="AB26" s="443"/>
      <c r="AC26" s="444" t="str">
        <f>IF(AB26="","",":")</f>
        <v/>
      </c>
      <c r="AD26" s="445"/>
      <c r="AE26" s="1198"/>
      <c r="AF26" s="1199"/>
      <c r="AG26" s="1188"/>
      <c r="AH26" s="1186"/>
    </row>
    <row r="27" spans="1:34" ht="12" hidden="1" customHeight="1" x14ac:dyDescent="0.2">
      <c r="A27" s="1175">
        <v>2</v>
      </c>
      <c r="B27" s="1205"/>
      <c r="C27" s="441" t="str">
        <f>IF(B27="","",VLOOKUP(B27,'Списки участников'!A:H,3,FALSE))</f>
        <v/>
      </c>
      <c r="D27" s="1189" t="str">
        <f>IF(G25="","",IF(G26="W",0,IF(G25=2,1,IF(G25=1,2,IF(G25=0,2)))))</f>
        <v/>
      </c>
      <c r="E27" s="1190"/>
      <c r="F27" s="1191"/>
      <c r="G27" s="1192"/>
      <c r="H27" s="1193"/>
      <c r="I27" s="1194"/>
      <c r="J27" s="1183"/>
      <c r="K27" s="1184"/>
      <c r="L27" s="1185"/>
      <c r="M27" s="1183"/>
      <c r="N27" s="1184"/>
      <c r="O27" s="1185"/>
      <c r="P27" s="1183"/>
      <c r="Q27" s="1184"/>
      <c r="R27" s="1185"/>
      <c r="S27" s="1183"/>
      <c r="T27" s="1184"/>
      <c r="U27" s="1185"/>
      <c r="V27" s="1183"/>
      <c r="W27" s="1184"/>
      <c r="X27" s="1185"/>
      <c r="Y27" s="1183"/>
      <c r="Z27" s="1184"/>
      <c r="AA27" s="1185"/>
      <c r="AB27" s="1183"/>
      <c r="AC27" s="1184"/>
      <c r="AD27" s="1185"/>
      <c r="AE27" s="1196" t="str">
        <f>IF(B27="","",SUM(D27,J27,M27,P27,S27,V27,Y27,AB27,))</f>
        <v/>
      </c>
      <c r="AF27" s="1197"/>
      <c r="AG27" s="1187"/>
      <c r="AH27" s="1186" t="str">
        <f>IF(B27="","",RANK(AE27,ГР14О))</f>
        <v/>
      </c>
    </row>
    <row r="28" spans="1:34" ht="12" hidden="1" customHeight="1" x14ac:dyDescent="0.2">
      <c r="A28" s="1176"/>
      <c r="B28" s="1206"/>
      <c r="C28" s="442" t="str">
        <f>IF(B27="","",VLOOKUP(B27,'Списки участников'!A:H,6,FALSE))</f>
        <v/>
      </c>
      <c r="D28" s="446" t="str">
        <f>IF(G26="","",IF(I26="l","W",I26))</f>
        <v/>
      </c>
      <c r="E28" s="447" t="str">
        <f>IF(G25="","",":")</f>
        <v/>
      </c>
      <c r="F28" s="448" t="str">
        <f>IF(I26="","",IF(G26="W","L",G26))</f>
        <v/>
      </c>
      <c r="G28" s="1195"/>
      <c r="H28" s="1181"/>
      <c r="I28" s="1182"/>
      <c r="J28" s="443"/>
      <c r="K28" s="444" t="str">
        <f>IF(J27="","",":")</f>
        <v/>
      </c>
      <c r="L28" s="445"/>
      <c r="M28" s="443"/>
      <c r="N28" s="444" t="str">
        <f>IF(M27="","",":")</f>
        <v/>
      </c>
      <c r="O28" s="445"/>
      <c r="P28" s="443"/>
      <c r="Q28" s="444" t="str">
        <f>IF(P27="","",":")</f>
        <v/>
      </c>
      <c r="R28" s="445"/>
      <c r="S28" s="443"/>
      <c r="T28" s="444" t="str">
        <f>IF(S28="","",":")</f>
        <v/>
      </c>
      <c r="U28" s="445"/>
      <c r="V28" s="443"/>
      <c r="W28" s="444" t="str">
        <f>IF(V28="","",":")</f>
        <v/>
      </c>
      <c r="X28" s="445"/>
      <c r="Y28" s="443"/>
      <c r="Z28" s="444" t="str">
        <f>IF(Y28="","",":")</f>
        <v/>
      </c>
      <c r="AA28" s="445"/>
      <c r="AB28" s="443"/>
      <c r="AC28" s="444" t="str">
        <f>IF(AB28="","",":")</f>
        <v/>
      </c>
      <c r="AD28" s="445"/>
      <c r="AE28" s="1198"/>
      <c r="AF28" s="1199"/>
      <c r="AG28" s="1188"/>
      <c r="AH28" s="1186"/>
    </row>
    <row r="29" spans="1:34" ht="12" hidden="1" customHeight="1" x14ac:dyDescent="0.2">
      <c r="A29" s="1175">
        <v>3</v>
      </c>
      <c r="B29" s="1205"/>
      <c r="C29" s="441" t="str">
        <f>IF(B29="","",VLOOKUP(B29,'Списки участников'!A:H,3,FALSE))</f>
        <v/>
      </c>
      <c r="D29" s="1189" t="str">
        <f>IF(J25="","",IF(J26="W",0,IF(J25=2,1,IF(J25=1,2,IF(J25=0,2)))))</f>
        <v/>
      </c>
      <c r="E29" s="1190"/>
      <c r="F29" s="1191"/>
      <c r="G29" s="1183" t="str">
        <f>IF(J27="","",IF(J28="W",0,IF(J27=2,1,IF(J27=1,2,IF(J27=0,2)))))</f>
        <v/>
      </c>
      <c r="H29" s="1184"/>
      <c r="I29" s="1185"/>
      <c r="J29" s="1192"/>
      <c r="K29" s="1193"/>
      <c r="L29" s="1194"/>
      <c r="M29" s="1183"/>
      <c r="N29" s="1184"/>
      <c r="O29" s="1185"/>
      <c r="P29" s="1183"/>
      <c r="Q29" s="1184"/>
      <c r="R29" s="1185"/>
      <c r="S29" s="1183"/>
      <c r="T29" s="1184"/>
      <c r="U29" s="1185"/>
      <c r="V29" s="1183"/>
      <c r="W29" s="1184"/>
      <c r="X29" s="1185"/>
      <c r="Y29" s="1183"/>
      <c r="Z29" s="1184"/>
      <c r="AA29" s="1185"/>
      <c r="AB29" s="1183"/>
      <c r="AC29" s="1184"/>
      <c r="AD29" s="1185"/>
      <c r="AE29" s="1196" t="str">
        <f>IF(B29="","",SUM(G29,D29,M29,P29,S29,V29,Y29,AB29,))</f>
        <v/>
      </c>
      <c r="AF29" s="1197"/>
      <c r="AG29" s="1200"/>
      <c r="AH29" s="1186" t="str">
        <f>IF(B29="","",RANK(AE29,ГР14О))</f>
        <v/>
      </c>
    </row>
    <row r="30" spans="1:34" ht="12" hidden="1" customHeight="1" x14ac:dyDescent="0.2">
      <c r="A30" s="1176"/>
      <c r="B30" s="1207"/>
      <c r="C30" s="442" t="str">
        <f>IF(B29="","",VLOOKUP(B29,'Списки участников'!A:H,6,FALSE))</f>
        <v/>
      </c>
      <c r="D30" s="449" t="str">
        <f>IF(J26="","",IF(L26="l","W",L26))</f>
        <v/>
      </c>
      <c r="E30" s="444" t="str">
        <f>IF(K26="","",":")</f>
        <v/>
      </c>
      <c r="F30" s="450" t="str">
        <f>IF(L26="","",IF(J26="W","L",J26))</f>
        <v/>
      </c>
      <c r="G30" s="449" t="str">
        <f>IF(J28="","",IF(L28="l","W",L28))</f>
        <v/>
      </c>
      <c r="H30" s="444" t="str">
        <f>IF(K28="","",":")</f>
        <v/>
      </c>
      <c r="I30" s="450" t="str">
        <f>IF(L28="","",IF(J28="W","L",J28))</f>
        <v/>
      </c>
      <c r="J30" s="1195"/>
      <c r="K30" s="1181"/>
      <c r="L30" s="1182"/>
      <c r="M30" s="443"/>
      <c r="N30" s="444" t="str">
        <f>IF(M29="","",":")</f>
        <v/>
      </c>
      <c r="O30" s="445"/>
      <c r="P30" s="443"/>
      <c r="Q30" s="444" t="str">
        <f>IF(P29="","",":")</f>
        <v/>
      </c>
      <c r="R30" s="445"/>
      <c r="S30" s="443"/>
      <c r="T30" s="444" t="str">
        <f>IF(S29="","",":")</f>
        <v/>
      </c>
      <c r="U30" s="445"/>
      <c r="V30" s="443"/>
      <c r="W30" s="444" t="str">
        <f>IF(V30="","",":")</f>
        <v/>
      </c>
      <c r="X30" s="445"/>
      <c r="Y30" s="443"/>
      <c r="Z30" s="444" t="str">
        <f>IF(Y30="","",":")</f>
        <v/>
      </c>
      <c r="AA30" s="445"/>
      <c r="AB30" s="443"/>
      <c r="AC30" s="444" t="str">
        <f>IF(AB30="","",":")</f>
        <v/>
      </c>
      <c r="AD30" s="445"/>
      <c r="AE30" s="1198"/>
      <c r="AF30" s="1199"/>
      <c r="AG30" s="1201"/>
      <c r="AH30" s="1186"/>
    </row>
    <row r="31" spans="1:34" ht="12" hidden="1" customHeight="1" x14ac:dyDescent="0.2">
      <c r="A31" s="1175">
        <v>4</v>
      </c>
      <c r="B31" s="1205"/>
      <c r="C31" s="441" t="str">
        <f>IF(B31="","",VLOOKUP(B31,'Списки участников'!A:H,3,FALSE))</f>
        <v/>
      </c>
      <c r="D31" s="1183" t="str">
        <f>IF(M25="","",IF(M26="W",0,IF(M25=2,1,IF(M25=1,2,IF(M25=0,2)))))</f>
        <v/>
      </c>
      <c r="E31" s="1184"/>
      <c r="F31" s="1185"/>
      <c r="G31" s="1183" t="str">
        <f>IF(M27="","",IF(M28="W",0,IF(M27=2,1,IF(M27=1,2,IF(M27=0,2)))))</f>
        <v/>
      </c>
      <c r="H31" s="1184"/>
      <c r="I31" s="1185"/>
      <c r="J31" s="1183" t="str">
        <f>IF(M29="","",IF(M30="W",0,IF(M29=2,1,IF(M29=1,2,IF(M29=0,2)))))</f>
        <v/>
      </c>
      <c r="K31" s="1184"/>
      <c r="L31" s="1185"/>
      <c r="M31" s="1193"/>
      <c r="N31" s="1193"/>
      <c r="O31" s="1193"/>
      <c r="P31" s="1183"/>
      <c r="Q31" s="1184"/>
      <c r="R31" s="1185"/>
      <c r="S31" s="1183"/>
      <c r="T31" s="1184"/>
      <c r="U31" s="1185"/>
      <c r="V31" s="1183"/>
      <c r="W31" s="1184"/>
      <c r="X31" s="1185"/>
      <c r="Y31" s="1183"/>
      <c r="Z31" s="1184"/>
      <c r="AA31" s="1185"/>
      <c r="AB31" s="1183"/>
      <c r="AC31" s="1184"/>
      <c r="AD31" s="1185"/>
      <c r="AE31" s="1196" t="str">
        <f>IF(B31="","",SUM(G31,J31,D31,P31,S31,V31,Y31,AB31,))</f>
        <v/>
      </c>
      <c r="AF31" s="1197"/>
      <c r="AG31" s="1200"/>
      <c r="AH31" s="1186" t="str">
        <f>IF(B31="","",RANK(AE31,ГР14О))</f>
        <v/>
      </c>
    </row>
    <row r="32" spans="1:34" ht="12" hidden="1" customHeight="1" x14ac:dyDescent="0.2">
      <c r="A32" s="1176"/>
      <c r="B32" s="1207"/>
      <c r="C32" s="442" t="str">
        <f>IF(B31="","",VLOOKUP(B31,'Списки участников'!A:H,6,FALSE))</f>
        <v/>
      </c>
      <c r="D32" s="449" t="str">
        <f>IF(M26="","",IF(O26="l","W",O26))</f>
        <v/>
      </c>
      <c r="E32" s="444" t="str">
        <f>IF(N26="","",":")</f>
        <v/>
      </c>
      <c r="F32" s="450" t="str">
        <f>IF(O26="","",IF(M26="W","L",M26))</f>
        <v/>
      </c>
      <c r="G32" s="449" t="str">
        <f>IF(M28="","",IF(O28="l","W",O28))</f>
        <v/>
      </c>
      <c r="H32" s="444" t="str">
        <f>IF(N28="","",":")</f>
        <v/>
      </c>
      <c r="I32" s="450" t="str">
        <f>IF(O28="","",IF(M28="W","L",M28))</f>
        <v/>
      </c>
      <c r="J32" s="449" t="str">
        <f>IF(M30="","",IF(O30="l","W",O30))</f>
        <v/>
      </c>
      <c r="K32" s="444" t="str">
        <f>IF(N30="","",":")</f>
        <v/>
      </c>
      <c r="L32" s="450" t="str">
        <f>IF(O30="","",IF(M30="W","L",M30))</f>
        <v/>
      </c>
      <c r="M32" s="1202"/>
      <c r="N32" s="1202"/>
      <c r="O32" s="1202"/>
      <c r="P32" s="443"/>
      <c r="Q32" s="444" t="str">
        <f>IF(P31="","",":")</f>
        <v/>
      </c>
      <c r="R32" s="445"/>
      <c r="S32" s="443"/>
      <c r="T32" s="444" t="str">
        <f>IF(S31="","",":")</f>
        <v/>
      </c>
      <c r="U32" s="445"/>
      <c r="V32" s="443"/>
      <c r="W32" s="444" t="str">
        <f>IF(V31="","",":")</f>
        <v/>
      </c>
      <c r="X32" s="445"/>
      <c r="Y32" s="443"/>
      <c r="Z32" s="444" t="str">
        <f>IF(Y32="","",":")</f>
        <v/>
      </c>
      <c r="AA32" s="445"/>
      <c r="AB32" s="443"/>
      <c r="AC32" s="444" t="str">
        <f>IF(AB32="","",":")</f>
        <v/>
      </c>
      <c r="AD32" s="445"/>
      <c r="AE32" s="1198"/>
      <c r="AF32" s="1199"/>
      <c r="AG32" s="1201"/>
      <c r="AH32" s="1186"/>
    </row>
    <row r="33" spans="1:34" ht="12" hidden="1" customHeight="1" x14ac:dyDescent="0.2">
      <c r="A33" s="1175">
        <v>5</v>
      </c>
      <c r="B33" s="1208"/>
      <c r="C33" s="441" t="str">
        <f>IF(B33="","",VLOOKUP(B33,'Списки участников'!A:H,3,FALSE))</f>
        <v/>
      </c>
      <c r="D33" s="1183" t="str">
        <f>IF(P25="","",IF(P26="W",0,IF(P25=2,1,IF(P25=1,2,IF(P25=0,2)))))</f>
        <v/>
      </c>
      <c r="E33" s="1184"/>
      <c r="F33" s="1185"/>
      <c r="G33" s="1183" t="str">
        <f>IF(P27="","",IF(P28="W",0,IF(P27=2,1,IF(P27=1,2,IF(P27=0,2)))))</f>
        <v/>
      </c>
      <c r="H33" s="1184"/>
      <c r="I33" s="1185"/>
      <c r="J33" s="1183" t="str">
        <f>IF(P29="","",IF(P30="W",0,IF(P29=2,1,IF(P29=1,2,IF(P29=0,2)))))</f>
        <v/>
      </c>
      <c r="K33" s="1184"/>
      <c r="L33" s="1185"/>
      <c r="M33" s="1183" t="str">
        <f>IF(P31="","",IF(P32="W",0,IF(P31=2,1,IF(P31=1,2,IF(P31=0,2)))))</f>
        <v/>
      </c>
      <c r="N33" s="1184"/>
      <c r="O33" s="1185"/>
      <c r="P33" s="1192"/>
      <c r="Q33" s="1193"/>
      <c r="R33" s="1194"/>
      <c r="S33" s="1183"/>
      <c r="T33" s="1184"/>
      <c r="U33" s="1185"/>
      <c r="V33" s="1183"/>
      <c r="W33" s="1184"/>
      <c r="X33" s="1185"/>
      <c r="Y33" s="1183"/>
      <c r="Z33" s="1184"/>
      <c r="AA33" s="1185"/>
      <c r="AB33" s="1183"/>
      <c r="AC33" s="1184"/>
      <c r="AD33" s="1185"/>
      <c r="AE33" s="1196" t="str">
        <f>IF(B33="","",SUM(G33,J33,M33,D33,S33,V33,Y33,AB33,))</f>
        <v/>
      </c>
      <c r="AF33" s="1197"/>
      <c r="AG33" s="1200"/>
      <c r="AH33" s="1186" t="str">
        <f>IF(B33="","",RANK(AE33,ГР14О))</f>
        <v/>
      </c>
    </row>
    <row r="34" spans="1:34" ht="12" hidden="1" customHeight="1" x14ac:dyDescent="0.2">
      <c r="A34" s="1176"/>
      <c r="B34" s="1209"/>
      <c r="C34" s="442" t="str">
        <f>IF(B33="","",VLOOKUP(B33,'Списки участников'!A:H,6,FALSE))</f>
        <v/>
      </c>
      <c r="D34" s="449" t="str">
        <f>IF(P26="","",IF(R26="l","W",R26))</f>
        <v/>
      </c>
      <c r="E34" s="444" t="str">
        <f>IF(Q26="","",":")</f>
        <v/>
      </c>
      <c r="F34" s="450" t="str">
        <f>IF(R26="","",IF(P26="W","L",P26))</f>
        <v/>
      </c>
      <c r="G34" s="449" t="str">
        <f>IF(P28="","",IF(R28="l","W",R28))</f>
        <v/>
      </c>
      <c r="H34" s="444" t="str">
        <f>IF(Q28="","",":")</f>
        <v/>
      </c>
      <c r="I34" s="450" t="str">
        <f>IF(R28="","",IF(P28="W","L",P28))</f>
        <v/>
      </c>
      <c r="J34" s="449" t="str">
        <f>IF(P30="","",IF(R30="l","W",R30))</f>
        <v/>
      </c>
      <c r="K34" s="444" t="str">
        <f>IF(Q30="","",":")</f>
        <v/>
      </c>
      <c r="L34" s="450" t="str">
        <f>IF(R30="","",IF(P30="W","L",P30))</f>
        <v/>
      </c>
      <c r="M34" s="449" t="str">
        <f>IF(P32="","",IF(R32="l","W",R32))</f>
        <v/>
      </c>
      <c r="N34" s="444" t="str">
        <f>IF(Q32="","",":")</f>
        <v/>
      </c>
      <c r="O34" s="450" t="str">
        <f>IF(R32="","",IF(P32="W","L",P32))</f>
        <v/>
      </c>
      <c r="P34" s="1195"/>
      <c r="Q34" s="1181"/>
      <c r="R34" s="1182"/>
      <c r="S34" s="443"/>
      <c r="T34" s="444" t="str">
        <f>IF(S33="","",":")</f>
        <v/>
      </c>
      <c r="U34" s="445"/>
      <c r="V34" s="443"/>
      <c r="W34" s="444" t="str">
        <f>IF(V33="","",":")</f>
        <v/>
      </c>
      <c r="X34" s="445"/>
      <c r="Y34" s="443"/>
      <c r="Z34" s="444" t="str">
        <f>IF(Y33="","",":")</f>
        <v/>
      </c>
      <c r="AA34" s="445"/>
      <c r="AB34" s="443"/>
      <c r="AC34" s="444" t="str">
        <f>IF(AB34="","",":")</f>
        <v/>
      </c>
      <c r="AD34" s="445"/>
      <c r="AE34" s="1198"/>
      <c r="AF34" s="1199"/>
      <c r="AG34" s="1201"/>
      <c r="AH34" s="1186"/>
    </row>
    <row r="35" spans="1:34" ht="12" hidden="1" customHeight="1" x14ac:dyDescent="0.2">
      <c r="A35" s="1175">
        <v>6</v>
      </c>
      <c r="B35" s="1208"/>
      <c r="C35" s="441" t="str">
        <f>IF(B35="","",VLOOKUP(B35,'Списки участников'!A:H,3,FALSE))</f>
        <v/>
      </c>
      <c r="D35" s="1183" t="str">
        <f>IF(S25="","",IF(S26="W",0,IF(S25=2,1,IF(S25=1,2,IF(S25=0,2)))))</f>
        <v/>
      </c>
      <c r="E35" s="1184"/>
      <c r="F35" s="1185"/>
      <c r="G35" s="1183" t="str">
        <f>IF(S27="","",IF(S28="W",0,IF(S27=2,1,IF(S27=1,2,IF(S27=0,2)))))</f>
        <v/>
      </c>
      <c r="H35" s="1184"/>
      <c r="I35" s="1185"/>
      <c r="J35" s="1183" t="str">
        <f>IF(S29="","",IF(S30="W",0,IF(S29=2,1,IF(S29=1,2,IF(S29=0,2)))))</f>
        <v/>
      </c>
      <c r="K35" s="1184"/>
      <c r="L35" s="1185"/>
      <c r="M35" s="1183" t="str">
        <f>IF(S31="","",IF(S32="W",0,IF(S31=2,1,IF(S31=1,2,IF(S31=0,2)))))</f>
        <v/>
      </c>
      <c r="N35" s="1184"/>
      <c r="O35" s="1185"/>
      <c r="P35" s="1183" t="str">
        <f>IF(S33="","",IF(S34="W",0,IF(S33=2,1,IF(S33=1,2,IF(S33=0,2)))))</f>
        <v/>
      </c>
      <c r="Q35" s="1184"/>
      <c r="R35" s="1185"/>
      <c r="S35" s="1192"/>
      <c r="T35" s="1193"/>
      <c r="U35" s="1194"/>
      <c r="V35" s="1183"/>
      <c r="W35" s="1184"/>
      <c r="X35" s="1185"/>
      <c r="Y35" s="1183"/>
      <c r="Z35" s="1184"/>
      <c r="AA35" s="1185"/>
      <c r="AB35" s="1183"/>
      <c r="AC35" s="1184"/>
      <c r="AD35" s="1185"/>
      <c r="AE35" s="1196" t="str">
        <f>IF(B35="","",SUM(G35,J35,M35,P35,D35,V35,Y35,AB35,))</f>
        <v/>
      </c>
      <c r="AF35" s="1197"/>
      <c r="AG35" s="1200"/>
      <c r="AH35" s="1186" t="str">
        <f>IF(B35="","",RANK(AE35,ГР14О))</f>
        <v/>
      </c>
    </row>
    <row r="36" spans="1:34" ht="12" hidden="1" customHeight="1" x14ac:dyDescent="0.2">
      <c r="A36" s="1176"/>
      <c r="B36" s="1209"/>
      <c r="C36" s="442" t="str">
        <f>IF(B35="","",VLOOKUP(B35,'Списки участников'!A:H,6,FALSE))</f>
        <v/>
      </c>
      <c r="D36" s="449" t="str">
        <f>IF(S26="","",IF(U26="l","W",U26))</f>
        <v/>
      </c>
      <c r="E36" s="444" t="str">
        <f>IF(T26="","",":")</f>
        <v/>
      </c>
      <c r="F36" s="450" t="str">
        <f>IF(U26="","",IF(S26="W","L",S26))</f>
        <v/>
      </c>
      <c r="G36" s="449" t="str">
        <f>IF(S28="","",IF(U28="l","W",U28))</f>
        <v/>
      </c>
      <c r="H36" s="444" t="str">
        <f>IF(Q28="","",":")</f>
        <v/>
      </c>
      <c r="I36" s="450" t="str">
        <f>IF(U28="","",IF(S28="W","L",S28))</f>
        <v/>
      </c>
      <c r="J36" s="449" t="str">
        <f>IF(S30="","",IF(U30="l","W",U30))</f>
        <v/>
      </c>
      <c r="K36" s="444" t="str">
        <f>IF(T30="","",":")</f>
        <v/>
      </c>
      <c r="L36" s="450" t="str">
        <f>IF(U30="","",IF(S30="W","L",S30))</f>
        <v/>
      </c>
      <c r="M36" s="449" t="str">
        <f>IF(S32="","",IF(U32="l","W",U32))</f>
        <v/>
      </c>
      <c r="N36" s="444" t="str">
        <f>IF(T32="","",":")</f>
        <v/>
      </c>
      <c r="O36" s="450" t="str">
        <f>IF(U32="","",IF(S32="W","L",S32))</f>
        <v/>
      </c>
      <c r="P36" s="449" t="str">
        <f>IF(S34="","",IF(U34="l","W",U34))</f>
        <v/>
      </c>
      <c r="Q36" s="444" t="str">
        <f>IF(T34="","",":")</f>
        <v/>
      </c>
      <c r="R36" s="450" t="str">
        <f>IF(U34="","",IF(S34="W","L",S34))</f>
        <v/>
      </c>
      <c r="S36" s="1195"/>
      <c r="T36" s="1181"/>
      <c r="U36" s="1182"/>
      <c r="V36" s="443"/>
      <c r="W36" s="444" t="str">
        <f>IF(V35="","",":")</f>
        <v/>
      </c>
      <c r="X36" s="445"/>
      <c r="Y36" s="443"/>
      <c r="Z36" s="444" t="str">
        <f>IF(Y35="","",":")</f>
        <v/>
      </c>
      <c r="AA36" s="445"/>
      <c r="AB36" s="443"/>
      <c r="AC36" s="444" t="str">
        <f>IF(AB35="","",":")</f>
        <v/>
      </c>
      <c r="AD36" s="445"/>
      <c r="AE36" s="1198"/>
      <c r="AF36" s="1199"/>
      <c r="AG36" s="1201"/>
      <c r="AH36" s="1186"/>
    </row>
    <row r="37" spans="1:34" ht="12" hidden="1" customHeight="1" x14ac:dyDescent="0.2">
      <c r="A37" s="1175">
        <v>7</v>
      </c>
      <c r="B37" s="1208"/>
      <c r="C37" s="441" t="str">
        <f>IF(B37="","",VLOOKUP(B37,'Списки участников'!A:H,3,FALSE))</f>
        <v/>
      </c>
      <c r="D37" s="1183" t="str">
        <f>IF(V25="","",IF(V26="W",0,IF(V25=2,1,IF(V25=1,2,IF(V25=0,2)))))</f>
        <v/>
      </c>
      <c r="E37" s="1184"/>
      <c r="F37" s="1185"/>
      <c r="G37" s="1183" t="str">
        <f>IF(V27="","",IF(V28="W",0,IF(V27=2,1,IF(V27=1,2,IF(V27=0,2)))))</f>
        <v/>
      </c>
      <c r="H37" s="1184"/>
      <c r="I37" s="1185"/>
      <c r="J37" s="1183" t="str">
        <f>IF(V29="","",IF(V30="W",0,IF(V29=2,1,IF(V29=1,2,IF(V29=0,2)))))</f>
        <v/>
      </c>
      <c r="K37" s="1184"/>
      <c r="L37" s="1185"/>
      <c r="M37" s="1183" t="str">
        <f>IF(V31="","",IF(V32="W",0,IF(V31=2,1,IF(V31=1,2,IF(V31=0,2)))))</f>
        <v/>
      </c>
      <c r="N37" s="1184"/>
      <c r="O37" s="1185"/>
      <c r="P37" s="1183" t="str">
        <f>IF(V33="","",IF(V34="W",0,IF(V33=2,1,IF(V33=1,2,IF(V33=0,2)))))</f>
        <v/>
      </c>
      <c r="Q37" s="1184"/>
      <c r="R37" s="1185"/>
      <c r="S37" s="1183" t="str">
        <f>IF(V35="","",IF(V36="W",0,IF(V35=2,1,IF(V35=1,2,IF(V35=0,2)))))</f>
        <v/>
      </c>
      <c r="T37" s="1184"/>
      <c r="U37" s="1185"/>
      <c r="V37" s="1203"/>
      <c r="W37" s="1179"/>
      <c r="X37" s="1180"/>
      <c r="Y37" s="1183"/>
      <c r="Z37" s="1184"/>
      <c r="AA37" s="1185"/>
      <c r="AB37" s="1183"/>
      <c r="AC37" s="1184"/>
      <c r="AD37" s="1185"/>
      <c r="AE37" s="1196" t="str">
        <f>IF(B37="","",SUM(G37,J37,M37,P37,S37,D37,Y37,AB37,))</f>
        <v/>
      </c>
      <c r="AF37" s="1197"/>
      <c r="AG37" s="1200"/>
      <c r="AH37" s="1186" t="str">
        <f>IF(B37="","",RANK(AE37,ГР14О))</f>
        <v/>
      </c>
    </row>
    <row r="38" spans="1:34" ht="12" hidden="1" customHeight="1" x14ac:dyDescent="0.2">
      <c r="A38" s="1176"/>
      <c r="B38" s="1209"/>
      <c r="C38" s="442" t="str">
        <f>IF(B37="","",VLOOKUP(B37,'Списки участников'!A:H,6,FALSE))</f>
        <v/>
      </c>
      <c r="D38" s="449" t="str">
        <f>IF(V26="","",IF(X26="l","W",X26))</f>
        <v/>
      </c>
      <c r="E38" s="444" t="str">
        <f>IF(W26="","",":")</f>
        <v/>
      </c>
      <c r="F38" s="450" t="str">
        <f>IF(X26="","",IF(V26="W","L",V26))</f>
        <v/>
      </c>
      <c r="G38" s="449" t="str">
        <f>IF(V28="","",IF(X28="l","W",X28))</f>
        <v/>
      </c>
      <c r="H38" s="444" t="str">
        <f>IF(W28="","",":")</f>
        <v/>
      </c>
      <c r="I38" s="450" t="str">
        <f>IF(X28="","",IF(V28="W","L",V28))</f>
        <v/>
      </c>
      <c r="J38" s="449" t="str">
        <f>IF(V30="","",IF(X30="l","W",X30))</f>
        <v/>
      </c>
      <c r="K38" s="444" t="str">
        <f>IF(W30="","",":")</f>
        <v/>
      </c>
      <c r="L38" s="450" t="str">
        <f>IF(X30="","",IF(V30="W","L",V30))</f>
        <v/>
      </c>
      <c r="M38" s="449" t="str">
        <f>IF(V32="","",IF(X32="l","W",X32))</f>
        <v/>
      </c>
      <c r="N38" s="444" t="str">
        <f>IF(W32="","",":")</f>
        <v/>
      </c>
      <c r="O38" s="450" t="str">
        <f>IF(X32="","",IF(V32="W","L",V32))</f>
        <v/>
      </c>
      <c r="P38" s="449" t="str">
        <f>IF(V34="","",IF(X34="l","W",X34))</f>
        <v/>
      </c>
      <c r="Q38" s="444" t="str">
        <f>IF(W34="","",":")</f>
        <v/>
      </c>
      <c r="R38" s="450" t="str">
        <f>IF(X34="","",IF(V34="W","L",V34))</f>
        <v/>
      </c>
      <c r="S38" s="449" t="str">
        <f>IF(V36="","",IF(X36="l","W",X36))</f>
        <v/>
      </c>
      <c r="T38" s="444" t="str">
        <f>IF(W36="","",":")</f>
        <v/>
      </c>
      <c r="U38" s="450" t="str">
        <f>IF(X36="","",IF(V36="W","L",V36))</f>
        <v/>
      </c>
      <c r="V38" s="1195"/>
      <c r="W38" s="1181"/>
      <c r="X38" s="1182"/>
      <c r="Y38" s="443"/>
      <c r="Z38" s="444" t="str">
        <f>IF(Y37="","",":")</f>
        <v/>
      </c>
      <c r="AA38" s="445"/>
      <c r="AB38" s="443"/>
      <c r="AC38" s="444" t="str">
        <f>IF(AB37="","",":")</f>
        <v/>
      </c>
      <c r="AD38" s="445"/>
      <c r="AE38" s="1198"/>
      <c r="AF38" s="1199"/>
      <c r="AG38" s="1201"/>
      <c r="AH38" s="1186"/>
    </row>
    <row r="39" spans="1:34" ht="12" hidden="1" customHeight="1" x14ac:dyDescent="0.2">
      <c r="A39" s="1175">
        <v>8</v>
      </c>
      <c r="B39" s="1208"/>
      <c r="C39" s="441" t="str">
        <f>IF(B39="","",VLOOKUP(B39,'Списки участников'!A:H,3,FALSE))</f>
        <v/>
      </c>
      <c r="D39" s="1183" t="str">
        <f>IF(Y25="","",IF(Y26="W",0,IF(Y25=2,1,IF(Y25=1,2,IF(Y25=0,2)))))</f>
        <v/>
      </c>
      <c r="E39" s="1184"/>
      <c r="F39" s="1185"/>
      <c r="G39" s="1183" t="str">
        <f>IF(Y27="","",IF(Y28="W",0,IF(Y27=2,1,IF(Y27=1,2,IF(Y27=0,2)))))</f>
        <v/>
      </c>
      <c r="H39" s="1184"/>
      <c r="I39" s="1185"/>
      <c r="J39" s="1183" t="str">
        <f>IF(Y29="","",IF(Y30="W",0,IF(Y29=2,1,IF(Y29=1,2,IF(Y29=0,2)))))</f>
        <v/>
      </c>
      <c r="K39" s="1184"/>
      <c r="L39" s="1185"/>
      <c r="M39" s="1183" t="str">
        <f>IF(Y31="","",IF(Y32="W",0,IF(Y31=2,1,IF(Y31=1,2,IF(Y31=0,2)))))</f>
        <v/>
      </c>
      <c r="N39" s="1184"/>
      <c r="O39" s="1185"/>
      <c r="P39" s="1183" t="str">
        <f>IF(Y33="","",IF(Y34="W",0,IF(Y33=2,1,IF(Y33=1,2,IF(Y33=0,2)))))</f>
        <v/>
      </c>
      <c r="Q39" s="1184"/>
      <c r="R39" s="1185"/>
      <c r="S39" s="1183" t="str">
        <f>IF(Y35="","",IF(Y36="W",0,IF(Y35=2,1,IF(Y35=1,2,IF(Y35=0,2)))))</f>
        <v/>
      </c>
      <c r="T39" s="1184"/>
      <c r="U39" s="1185"/>
      <c r="V39" s="1183" t="str">
        <f>IF(Y37="","",IF(Y38="W",0,IF(Y37=2,1,IF(Y37=1,2,IF(Y37=0,2)))))</f>
        <v/>
      </c>
      <c r="W39" s="1184"/>
      <c r="X39" s="1185"/>
      <c r="Y39" s="1192"/>
      <c r="Z39" s="1193"/>
      <c r="AA39" s="1194"/>
      <c r="AB39" s="1183"/>
      <c r="AC39" s="1184"/>
      <c r="AD39" s="1185"/>
      <c r="AE39" s="1196" t="str">
        <f>IF(B39="","",SUM(G39,J39,M39,P39,S39,V39,D39,AB39,))</f>
        <v/>
      </c>
      <c r="AF39" s="1197"/>
      <c r="AG39" s="1200"/>
      <c r="AH39" s="1186" t="str">
        <f>IF(B39="","",RANK(AE39,ГР14О))</f>
        <v/>
      </c>
    </row>
    <row r="40" spans="1:34" ht="12" hidden="1" customHeight="1" x14ac:dyDescent="0.2">
      <c r="A40" s="1176"/>
      <c r="B40" s="1209"/>
      <c r="C40" s="442" t="str">
        <f>IF(B39="","",VLOOKUP(B39,'Списки участников'!A:H,6,FALSE))</f>
        <v/>
      </c>
      <c r="D40" s="449" t="str">
        <f>IF(Y26="","",IF(AA26="l","W",AA26))</f>
        <v/>
      </c>
      <c r="E40" s="444" t="str">
        <f>IF(Z26="","",":")</f>
        <v/>
      </c>
      <c r="F40" s="450" t="str">
        <f>IF(AA26="","",IF(Y26="W","L",Y26))</f>
        <v/>
      </c>
      <c r="G40" s="449" t="str">
        <f>IF(Y28="","",IF(AA28="l","W",AA28))</f>
        <v/>
      </c>
      <c r="H40" s="444" t="str">
        <f>IF(Z28="","",":")</f>
        <v/>
      </c>
      <c r="I40" s="450" t="str">
        <f>IF(AA28="","",IF(Y28="W","L",Y28))</f>
        <v/>
      </c>
      <c r="J40" s="449" t="str">
        <f>IF(Y30="","",IF(AA30="l","W",AA30))</f>
        <v/>
      </c>
      <c r="K40" s="444" t="str">
        <f>IF(Z30="","",":")</f>
        <v/>
      </c>
      <c r="L40" s="450" t="str">
        <f>IF(AA30="","",IF(Y30="W","L",Y30))</f>
        <v/>
      </c>
      <c r="M40" s="449" t="str">
        <f>IF(Y32="","",IF(AA32="l","W",AA32))</f>
        <v/>
      </c>
      <c r="N40" s="444" t="str">
        <f>IF(Z32="","",":")</f>
        <v/>
      </c>
      <c r="O40" s="450" t="str">
        <f>IF(AA32="","",IF(Y32="W","L",Y32))</f>
        <v/>
      </c>
      <c r="P40" s="449" t="str">
        <f>IF(Y34="","",IF(AA34="l","W",AA34))</f>
        <v/>
      </c>
      <c r="Q40" s="444" t="str">
        <f>IF(Z34="","",":")</f>
        <v/>
      </c>
      <c r="R40" s="450" t="str">
        <f>IF(AA34="","",IF(Y34="W","L",Y34))</f>
        <v/>
      </c>
      <c r="S40" s="449" t="str">
        <f>IF(Y36="","",IF(AA36="l","W",AA36))</f>
        <v/>
      </c>
      <c r="T40" s="444" t="str">
        <f>IF(Z36="","",":")</f>
        <v/>
      </c>
      <c r="U40" s="450" t="str">
        <f>IF(AA36="","",IF(Y36="W","L",Y36))</f>
        <v/>
      </c>
      <c r="V40" s="449" t="str">
        <f>IF(Y38="","",IF(AA38="l","W",AA38))</f>
        <v/>
      </c>
      <c r="W40" s="444" t="str">
        <f>IF(Z38="","",":")</f>
        <v/>
      </c>
      <c r="X40" s="450" t="str">
        <f>IF(AA38="","",IF(Y38="W","L",Y38))</f>
        <v/>
      </c>
      <c r="Y40" s="1195"/>
      <c r="Z40" s="1181"/>
      <c r="AA40" s="1182"/>
      <c r="AB40" s="443"/>
      <c r="AC40" s="444" t="str">
        <f>IF(AB39="","",":")</f>
        <v/>
      </c>
      <c r="AD40" s="445"/>
      <c r="AE40" s="1198"/>
      <c r="AF40" s="1199"/>
      <c r="AG40" s="1201"/>
      <c r="AH40" s="1186"/>
    </row>
    <row r="41" spans="1:34" ht="12" hidden="1" customHeight="1" x14ac:dyDescent="0.2">
      <c r="A41" s="1175">
        <v>9</v>
      </c>
      <c r="B41" s="1177"/>
      <c r="C41" s="441" t="str">
        <f>IF(B41="","",VLOOKUP(B41,'Списки участников'!A:H,3,FALSE))</f>
        <v/>
      </c>
      <c r="D41" s="1183" t="str">
        <f>IF(AB25="","",IF(AB26="W",0,IF(AB25=2,1,IF(AB25=1,2,IF(AB25=0,2)))))</f>
        <v/>
      </c>
      <c r="E41" s="1184"/>
      <c r="F41" s="1185"/>
      <c r="G41" s="1183" t="str">
        <f>IF(AB27="","",IF(AB28="W",0,IF(AB27=2,1,IF(AB27=1,2,IF(AB27=0,2)))))</f>
        <v/>
      </c>
      <c r="H41" s="1184"/>
      <c r="I41" s="1185"/>
      <c r="J41" s="1183" t="str">
        <f>IF(AB29="","",IF(AB30="W",0,IF(AB29=2,1,IF(AB29=1,2,IF(AB29=0,2)))))</f>
        <v/>
      </c>
      <c r="K41" s="1184"/>
      <c r="L41" s="1185"/>
      <c r="M41" s="1183" t="str">
        <f>IF(AB31="","",IF(AB32="W",0,IF(AB31=2,1,IF(AB31=1,2,IF(AB31=0,2)))))</f>
        <v/>
      </c>
      <c r="N41" s="1184"/>
      <c r="O41" s="1185"/>
      <c r="P41" s="1183" t="str">
        <f>IF(AB33="","",IF(AB34="W",0,IF(AB33=2,1,IF(AB33=1,2,IF(AB33=0,2)))))</f>
        <v/>
      </c>
      <c r="Q41" s="1184"/>
      <c r="R41" s="1185"/>
      <c r="S41" s="1183" t="str">
        <f>IF(AB35="","",IF(AB36="W",0,IF(AB35=2,1,IF(AB35=1,2,IF(AB35=0,2)))))</f>
        <v/>
      </c>
      <c r="T41" s="1184"/>
      <c r="U41" s="1185"/>
      <c r="V41" s="1183" t="str">
        <f>IF(AB37="","",IF(AB38="W",0,IF(AB37=2,1,IF(AB37=1,2,IF(AB37=0,2)))))</f>
        <v/>
      </c>
      <c r="W41" s="1184"/>
      <c r="X41" s="1185"/>
      <c r="Y41" s="1183" t="str">
        <f>IF(AB39="","",IF(AB40="W",0,IF(AB39=2,1,IF(AB39=1,2,IF(AB39=0,2)))))</f>
        <v/>
      </c>
      <c r="Z41" s="1184"/>
      <c r="AA41" s="1185"/>
      <c r="AB41" s="1203"/>
      <c r="AC41" s="1179"/>
      <c r="AD41" s="1180"/>
      <c r="AE41" s="1196" t="str">
        <f>IF(B41="","",SUM(G41,J41,M41,P41,S41,V41,Y41,D41,))</f>
        <v/>
      </c>
      <c r="AF41" s="1197"/>
      <c r="AG41" s="1200"/>
      <c r="AH41" s="1186" t="str">
        <f>IF(B41="","",RANK(AE41,ГР14О))</f>
        <v/>
      </c>
    </row>
    <row r="42" spans="1:34" ht="12" hidden="1" customHeight="1" x14ac:dyDescent="0.2">
      <c r="A42" s="1176"/>
      <c r="B42" s="1178"/>
      <c r="C42" s="442" t="str">
        <f>IF(B41="","",VLOOKUP(B41,'Списки участников'!A:H,6,FALSE))</f>
        <v/>
      </c>
      <c r="D42" s="449" t="str">
        <f>IF(AB26="","",IF(AD26="l","W",AD26))</f>
        <v/>
      </c>
      <c r="E42" s="444" t="str">
        <f>IF(AC26="","",":")</f>
        <v/>
      </c>
      <c r="F42" s="450" t="str">
        <f>IF(AD26="","",IF(AB26="W","L",AB26))</f>
        <v/>
      </c>
      <c r="G42" s="449" t="str">
        <f>IF(AB28="","",IF(AD28="l","W",AD28))</f>
        <v/>
      </c>
      <c r="H42" s="444" t="str">
        <f>IF(AC28="","",":")</f>
        <v/>
      </c>
      <c r="I42" s="450" t="str">
        <f>IF(AD28="","",IF(AB28="W","L",AB28))</f>
        <v/>
      </c>
      <c r="J42" s="449" t="str">
        <f>IF(AB30="","",IF(AD30="l","W",AD30))</f>
        <v/>
      </c>
      <c r="K42" s="444" t="str">
        <f>IF(AC30="","",":")</f>
        <v/>
      </c>
      <c r="L42" s="450" t="str">
        <f>IF(AD30="","",IF(AB30="W","L",AB30))</f>
        <v/>
      </c>
      <c r="M42" s="449" t="str">
        <f>IF(AB32="","",IF(AD32="l","W",AD32))</f>
        <v/>
      </c>
      <c r="N42" s="444" t="str">
        <f>IF(AC32="","",":")</f>
        <v/>
      </c>
      <c r="O42" s="450" t="str">
        <f>IF(AD32="","",IF(AB32="W","L",AB32))</f>
        <v/>
      </c>
      <c r="P42" s="449" t="str">
        <f>IF(AB34="","",IF(AD34="l","W",AD34))</f>
        <v/>
      </c>
      <c r="Q42" s="444" t="str">
        <f>IF(AC34="","",":")</f>
        <v/>
      </c>
      <c r="R42" s="450" t="str">
        <f>IF(AD34="","",IF(AB34="W","L",AB34))</f>
        <v/>
      </c>
      <c r="S42" s="449" t="str">
        <f>IF(AB36="","",IF(AD36="l","W",AD36))</f>
        <v/>
      </c>
      <c r="T42" s="444" t="str">
        <f>IF(AC36="","",":")</f>
        <v/>
      </c>
      <c r="U42" s="450" t="str">
        <f>IF(AD36="","",IF(AB36="W","L",AB36))</f>
        <v/>
      </c>
      <c r="V42" s="449" t="str">
        <f>IF(AB38="","",IF(AD38="l","W",AD38))</f>
        <v/>
      </c>
      <c r="W42" s="444" t="str">
        <f>IF(AC38="","",":")</f>
        <v/>
      </c>
      <c r="X42" s="450" t="str">
        <f>IF(AD38="","",IF(AB38="W","L",AB38))</f>
        <v/>
      </c>
      <c r="Y42" s="449" t="str">
        <f>IF(AB40="","",IF(AD40="l","W",AD40))</f>
        <v/>
      </c>
      <c r="Z42" s="444" t="str">
        <f>IF(AC40="","",":")</f>
        <v/>
      </c>
      <c r="AA42" s="450" t="str">
        <f>IF(AD40="","",IF(AB40="W","L",AB40))</f>
        <v/>
      </c>
      <c r="AB42" s="1195"/>
      <c r="AC42" s="1181"/>
      <c r="AD42" s="1182"/>
      <c r="AE42" s="1198"/>
      <c r="AF42" s="1199"/>
      <c r="AG42" s="1201"/>
      <c r="AH42" s="1186"/>
    </row>
    <row r="43" spans="1:34" ht="12" hidden="1" customHeight="1" x14ac:dyDescent="0.25">
      <c r="A43" s="128"/>
      <c r="B43" s="128"/>
      <c r="C43" s="452"/>
      <c r="D43" s="128"/>
      <c r="E43" s="128"/>
      <c r="F43" s="128"/>
      <c r="G43" s="1204" t="s">
        <v>2616</v>
      </c>
      <c r="H43" s="1204"/>
      <c r="I43" s="1204"/>
      <c r="J43" s="1204"/>
      <c r="K43" s="1204"/>
      <c r="L43" s="1204"/>
      <c r="M43" s="1204"/>
      <c r="N43" s="1204"/>
      <c r="O43" s="1204"/>
      <c r="P43" s="1204"/>
      <c r="Q43" s="1204"/>
      <c r="R43" s="1204"/>
      <c r="S43" s="1204"/>
      <c r="T43" s="1204"/>
      <c r="U43" s="1204"/>
      <c r="V43" s="1204"/>
      <c r="W43" s="1204"/>
      <c r="X43" s="1204"/>
      <c r="Y43" s="1204"/>
      <c r="Z43" s="1204"/>
      <c r="AA43" s="1204"/>
      <c r="AB43" s="128"/>
      <c r="AC43" s="128"/>
      <c r="AD43" s="128"/>
      <c r="AE43" s="128"/>
      <c r="AF43" s="128"/>
      <c r="AG43" s="128"/>
      <c r="AH43" s="128"/>
    </row>
    <row r="44" spans="1:34" ht="12" hidden="1" customHeight="1" x14ac:dyDescent="0.2">
      <c r="A44" s="129" t="s">
        <v>3</v>
      </c>
      <c r="B44" s="846"/>
      <c r="C44" s="131" t="s">
        <v>757</v>
      </c>
      <c r="D44" s="1170">
        <v>1</v>
      </c>
      <c r="E44" s="1171"/>
      <c r="F44" s="1172"/>
      <c r="G44" s="1170">
        <v>2</v>
      </c>
      <c r="H44" s="1171"/>
      <c r="I44" s="1172"/>
      <c r="J44" s="1170">
        <v>3</v>
      </c>
      <c r="K44" s="1171"/>
      <c r="L44" s="1172"/>
      <c r="M44" s="1170">
        <v>4</v>
      </c>
      <c r="N44" s="1171"/>
      <c r="O44" s="1172"/>
      <c r="P44" s="1170">
        <v>5</v>
      </c>
      <c r="Q44" s="1171"/>
      <c r="R44" s="1172"/>
      <c r="S44" s="1170">
        <v>6</v>
      </c>
      <c r="T44" s="1171"/>
      <c r="U44" s="1172"/>
      <c r="V44" s="1170">
        <v>7</v>
      </c>
      <c r="W44" s="1171"/>
      <c r="X44" s="1172"/>
      <c r="Y44" s="1170">
        <v>8</v>
      </c>
      <c r="Z44" s="1171"/>
      <c r="AA44" s="1172"/>
      <c r="AB44" s="1170">
        <v>9</v>
      </c>
      <c r="AC44" s="1171"/>
      <c r="AD44" s="1172"/>
      <c r="AE44" s="1173" t="s">
        <v>758</v>
      </c>
      <c r="AF44" s="1174"/>
      <c r="AG44" s="847" t="s">
        <v>759</v>
      </c>
      <c r="AH44" s="440" t="s">
        <v>100</v>
      </c>
    </row>
    <row r="45" spans="1:34" ht="12" hidden="1" customHeight="1" x14ac:dyDescent="0.2">
      <c r="A45" s="1175">
        <v>1</v>
      </c>
      <c r="B45" s="1205"/>
      <c r="C45" s="441" t="str">
        <f>IF(B45="","",VLOOKUP(B45,'Списки участников'!A:H,3,FALSE))</f>
        <v/>
      </c>
      <c r="D45" s="1179"/>
      <c r="E45" s="1179"/>
      <c r="F45" s="1180"/>
      <c r="G45" s="1183"/>
      <c r="H45" s="1184"/>
      <c r="I45" s="1185"/>
      <c r="J45" s="1183"/>
      <c r="K45" s="1184"/>
      <c r="L45" s="1185"/>
      <c r="M45" s="1183"/>
      <c r="N45" s="1184"/>
      <c r="O45" s="1185"/>
      <c r="P45" s="1183"/>
      <c r="Q45" s="1184"/>
      <c r="R45" s="1185"/>
      <c r="S45" s="1183"/>
      <c r="T45" s="1184"/>
      <c r="U45" s="1185"/>
      <c r="V45" s="1183"/>
      <c r="W45" s="1184"/>
      <c r="X45" s="1185"/>
      <c r="Y45" s="1183"/>
      <c r="Z45" s="1184"/>
      <c r="AA45" s="1185"/>
      <c r="AB45" s="1183"/>
      <c r="AC45" s="1184"/>
      <c r="AD45" s="1185"/>
      <c r="AE45" s="1196" t="str">
        <f>IF(B45="","",SUM(G45,J45,M45,P45,S45,V45,Y45,AB45,))</f>
        <v/>
      </c>
      <c r="AF45" s="1197"/>
      <c r="AG45" s="1187"/>
      <c r="AH45" s="1186" t="str">
        <f>IF(B45="","",RANK(AE45,ГР15О))</f>
        <v/>
      </c>
    </row>
    <row r="46" spans="1:34" ht="12" hidden="1" customHeight="1" x14ac:dyDescent="0.2">
      <c r="A46" s="1176"/>
      <c r="B46" s="1206"/>
      <c r="C46" s="442" t="str">
        <f>IF(B45="","",VLOOKUP(B45,'Списки участников'!A:H,6,FALSE))</f>
        <v/>
      </c>
      <c r="D46" s="1181"/>
      <c r="E46" s="1181"/>
      <c r="F46" s="1182"/>
      <c r="G46" s="443"/>
      <c r="H46" s="444" t="str">
        <f>IF(G45="","",":")</f>
        <v/>
      </c>
      <c r="I46" s="445"/>
      <c r="J46" s="443"/>
      <c r="K46" s="444" t="str">
        <f>IF(J45="","",":")</f>
        <v/>
      </c>
      <c r="L46" s="445"/>
      <c r="M46" s="443"/>
      <c r="N46" s="444" t="str">
        <f>IF(M46="","",":")</f>
        <v/>
      </c>
      <c r="O46" s="445"/>
      <c r="P46" s="443"/>
      <c r="Q46" s="444" t="str">
        <f>IF(P46="","",":")</f>
        <v/>
      </c>
      <c r="R46" s="445"/>
      <c r="S46" s="443"/>
      <c r="T46" s="444" t="str">
        <f>IF(S46="","",":")</f>
        <v/>
      </c>
      <c r="U46" s="445"/>
      <c r="V46" s="443"/>
      <c r="W46" s="444" t="str">
        <f>IF(V46="","",":")</f>
        <v/>
      </c>
      <c r="X46" s="445"/>
      <c r="Y46" s="443"/>
      <c r="Z46" s="444" t="str">
        <f>IF(Y46="","",":")</f>
        <v/>
      </c>
      <c r="AA46" s="445"/>
      <c r="AB46" s="443"/>
      <c r="AC46" s="444" t="str">
        <f>IF(AB46="","",":")</f>
        <v/>
      </c>
      <c r="AD46" s="445"/>
      <c r="AE46" s="1198"/>
      <c r="AF46" s="1199"/>
      <c r="AG46" s="1188"/>
      <c r="AH46" s="1186"/>
    </row>
    <row r="47" spans="1:34" ht="12" hidden="1" customHeight="1" x14ac:dyDescent="0.2">
      <c r="A47" s="1175">
        <v>2</v>
      </c>
      <c r="B47" s="1205"/>
      <c r="C47" s="441" t="str">
        <f>IF(B47="","",VLOOKUP(B47,'Списки участников'!A:H,3,FALSE))</f>
        <v/>
      </c>
      <c r="D47" s="1189" t="str">
        <f>IF(G45="","",IF(G46="W",0,IF(G45=2,1,IF(G45=1,2,IF(G45=0,2)))))</f>
        <v/>
      </c>
      <c r="E47" s="1190"/>
      <c r="F47" s="1191"/>
      <c r="G47" s="1192"/>
      <c r="H47" s="1193"/>
      <c r="I47" s="1194"/>
      <c r="J47" s="1183"/>
      <c r="K47" s="1184"/>
      <c r="L47" s="1185"/>
      <c r="M47" s="1183"/>
      <c r="N47" s="1184"/>
      <c r="O47" s="1185"/>
      <c r="P47" s="1183"/>
      <c r="Q47" s="1184"/>
      <c r="R47" s="1185"/>
      <c r="S47" s="1183"/>
      <c r="T47" s="1184"/>
      <c r="U47" s="1185"/>
      <c r="V47" s="1183"/>
      <c r="W47" s="1184"/>
      <c r="X47" s="1185"/>
      <c r="Y47" s="1183"/>
      <c r="Z47" s="1184"/>
      <c r="AA47" s="1185"/>
      <c r="AB47" s="1183"/>
      <c r="AC47" s="1184"/>
      <c r="AD47" s="1185"/>
      <c r="AE47" s="1196" t="str">
        <f>IF(B47="","",SUM(D47,J47,M47,P47,S47,V47,Y47,AB47,))</f>
        <v/>
      </c>
      <c r="AF47" s="1197"/>
      <c r="AG47" s="1187"/>
      <c r="AH47" s="1186" t="str">
        <f>IF(B47="","",RANK(AE47,ГР15О))</f>
        <v/>
      </c>
    </row>
    <row r="48" spans="1:34" ht="12" hidden="1" customHeight="1" x14ac:dyDescent="0.2">
      <c r="A48" s="1176"/>
      <c r="B48" s="1206"/>
      <c r="C48" s="442" t="str">
        <f>IF(B47="","",VLOOKUP(B47,'Списки участников'!A:H,6,FALSE))</f>
        <v/>
      </c>
      <c r="D48" s="446" t="str">
        <f>IF(G46="","",IF(I46="l","W",I46))</f>
        <v/>
      </c>
      <c r="E48" s="447" t="str">
        <f>IF(G45="","",":")</f>
        <v/>
      </c>
      <c r="F48" s="448" t="str">
        <f>IF(I46="","",IF(G46="W","L",G46))</f>
        <v/>
      </c>
      <c r="G48" s="1195"/>
      <c r="H48" s="1181"/>
      <c r="I48" s="1182"/>
      <c r="J48" s="443"/>
      <c r="K48" s="444" t="str">
        <f>IF(J47="","",":")</f>
        <v/>
      </c>
      <c r="L48" s="445"/>
      <c r="M48" s="443"/>
      <c r="N48" s="444" t="str">
        <f>IF(M47="","",":")</f>
        <v/>
      </c>
      <c r="O48" s="445"/>
      <c r="P48" s="443"/>
      <c r="Q48" s="444" t="str">
        <f>IF(P47="","",":")</f>
        <v/>
      </c>
      <c r="R48" s="445"/>
      <c r="S48" s="443"/>
      <c r="T48" s="444" t="str">
        <f>IF(S48="","",":")</f>
        <v/>
      </c>
      <c r="U48" s="445"/>
      <c r="V48" s="443"/>
      <c r="W48" s="444" t="str">
        <f>IF(V48="","",":")</f>
        <v/>
      </c>
      <c r="X48" s="445"/>
      <c r="Y48" s="443"/>
      <c r="Z48" s="444" t="str">
        <f>IF(Y48="","",":")</f>
        <v/>
      </c>
      <c r="AA48" s="445"/>
      <c r="AB48" s="443"/>
      <c r="AC48" s="444" t="str">
        <f>IF(AB48="","",":")</f>
        <v/>
      </c>
      <c r="AD48" s="445"/>
      <c r="AE48" s="1198"/>
      <c r="AF48" s="1199"/>
      <c r="AG48" s="1188"/>
      <c r="AH48" s="1186"/>
    </row>
    <row r="49" spans="1:34" ht="12" hidden="1" customHeight="1" x14ac:dyDescent="0.2">
      <c r="A49" s="1175">
        <v>3</v>
      </c>
      <c r="B49" s="1205"/>
      <c r="C49" s="441" t="str">
        <f>IF(B49="","",VLOOKUP(B49,'Списки участников'!A:H,3,FALSE))</f>
        <v/>
      </c>
      <c r="D49" s="1189" t="str">
        <f>IF(J45="","",IF(J46="W",0,IF(J45=2,1,IF(J45=1,2,IF(J45=0,2)))))</f>
        <v/>
      </c>
      <c r="E49" s="1190"/>
      <c r="F49" s="1191"/>
      <c r="G49" s="1183" t="str">
        <f>IF(J47="","",IF(J48="W",0,IF(J47=2,1,IF(J47=1,2,IF(J47=0,2)))))</f>
        <v/>
      </c>
      <c r="H49" s="1184"/>
      <c r="I49" s="1185"/>
      <c r="J49" s="1192"/>
      <c r="K49" s="1193"/>
      <c r="L49" s="1194"/>
      <c r="M49" s="1183"/>
      <c r="N49" s="1184"/>
      <c r="O49" s="1185"/>
      <c r="P49" s="1183"/>
      <c r="Q49" s="1184"/>
      <c r="R49" s="1185"/>
      <c r="S49" s="1183"/>
      <c r="T49" s="1184"/>
      <c r="U49" s="1185"/>
      <c r="V49" s="1183"/>
      <c r="W49" s="1184"/>
      <c r="X49" s="1185"/>
      <c r="Y49" s="1183"/>
      <c r="Z49" s="1184"/>
      <c r="AA49" s="1185"/>
      <c r="AB49" s="1183"/>
      <c r="AC49" s="1184"/>
      <c r="AD49" s="1185"/>
      <c r="AE49" s="1196" t="str">
        <f>IF(B49="","",SUM(G49,D49,M49,P49,S49,V49,Y49,AB49,))</f>
        <v/>
      </c>
      <c r="AF49" s="1197"/>
      <c r="AG49" s="1200"/>
      <c r="AH49" s="1186" t="str">
        <f>IF(B49="","",RANK(AE49,ГР15О))</f>
        <v/>
      </c>
    </row>
    <row r="50" spans="1:34" ht="12" hidden="1" customHeight="1" x14ac:dyDescent="0.2">
      <c r="A50" s="1176"/>
      <c r="B50" s="1206"/>
      <c r="C50" s="442" t="str">
        <f>IF(B49="","",VLOOKUP(B49,'Списки участников'!A:H,6,FALSE))</f>
        <v/>
      </c>
      <c r="D50" s="449" t="str">
        <f>IF(J46="","",IF(L46="l","W",L46))</f>
        <v/>
      </c>
      <c r="E50" s="444" t="str">
        <f>IF(K46="","",":")</f>
        <v/>
      </c>
      <c r="F50" s="450" t="str">
        <f>IF(L46="","",IF(J46="W","L",J46))</f>
        <v/>
      </c>
      <c r="G50" s="449" t="str">
        <f>IF(J48="","",IF(L48="l","W",L48))</f>
        <v/>
      </c>
      <c r="H50" s="444" t="str">
        <f>IF(K48="","",":")</f>
        <v/>
      </c>
      <c r="I50" s="450" t="str">
        <f>IF(L48="","",IF(J48="W","L",J48))</f>
        <v/>
      </c>
      <c r="J50" s="1195"/>
      <c r="K50" s="1181"/>
      <c r="L50" s="1182"/>
      <c r="M50" s="443"/>
      <c r="N50" s="444" t="str">
        <f>IF(M49="","",":")</f>
        <v/>
      </c>
      <c r="O50" s="445"/>
      <c r="P50" s="443"/>
      <c r="Q50" s="444" t="str">
        <f>IF(P49="","",":")</f>
        <v/>
      </c>
      <c r="R50" s="445"/>
      <c r="S50" s="443"/>
      <c r="T50" s="444" t="str">
        <f>IF(S49="","",":")</f>
        <v/>
      </c>
      <c r="U50" s="445"/>
      <c r="V50" s="443"/>
      <c r="W50" s="444" t="str">
        <f>IF(V50="","",":")</f>
        <v/>
      </c>
      <c r="X50" s="445"/>
      <c r="Y50" s="443"/>
      <c r="Z50" s="444" t="str">
        <f>IF(Y50="","",":")</f>
        <v/>
      </c>
      <c r="AA50" s="445"/>
      <c r="AB50" s="443"/>
      <c r="AC50" s="444" t="str">
        <f>IF(AB50="","",":")</f>
        <v/>
      </c>
      <c r="AD50" s="445"/>
      <c r="AE50" s="1198"/>
      <c r="AF50" s="1199"/>
      <c r="AG50" s="1201"/>
      <c r="AH50" s="1186"/>
    </row>
    <row r="51" spans="1:34" ht="12" hidden="1" customHeight="1" x14ac:dyDescent="0.2">
      <c r="A51" s="1175">
        <v>4</v>
      </c>
      <c r="B51" s="1205"/>
      <c r="C51" s="441" t="str">
        <f>IF(B51="","",VLOOKUP(B51,'Списки участников'!A:H,3,FALSE))</f>
        <v/>
      </c>
      <c r="D51" s="1183" t="str">
        <f>IF(M45="","",IF(M46="W",0,IF(M45=2,1,IF(M45=1,2,IF(M45=0,2)))))</f>
        <v/>
      </c>
      <c r="E51" s="1184"/>
      <c r="F51" s="1185"/>
      <c r="G51" s="1183" t="str">
        <f>IF(M47="","",IF(M48="W",0,IF(M47=2,1,IF(M47=1,2,IF(M47=0,2)))))</f>
        <v/>
      </c>
      <c r="H51" s="1184"/>
      <c r="I51" s="1185"/>
      <c r="J51" s="1183" t="str">
        <f>IF(M49="","",IF(M50="W",0,IF(M49=2,1,IF(M49=1,2,IF(M49=0,2)))))</f>
        <v/>
      </c>
      <c r="K51" s="1184"/>
      <c r="L51" s="1185"/>
      <c r="M51" s="1193"/>
      <c r="N51" s="1193"/>
      <c r="O51" s="1193"/>
      <c r="P51" s="1183"/>
      <c r="Q51" s="1184"/>
      <c r="R51" s="1185"/>
      <c r="S51" s="1183"/>
      <c r="T51" s="1184"/>
      <c r="U51" s="1185"/>
      <c r="V51" s="1183"/>
      <c r="W51" s="1184"/>
      <c r="X51" s="1185"/>
      <c r="Y51" s="1183"/>
      <c r="Z51" s="1184"/>
      <c r="AA51" s="1185"/>
      <c r="AB51" s="1183"/>
      <c r="AC51" s="1184"/>
      <c r="AD51" s="1185"/>
      <c r="AE51" s="1196" t="str">
        <f>IF(B51="","",SUM(G51,J51,D51,P51,S51,V51,Y51,AB51,))</f>
        <v/>
      </c>
      <c r="AF51" s="1197"/>
      <c r="AG51" s="1200"/>
      <c r="AH51" s="1186" t="str">
        <f>IF(B51="","",RANK(AE51,ГР15О))</f>
        <v/>
      </c>
    </row>
    <row r="52" spans="1:34" ht="12" hidden="1" customHeight="1" x14ac:dyDescent="0.2">
      <c r="A52" s="1176"/>
      <c r="B52" s="1207"/>
      <c r="C52" s="442" t="str">
        <f>IF(B51="","",VLOOKUP(B51,'Списки участников'!A:H,6,FALSE))</f>
        <v/>
      </c>
      <c r="D52" s="449" t="str">
        <f>IF(M46="","",IF(O46="l","W",O46))</f>
        <v/>
      </c>
      <c r="E52" s="444" t="str">
        <f>IF(N46="","",":")</f>
        <v/>
      </c>
      <c r="F52" s="450" t="str">
        <f>IF(O46="","",IF(M46="W","L",M46))</f>
        <v/>
      </c>
      <c r="G52" s="449" t="str">
        <f>IF(M48="","",IF(O48="l","W",O48))</f>
        <v/>
      </c>
      <c r="H52" s="444" t="str">
        <f>IF(N48="","",":")</f>
        <v/>
      </c>
      <c r="I52" s="450" t="str">
        <f>IF(O48="","",IF(M48="W","L",M48))</f>
        <v/>
      </c>
      <c r="J52" s="449" t="str">
        <f>IF(M50="","",IF(O50="l","W",O50))</f>
        <v/>
      </c>
      <c r="K52" s="444" t="str">
        <f>IF(N50="","",":")</f>
        <v/>
      </c>
      <c r="L52" s="450" t="str">
        <f>IF(O50="","",IF(M50="W","L",M50))</f>
        <v/>
      </c>
      <c r="M52" s="1202"/>
      <c r="N52" s="1202"/>
      <c r="O52" s="1202"/>
      <c r="P52" s="443"/>
      <c r="Q52" s="444" t="str">
        <f>IF(P51="","",":")</f>
        <v/>
      </c>
      <c r="R52" s="445"/>
      <c r="S52" s="443"/>
      <c r="T52" s="444" t="str">
        <f>IF(S51="","",":")</f>
        <v/>
      </c>
      <c r="U52" s="445"/>
      <c r="V52" s="443"/>
      <c r="W52" s="444" t="str">
        <f>IF(V51="","",":")</f>
        <v/>
      </c>
      <c r="X52" s="445"/>
      <c r="Y52" s="443"/>
      <c r="Z52" s="444" t="str">
        <f>IF(Y52="","",":")</f>
        <v/>
      </c>
      <c r="AA52" s="445"/>
      <c r="AB52" s="443"/>
      <c r="AC52" s="444" t="str">
        <f>IF(AB52="","",":")</f>
        <v/>
      </c>
      <c r="AD52" s="445"/>
      <c r="AE52" s="1198"/>
      <c r="AF52" s="1199"/>
      <c r="AG52" s="1201"/>
      <c r="AH52" s="1186"/>
    </row>
    <row r="53" spans="1:34" ht="12" hidden="1" customHeight="1" x14ac:dyDescent="0.2">
      <c r="A53" s="1175">
        <v>5</v>
      </c>
      <c r="B53" s="1205"/>
      <c r="C53" s="441" t="str">
        <f>IF(B53="","",VLOOKUP(B53,'Списки участников'!A:H,3,FALSE))</f>
        <v/>
      </c>
      <c r="D53" s="1183" t="str">
        <f>IF(P45="","",IF(P46="W",0,IF(P45=2,1,IF(P45=1,2,IF(P45=0,2)))))</f>
        <v/>
      </c>
      <c r="E53" s="1184"/>
      <c r="F53" s="1185"/>
      <c r="G53" s="1183" t="str">
        <f>IF(P47="","",IF(P48="W",0,IF(P47=2,1,IF(P47=1,2,IF(P47=0,2)))))</f>
        <v/>
      </c>
      <c r="H53" s="1184"/>
      <c r="I53" s="1185"/>
      <c r="J53" s="1183" t="str">
        <f>IF(P49="","",IF(P50="W",0,IF(P49=2,1,IF(P49=1,2,IF(P49=0,2)))))</f>
        <v/>
      </c>
      <c r="K53" s="1184"/>
      <c r="L53" s="1185"/>
      <c r="M53" s="1183" t="str">
        <f>IF(P51="","",IF(P52="W",0,IF(P51=2,1,IF(P51=1,2,IF(P51=0,2)))))</f>
        <v/>
      </c>
      <c r="N53" s="1184"/>
      <c r="O53" s="1185"/>
      <c r="P53" s="1192"/>
      <c r="Q53" s="1193"/>
      <c r="R53" s="1194"/>
      <c r="S53" s="1183"/>
      <c r="T53" s="1184"/>
      <c r="U53" s="1185"/>
      <c r="V53" s="1183"/>
      <c r="W53" s="1184"/>
      <c r="X53" s="1185"/>
      <c r="Y53" s="1183"/>
      <c r="Z53" s="1184"/>
      <c r="AA53" s="1185"/>
      <c r="AB53" s="1183"/>
      <c r="AC53" s="1184"/>
      <c r="AD53" s="1185"/>
      <c r="AE53" s="1196" t="str">
        <f>IF(B53="","",SUM(G53,J53,M53,D53,S53,V53,Y53,AB53,))</f>
        <v/>
      </c>
      <c r="AF53" s="1197"/>
      <c r="AG53" s="1200"/>
      <c r="AH53" s="1186" t="str">
        <f>IF(B53="","",RANK(AE53,ГР15О))</f>
        <v/>
      </c>
    </row>
    <row r="54" spans="1:34" ht="12" hidden="1" customHeight="1" x14ac:dyDescent="0.2">
      <c r="A54" s="1176"/>
      <c r="B54" s="1207"/>
      <c r="C54" s="442" t="str">
        <f>IF(B53="","",VLOOKUP(B53,'Списки участников'!A:H,6,FALSE))</f>
        <v/>
      </c>
      <c r="D54" s="449" t="str">
        <f>IF(P46="","",IF(R46="l","W",R46))</f>
        <v/>
      </c>
      <c r="E54" s="444" t="str">
        <f>IF(Q46="","",":")</f>
        <v/>
      </c>
      <c r="F54" s="450" t="str">
        <f>IF(R46="","",IF(P46="W","L",P46))</f>
        <v/>
      </c>
      <c r="G54" s="449" t="str">
        <f>IF(P48="","",IF(R48="l","W",R48))</f>
        <v/>
      </c>
      <c r="H54" s="444" t="str">
        <f>IF(Q48="","",":")</f>
        <v/>
      </c>
      <c r="I54" s="450" t="str">
        <f>IF(R48="","",IF(P48="W","L",P48))</f>
        <v/>
      </c>
      <c r="J54" s="449" t="str">
        <f>IF(P50="","",IF(R50="l","W",R50))</f>
        <v/>
      </c>
      <c r="K54" s="444" t="str">
        <f>IF(Q50="","",":")</f>
        <v/>
      </c>
      <c r="L54" s="450" t="str">
        <f>IF(R50="","",IF(P50="W","L",P50))</f>
        <v/>
      </c>
      <c r="M54" s="449" t="str">
        <f>IF(P52="","",IF(R52="l","W",R52))</f>
        <v/>
      </c>
      <c r="N54" s="444" t="str">
        <f>IF(Q52="","",":")</f>
        <v/>
      </c>
      <c r="O54" s="450" t="str">
        <f>IF(R52="","",IF(P52="W","L",P52))</f>
        <v/>
      </c>
      <c r="P54" s="1195"/>
      <c r="Q54" s="1181"/>
      <c r="R54" s="1182"/>
      <c r="S54" s="443"/>
      <c r="T54" s="444" t="str">
        <f>IF(S53="","",":")</f>
        <v/>
      </c>
      <c r="U54" s="445"/>
      <c r="V54" s="443"/>
      <c r="W54" s="444" t="str">
        <f>IF(V53="","",":")</f>
        <v/>
      </c>
      <c r="X54" s="445"/>
      <c r="Y54" s="443"/>
      <c r="Z54" s="444" t="str">
        <f>IF(Y53="","",":")</f>
        <v/>
      </c>
      <c r="AA54" s="445"/>
      <c r="AB54" s="443"/>
      <c r="AC54" s="444" t="str">
        <f>IF(AB54="","",":")</f>
        <v/>
      </c>
      <c r="AD54" s="445"/>
      <c r="AE54" s="1198"/>
      <c r="AF54" s="1199"/>
      <c r="AG54" s="1201"/>
      <c r="AH54" s="1186"/>
    </row>
    <row r="55" spans="1:34" ht="12" hidden="1" customHeight="1" x14ac:dyDescent="0.2">
      <c r="A55" s="1175">
        <v>6</v>
      </c>
      <c r="B55" s="1208"/>
      <c r="C55" s="441" t="str">
        <f>IF(B55="","",VLOOKUP(B55,'Списки участников'!A:H,3,FALSE))</f>
        <v/>
      </c>
      <c r="D55" s="1183" t="str">
        <f>IF(S45="","",IF(S46="W",0,IF(S45=2,1,IF(S45=1,2,IF(S45=0,2)))))</f>
        <v/>
      </c>
      <c r="E55" s="1184"/>
      <c r="F55" s="1185"/>
      <c r="G55" s="1183" t="str">
        <f>IF(S47="","",IF(S48="W",0,IF(S47=2,1,IF(S47=1,2,IF(S47=0,2)))))</f>
        <v/>
      </c>
      <c r="H55" s="1184"/>
      <c r="I55" s="1185"/>
      <c r="J55" s="1183" t="str">
        <f>IF(S49="","",IF(S50="W",0,IF(S49=2,1,IF(S49=1,2,IF(S49=0,2)))))</f>
        <v/>
      </c>
      <c r="K55" s="1184"/>
      <c r="L55" s="1185"/>
      <c r="M55" s="1183" t="str">
        <f>IF(S51="","",IF(S52="W",0,IF(S51=2,1,IF(S51=1,2,IF(S51=0,2)))))</f>
        <v/>
      </c>
      <c r="N55" s="1184"/>
      <c r="O55" s="1185"/>
      <c r="P55" s="1183" t="str">
        <f>IF(S53="","",IF(S54="W",0,IF(S53=2,1,IF(S53=1,2,IF(S53=0,2)))))</f>
        <v/>
      </c>
      <c r="Q55" s="1184"/>
      <c r="R55" s="1185"/>
      <c r="S55" s="1192"/>
      <c r="T55" s="1193"/>
      <c r="U55" s="1194"/>
      <c r="V55" s="1183"/>
      <c r="W55" s="1184"/>
      <c r="X55" s="1185"/>
      <c r="Y55" s="1183"/>
      <c r="Z55" s="1184"/>
      <c r="AA55" s="1185"/>
      <c r="AB55" s="1183"/>
      <c r="AC55" s="1184"/>
      <c r="AD55" s="1185"/>
      <c r="AE55" s="1196" t="str">
        <f>IF(B55="","",SUM(G55,J55,M55,P55,D55,V55,Y55,AB55,))</f>
        <v/>
      </c>
      <c r="AF55" s="1197"/>
      <c r="AG55" s="1200"/>
      <c r="AH55" s="1186" t="str">
        <f>IF(B55="","",RANK(AE55,ГР15О))</f>
        <v/>
      </c>
    </row>
    <row r="56" spans="1:34" ht="12" hidden="1" customHeight="1" x14ac:dyDescent="0.2">
      <c r="A56" s="1176"/>
      <c r="B56" s="1209"/>
      <c r="C56" s="442" t="str">
        <f>IF(B55="","",VLOOKUP(B55,'Списки участников'!A:H,6,FALSE))</f>
        <v/>
      </c>
      <c r="D56" s="449" t="str">
        <f>IF(S46="","",IF(U46="l","W",U46))</f>
        <v/>
      </c>
      <c r="E56" s="444" t="str">
        <f>IF(T46="","",":")</f>
        <v/>
      </c>
      <c r="F56" s="450" t="str">
        <f>IF(U46="","",IF(S46="W","L",S46))</f>
        <v/>
      </c>
      <c r="G56" s="449" t="str">
        <f>IF(S48="","",IF(U48="l","W",U48))</f>
        <v/>
      </c>
      <c r="H56" s="444" t="str">
        <f>IF(T48="","",":")</f>
        <v/>
      </c>
      <c r="I56" s="450" t="str">
        <f>IF(U48="","",IF(S48="W","L",S48))</f>
        <v/>
      </c>
      <c r="J56" s="449" t="str">
        <f>IF(S50="","",IF(U50="l","W",U50))</f>
        <v/>
      </c>
      <c r="K56" s="444" t="str">
        <f>IF(T50="","",":")</f>
        <v/>
      </c>
      <c r="L56" s="450" t="str">
        <f>IF(U50="","",IF(S50="W","L",S50))</f>
        <v/>
      </c>
      <c r="M56" s="449" t="str">
        <f>IF(S52="","",IF(U52="l","W",U52))</f>
        <v/>
      </c>
      <c r="N56" s="444" t="str">
        <f>IF(T52="","",":")</f>
        <v/>
      </c>
      <c r="O56" s="450" t="str">
        <f>IF(U52="","",IF(S52="W","L",S52))</f>
        <v/>
      </c>
      <c r="P56" s="449" t="str">
        <f>IF(S54="","",IF(U54="l","W",U54))</f>
        <v/>
      </c>
      <c r="Q56" s="444" t="str">
        <f>IF(T54="","",":")</f>
        <v/>
      </c>
      <c r="R56" s="450" t="str">
        <f>IF(U54="","",IF(S54="W","L",S54))</f>
        <v/>
      </c>
      <c r="S56" s="1195"/>
      <c r="T56" s="1181"/>
      <c r="U56" s="1182"/>
      <c r="V56" s="443"/>
      <c r="W56" s="444" t="str">
        <f>IF(V55="","",":")</f>
        <v/>
      </c>
      <c r="X56" s="445"/>
      <c r="Y56" s="443"/>
      <c r="Z56" s="444" t="str">
        <f>IF(Y55="","",":")</f>
        <v/>
      </c>
      <c r="AA56" s="445"/>
      <c r="AB56" s="443"/>
      <c r="AC56" s="444" t="str">
        <f>IF(AB55="","",":")</f>
        <v/>
      </c>
      <c r="AD56" s="445"/>
      <c r="AE56" s="1198"/>
      <c r="AF56" s="1199"/>
      <c r="AG56" s="1201"/>
      <c r="AH56" s="1186"/>
    </row>
    <row r="57" spans="1:34" ht="12" hidden="1" customHeight="1" x14ac:dyDescent="0.2">
      <c r="A57" s="1175">
        <v>7</v>
      </c>
      <c r="B57" s="1208"/>
      <c r="C57" s="441" t="str">
        <f>IF(B57="","",VLOOKUP(B57,'Списки участников'!A:H,3,FALSE))</f>
        <v/>
      </c>
      <c r="D57" s="1183" t="str">
        <f>IF(V45="","",IF(V46="W",0,IF(V45=2,1,IF(V45=1,2,IF(V45=0,2)))))</f>
        <v/>
      </c>
      <c r="E57" s="1184"/>
      <c r="F57" s="1185"/>
      <c r="G57" s="1183" t="str">
        <f>IF(V47="","",IF(V48="W",0,IF(V47=2,1,IF(V47=1,2,IF(V47=0,2)))))</f>
        <v/>
      </c>
      <c r="H57" s="1184"/>
      <c r="I57" s="1185"/>
      <c r="J57" s="1183" t="str">
        <f>IF(V49="","",IF(V50="W",0,IF(V49=2,1,IF(V49=1,2,IF(V49=0,2)))))</f>
        <v/>
      </c>
      <c r="K57" s="1184"/>
      <c r="L57" s="1185"/>
      <c r="M57" s="1183" t="str">
        <f>IF(V51="","",IF(V52="W",0,IF(V51=2,1,IF(V51=1,2,IF(V51=0,2)))))</f>
        <v/>
      </c>
      <c r="N57" s="1184"/>
      <c r="O57" s="1185"/>
      <c r="P57" s="1183" t="str">
        <f>IF(V53="","",IF(V54="W",0,IF(V53=2,1,IF(V53=1,2,IF(V53=0,2)))))</f>
        <v/>
      </c>
      <c r="Q57" s="1184"/>
      <c r="R57" s="1185"/>
      <c r="S57" s="1183" t="str">
        <f>IF(V55="","",IF(V56="W",0,IF(V55=2,1,IF(V55=1,2,IF(V55=0,2)))))</f>
        <v/>
      </c>
      <c r="T57" s="1184"/>
      <c r="U57" s="1185"/>
      <c r="V57" s="1203"/>
      <c r="W57" s="1179"/>
      <c r="X57" s="1180"/>
      <c r="Y57" s="1183"/>
      <c r="Z57" s="1184"/>
      <c r="AA57" s="1185"/>
      <c r="AB57" s="1183"/>
      <c r="AC57" s="1184"/>
      <c r="AD57" s="1185"/>
      <c r="AE57" s="1196" t="str">
        <f>IF(B57="","",SUM(G57,J57,M57,P57,S57,D57,Y57,AB57,))</f>
        <v/>
      </c>
      <c r="AF57" s="1197"/>
      <c r="AG57" s="1200"/>
      <c r="AH57" s="1186" t="str">
        <f>IF(B57="","",RANK(AE57,ГР15О))</f>
        <v/>
      </c>
    </row>
    <row r="58" spans="1:34" ht="12" hidden="1" customHeight="1" x14ac:dyDescent="0.2">
      <c r="A58" s="1176"/>
      <c r="B58" s="1209"/>
      <c r="C58" s="442" t="str">
        <f>IF(B57="","",VLOOKUP(B57,'Списки участников'!A:H,6,FALSE))</f>
        <v/>
      </c>
      <c r="D58" s="449" t="str">
        <f>IF(V46="","",IF(X46="l","W",X46))</f>
        <v/>
      </c>
      <c r="E58" s="444" t="str">
        <f>IF(W46="","",":")</f>
        <v/>
      </c>
      <c r="F58" s="450" t="str">
        <f>IF(X46="","",IF(V46="W","L",V46))</f>
        <v/>
      </c>
      <c r="G58" s="449" t="str">
        <f>IF(V48="","",IF(X48="l","W",X48))</f>
        <v/>
      </c>
      <c r="H58" s="444" t="str">
        <f>IF(W48="","",":")</f>
        <v/>
      </c>
      <c r="I58" s="450" t="str">
        <f>IF(X48="","",IF(V48="W","L",V48))</f>
        <v/>
      </c>
      <c r="J58" s="449" t="str">
        <f>IF(V50="","",IF(X50="l","W",X50))</f>
        <v/>
      </c>
      <c r="K58" s="444" t="str">
        <f>IF(W50="","",":")</f>
        <v/>
      </c>
      <c r="L58" s="450" t="str">
        <f>IF(X50="","",IF(V50="W","L",V50))</f>
        <v/>
      </c>
      <c r="M58" s="449" t="str">
        <f>IF(V52="","",IF(X52="l","W",X52))</f>
        <v/>
      </c>
      <c r="N58" s="444" t="str">
        <f>IF(W52="","",":")</f>
        <v/>
      </c>
      <c r="O58" s="450" t="str">
        <f>IF(X52="","",IF(V52="W","L",V52))</f>
        <v/>
      </c>
      <c r="P58" s="449" t="str">
        <f>IF(V54="","",IF(X54="l","W",X54))</f>
        <v/>
      </c>
      <c r="Q58" s="444" t="str">
        <f>IF(W54="","",":")</f>
        <v/>
      </c>
      <c r="R58" s="450" t="str">
        <f>IF(X54="","",IF(V54="W","L",V54))</f>
        <v/>
      </c>
      <c r="S58" s="449" t="str">
        <f>IF(V56="","",IF(X56="l","W",X56))</f>
        <v/>
      </c>
      <c r="T58" s="444" t="str">
        <f>IF(W56="","",":")</f>
        <v/>
      </c>
      <c r="U58" s="450" t="str">
        <f>IF(X56="","",IF(V56="W","L",V56))</f>
        <v/>
      </c>
      <c r="V58" s="1195"/>
      <c r="W58" s="1181"/>
      <c r="X58" s="1182"/>
      <c r="Y58" s="443"/>
      <c r="Z58" s="444" t="str">
        <f>IF(Y57="","",":")</f>
        <v/>
      </c>
      <c r="AA58" s="445"/>
      <c r="AB58" s="443"/>
      <c r="AC58" s="444" t="str">
        <f>IF(AB57="","",":")</f>
        <v/>
      </c>
      <c r="AD58" s="445"/>
      <c r="AE58" s="1198"/>
      <c r="AF58" s="1199"/>
      <c r="AG58" s="1201"/>
      <c r="AH58" s="1186"/>
    </row>
    <row r="59" spans="1:34" ht="12" hidden="1" customHeight="1" x14ac:dyDescent="0.2">
      <c r="A59" s="1175">
        <v>8</v>
      </c>
      <c r="B59" s="1208"/>
      <c r="C59" s="441" t="str">
        <f>IF(B59="","",VLOOKUP(B59,'Списки участников'!A:H,3,FALSE))</f>
        <v/>
      </c>
      <c r="D59" s="1183" t="str">
        <f>IF(Y45="","",IF(Y46="W",0,IF(Y45=2,1,IF(Y45=1,2,IF(Y45=0,2)))))</f>
        <v/>
      </c>
      <c r="E59" s="1184"/>
      <c r="F59" s="1185"/>
      <c r="G59" s="1183" t="str">
        <f>IF(Y47="","",IF(Y48="W",0,IF(Y47=2,1,IF(Y47=1,2,IF(Y47=0,2)))))</f>
        <v/>
      </c>
      <c r="H59" s="1184"/>
      <c r="I59" s="1185"/>
      <c r="J59" s="1183" t="str">
        <f>IF(Y49="","",IF(Y50="W",0,IF(Y49=2,1,IF(Y49=1,2,IF(Y49=0,2)))))</f>
        <v/>
      </c>
      <c r="K59" s="1184"/>
      <c r="L59" s="1185"/>
      <c r="M59" s="1183" t="str">
        <f>IF(Y51="","",IF(Y52="W",0,IF(Y51=2,1,IF(Y51=1,2,IF(Y51=0,2)))))</f>
        <v/>
      </c>
      <c r="N59" s="1184"/>
      <c r="O59" s="1185"/>
      <c r="P59" s="1183" t="str">
        <f>IF(Y53="","",IF(Y54="W",0,IF(Y53=2,1,IF(Y53=1,2,IF(Y53=0,2)))))</f>
        <v/>
      </c>
      <c r="Q59" s="1184"/>
      <c r="R59" s="1185"/>
      <c r="S59" s="1183" t="str">
        <f>IF(Y55="","",IF(Y56="W",0,IF(Y55=2,1,IF(Y55=1,2,IF(Y55=0,2)))))</f>
        <v/>
      </c>
      <c r="T59" s="1184"/>
      <c r="U59" s="1185"/>
      <c r="V59" s="1183" t="str">
        <f>IF(Y57="","",IF(Y58="W",0,IF(Y57=2,1,IF(Y57=1,2,IF(Y57=0,2)))))</f>
        <v/>
      </c>
      <c r="W59" s="1184"/>
      <c r="X59" s="1185"/>
      <c r="Y59" s="1192"/>
      <c r="Z59" s="1193"/>
      <c r="AA59" s="1194"/>
      <c r="AB59" s="1183"/>
      <c r="AC59" s="1184"/>
      <c r="AD59" s="1185"/>
      <c r="AE59" s="1196" t="str">
        <f>IF(B59="","",SUM(G59,J59,M59,P59,S59,V59,D59,AB59,))</f>
        <v/>
      </c>
      <c r="AF59" s="1197"/>
      <c r="AG59" s="1200"/>
      <c r="AH59" s="1186" t="str">
        <f>IF(B59="","",RANK(AE59,ГР15О))</f>
        <v/>
      </c>
    </row>
    <row r="60" spans="1:34" ht="12" hidden="1" customHeight="1" x14ac:dyDescent="0.2">
      <c r="A60" s="1176"/>
      <c r="B60" s="1209"/>
      <c r="C60" s="442" t="str">
        <f>IF(B59="","",VLOOKUP(B59,'Списки участников'!A:H,6,FALSE))</f>
        <v/>
      </c>
      <c r="D60" s="449" t="str">
        <f>IF(Y46="","",IF(AA46="l","W",AA46))</f>
        <v/>
      </c>
      <c r="E60" s="444" t="str">
        <f>IF(Z46="","",":")</f>
        <v/>
      </c>
      <c r="F60" s="450" t="str">
        <f>IF(AA46="","",IF(Y46="W","L",Y46))</f>
        <v/>
      </c>
      <c r="G60" s="449" t="str">
        <f>IF(Y48="","",IF(AA48="l","W",AA48))</f>
        <v/>
      </c>
      <c r="H60" s="444" t="str">
        <f>IF(Z48="","",":")</f>
        <v/>
      </c>
      <c r="I60" s="450" t="str">
        <f>IF(AA48="","",IF(Y48="W","L",Y48))</f>
        <v/>
      </c>
      <c r="J60" s="449" t="str">
        <f>IF(Y50="","",IF(AA50="l","W",AA50))</f>
        <v/>
      </c>
      <c r="K60" s="444" t="str">
        <f>IF(Z50="","",":")</f>
        <v/>
      </c>
      <c r="L60" s="450" t="str">
        <f>IF(AA50="","",IF(Y50="W","L",Y50))</f>
        <v/>
      </c>
      <c r="M60" s="449" t="str">
        <f>IF(Y52="","",IF(AA52="l","W",AA52))</f>
        <v/>
      </c>
      <c r="N60" s="444" t="str">
        <f>IF(Z52="","",":")</f>
        <v/>
      </c>
      <c r="O60" s="450" t="str">
        <f>IF(AA52="","",IF(Y52="W","L",Y52))</f>
        <v/>
      </c>
      <c r="P60" s="449" t="str">
        <f>IF(Y54="","",IF(AA54="l","W",AA54))</f>
        <v/>
      </c>
      <c r="Q60" s="444" t="str">
        <f>IF(Z54="","",":")</f>
        <v/>
      </c>
      <c r="R60" s="450" t="str">
        <f>IF(AA54="","",IF(Y54="W","L",Y54))</f>
        <v/>
      </c>
      <c r="S60" s="449" t="str">
        <f>IF(Y56="","",IF(AA56="l","W",AA56))</f>
        <v/>
      </c>
      <c r="T60" s="444" t="str">
        <f>IF(Z56="","",":")</f>
        <v/>
      </c>
      <c r="U60" s="450" t="str">
        <f>IF(AA56="","",IF(Y56="W","L",Y56))</f>
        <v/>
      </c>
      <c r="V60" s="449" t="str">
        <f>IF(Y58="","",IF(AA58="l","W",AA58))</f>
        <v/>
      </c>
      <c r="W60" s="444" t="str">
        <f>IF(Z58="","",":")</f>
        <v/>
      </c>
      <c r="X60" s="450" t="str">
        <f>IF(AA58="","",IF(Y58="W","L",Y58))</f>
        <v/>
      </c>
      <c r="Y60" s="1195"/>
      <c r="Z60" s="1181"/>
      <c r="AA60" s="1182"/>
      <c r="AB60" s="443"/>
      <c r="AC60" s="444" t="str">
        <f>IF(AB59="","",":")</f>
        <v/>
      </c>
      <c r="AD60" s="445"/>
      <c r="AE60" s="1198"/>
      <c r="AF60" s="1199"/>
      <c r="AG60" s="1201"/>
      <c r="AH60" s="1186"/>
    </row>
    <row r="61" spans="1:34" ht="12" hidden="1" customHeight="1" x14ac:dyDescent="0.2">
      <c r="A61" s="1175">
        <v>9</v>
      </c>
      <c r="B61" s="1177"/>
      <c r="C61" s="441" t="str">
        <f>IF(B61="","",VLOOKUP(B61,'Списки участников'!A:H,3,FALSE))</f>
        <v/>
      </c>
      <c r="D61" s="1183" t="str">
        <f>IF(AB45="","",IF(AB46="W",0,IF(AB45=2,1,IF(AB45=1,2,IF(AB45=0,2)))))</f>
        <v/>
      </c>
      <c r="E61" s="1184"/>
      <c r="F61" s="1185"/>
      <c r="G61" s="1183" t="str">
        <f>IF(AB47="","",IF(AB48="W",0,IF(AB47=2,1,IF(AB47=1,2,IF(AB47=0,2)))))</f>
        <v/>
      </c>
      <c r="H61" s="1184"/>
      <c r="I61" s="1185"/>
      <c r="J61" s="1183" t="str">
        <f>IF(AB49="","",IF(AB50="W",0,IF(AB49=2,1,IF(AB49=1,2,IF(AB49=0,2)))))</f>
        <v/>
      </c>
      <c r="K61" s="1184"/>
      <c r="L61" s="1185"/>
      <c r="M61" s="1183" t="str">
        <f>IF(AB51="","",IF(AB52="W",0,IF(AB51=2,1,IF(AB51=1,2,IF(AB51=0,2)))))</f>
        <v/>
      </c>
      <c r="N61" s="1184"/>
      <c r="O61" s="1185"/>
      <c r="P61" s="1183" t="str">
        <f>IF(AB53="","",IF(AB54="W",0,IF(AB53=2,1,IF(AB53=1,2,IF(AB53=0,2)))))</f>
        <v/>
      </c>
      <c r="Q61" s="1184"/>
      <c r="R61" s="1185"/>
      <c r="S61" s="1183" t="str">
        <f>IF(AB55="","",IF(AB56="W",0,IF(AB55=2,1,IF(AB55=1,2,IF(AB55=0,2)))))</f>
        <v/>
      </c>
      <c r="T61" s="1184"/>
      <c r="U61" s="1185"/>
      <c r="V61" s="1183" t="str">
        <f>IF(AB57="","",IF(AB58="W",0,IF(AB57=2,1,IF(AB57=1,2,IF(AB57=0,2)))))</f>
        <v/>
      </c>
      <c r="W61" s="1184"/>
      <c r="X61" s="1185"/>
      <c r="Y61" s="1183" t="str">
        <f>IF(AB59="","",IF(AB60="W",0,IF(AB59=2,1,IF(AB59=1,2,IF(AB59=0,2)))))</f>
        <v/>
      </c>
      <c r="Z61" s="1184"/>
      <c r="AA61" s="1185"/>
      <c r="AB61" s="1203"/>
      <c r="AC61" s="1179"/>
      <c r="AD61" s="1180"/>
      <c r="AE61" s="1196" t="str">
        <f>IF(B61="","",SUM(G61,J61,M61,P61,S61,V61,Y61,D61,))</f>
        <v/>
      </c>
      <c r="AF61" s="1197"/>
      <c r="AG61" s="1200"/>
      <c r="AH61" s="1186" t="str">
        <f>IF(B61="","",RANK(AE61,ГР15О))</f>
        <v/>
      </c>
    </row>
    <row r="62" spans="1:34" ht="12" hidden="1" customHeight="1" x14ac:dyDescent="0.2">
      <c r="A62" s="1176"/>
      <c r="B62" s="1178"/>
      <c r="C62" s="442" t="str">
        <f>IF(B61="","",VLOOKUP(B61,'Списки участников'!A:H,6,FALSE))</f>
        <v/>
      </c>
      <c r="D62" s="449" t="str">
        <f>IF(AB46="","",IF(AD46="l","W",AD46))</f>
        <v/>
      </c>
      <c r="E62" s="444" t="str">
        <f>IF(AC46="","",":")</f>
        <v/>
      </c>
      <c r="F62" s="450" t="str">
        <f>IF(AD46="","",IF(AB46="W","L",AB46))</f>
        <v/>
      </c>
      <c r="G62" s="449" t="str">
        <f>IF(AB48="","",IF(AD48="l","W",AD48))</f>
        <v/>
      </c>
      <c r="H62" s="444" t="str">
        <f>IF(AC48="","",":")</f>
        <v/>
      </c>
      <c r="I62" s="450" t="str">
        <f>IF(AD48="","",IF(AB48="W","L",AB48))</f>
        <v/>
      </c>
      <c r="J62" s="449" t="str">
        <f>IF(AB50="","",IF(AD50="l","W",AD50))</f>
        <v/>
      </c>
      <c r="K62" s="444" t="str">
        <f>IF(AC50="","",":")</f>
        <v/>
      </c>
      <c r="L62" s="450" t="str">
        <f>IF(AD50="","",IF(AB50="W","L",AB50))</f>
        <v/>
      </c>
      <c r="M62" s="449" t="str">
        <f>IF(AB52="","",IF(AD52="l","W",AD52))</f>
        <v/>
      </c>
      <c r="N62" s="444" t="str">
        <f>IF(AC52="","",":")</f>
        <v/>
      </c>
      <c r="O62" s="450" t="str">
        <f>IF(AD52="","",IF(AB52="W","L",AB52))</f>
        <v/>
      </c>
      <c r="P62" s="449" t="str">
        <f>IF(AB54="","",IF(AD54="l","W",AD54))</f>
        <v/>
      </c>
      <c r="Q62" s="444" t="str">
        <f>IF(AC54="","",":")</f>
        <v/>
      </c>
      <c r="R62" s="450" t="str">
        <f>IF(AD54="","",IF(AB54="W","L",AB54))</f>
        <v/>
      </c>
      <c r="S62" s="449" t="str">
        <f>IF(AB56="","",IF(AD56="l","W",AD56))</f>
        <v/>
      </c>
      <c r="T62" s="444" t="str">
        <f>IF(AC56="","",":")</f>
        <v/>
      </c>
      <c r="U62" s="450" t="str">
        <f>IF(AD56="","",IF(AB56="W","L",AB56))</f>
        <v/>
      </c>
      <c r="V62" s="449" t="str">
        <f>IF(AB58="","",IF(AD58="l","W",AD58))</f>
        <v/>
      </c>
      <c r="W62" s="444" t="str">
        <f>IF(AC58="","",":")</f>
        <v/>
      </c>
      <c r="X62" s="450" t="str">
        <f>IF(AD58="","",IF(AB58="W","L",AB58))</f>
        <v/>
      </c>
      <c r="Y62" s="449" t="str">
        <f>IF(AB60="","",IF(AD60="l","W",AD60))</f>
        <v/>
      </c>
      <c r="Z62" s="444" t="str">
        <f>IF(AC60="","",":")</f>
        <v/>
      </c>
      <c r="AA62" s="450" t="str">
        <f>IF(AD60="","",IF(AB60="W","L",AB60))</f>
        <v/>
      </c>
      <c r="AB62" s="1195"/>
      <c r="AC62" s="1181"/>
      <c r="AD62" s="1182"/>
      <c r="AE62" s="1198"/>
      <c r="AF62" s="1199"/>
      <c r="AG62" s="1201"/>
      <c r="AH62" s="1186"/>
    </row>
    <row r="63" spans="1:34" ht="12" hidden="1" customHeight="1" x14ac:dyDescent="0.25">
      <c r="A63" s="128"/>
      <c r="B63" s="128"/>
      <c r="C63" s="128"/>
      <c r="D63" s="128"/>
      <c r="E63" s="128"/>
      <c r="F63" s="128"/>
      <c r="G63" s="1204" t="s">
        <v>2617</v>
      </c>
      <c r="H63" s="1204"/>
      <c r="I63" s="1204"/>
      <c r="J63" s="1204"/>
      <c r="K63" s="1204"/>
      <c r="L63" s="1204"/>
      <c r="M63" s="1204"/>
      <c r="N63" s="1204"/>
      <c r="O63" s="1204"/>
      <c r="P63" s="1204"/>
      <c r="Q63" s="1204"/>
      <c r="R63" s="1204"/>
      <c r="S63" s="1204"/>
      <c r="T63" s="1204"/>
      <c r="U63" s="1204"/>
      <c r="V63" s="1204"/>
      <c r="W63" s="1204"/>
      <c r="X63" s="1204"/>
      <c r="Y63" s="1204"/>
      <c r="Z63" s="1204"/>
      <c r="AA63" s="1204"/>
      <c r="AB63" s="128"/>
      <c r="AC63" s="128"/>
      <c r="AD63" s="128"/>
      <c r="AE63" s="128"/>
      <c r="AF63" s="128"/>
      <c r="AG63" s="128"/>
      <c r="AH63" s="128"/>
    </row>
    <row r="64" spans="1:34" ht="12" hidden="1" customHeight="1" x14ac:dyDescent="0.2">
      <c r="A64" s="129" t="s">
        <v>3</v>
      </c>
      <c r="B64" s="846"/>
      <c r="C64" s="131" t="s">
        <v>757</v>
      </c>
      <c r="D64" s="1170">
        <v>1</v>
      </c>
      <c r="E64" s="1171"/>
      <c r="F64" s="1172"/>
      <c r="G64" s="1170">
        <v>2</v>
      </c>
      <c r="H64" s="1171"/>
      <c r="I64" s="1172"/>
      <c r="J64" s="1170">
        <v>3</v>
      </c>
      <c r="K64" s="1171"/>
      <c r="L64" s="1172"/>
      <c r="M64" s="1170">
        <v>4</v>
      </c>
      <c r="N64" s="1171"/>
      <c r="O64" s="1172"/>
      <c r="P64" s="1170">
        <v>5</v>
      </c>
      <c r="Q64" s="1171"/>
      <c r="R64" s="1172"/>
      <c r="S64" s="1170">
        <v>6</v>
      </c>
      <c r="T64" s="1171"/>
      <c r="U64" s="1172"/>
      <c r="V64" s="1170">
        <v>7</v>
      </c>
      <c r="W64" s="1171"/>
      <c r="X64" s="1172"/>
      <c r="Y64" s="1170">
        <v>8</v>
      </c>
      <c r="Z64" s="1171"/>
      <c r="AA64" s="1172"/>
      <c r="AB64" s="1170">
        <v>9</v>
      </c>
      <c r="AC64" s="1171"/>
      <c r="AD64" s="1172"/>
      <c r="AE64" s="1173" t="s">
        <v>758</v>
      </c>
      <c r="AF64" s="1174"/>
      <c r="AG64" s="847" t="s">
        <v>759</v>
      </c>
      <c r="AH64" s="440" t="s">
        <v>100</v>
      </c>
    </row>
    <row r="65" spans="1:34" ht="12" hidden="1" customHeight="1" x14ac:dyDescent="0.2">
      <c r="A65" s="1175">
        <v>1</v>
      </c>
      <c r="B65" s="1177"/>
      <c r="C65" s="441" t="str">
        <f>IF(B65="","",VLOOKUP(B65,'Списки участников'!A:H,3,FALSE))</f>
        <v/>
      </c>
      <c r="D65" s="1179"/>
      <c r="E65" s="1179"/>
      <c r="F65" s="1180"/>
      <c r="G65" s="1183"/>
      <c r="H65" s="1184"/>
      <c r="I65" s="1185"/>
      <c r="J65" s="1183"/>
      <c r="K65" s="1184"/>
      <c r="L65" s="1185"/>
      <c r="M65" s="1183"/>
      <c r="N65" s="1184"/>
      <c r="O65" s="1185"/>
      <c r="P65" s="1183"/>
      <c r="Q65" s="1184"/>
      <c r="R65" s="1185"/>
      <c r="S65" s="1183"/>
      <c r="T65" s="1184"/>
      <c r="U65" s="1185"/>
      <c r="V65" s="1183"/>
      <c r="W65" s="1184"/>
      <c r="X65" s="1185"/>
      <c r="Y65" s="1183"/>
      <c r="Z65" s="1184"/>
      <c r="AA65" s="1185"/>
      <c r="AB65" s="1183"/>
      <c r="AC65" s="1184"/>
      <c r="AD65" s="1185"/>
      <c r="AE65" s="1196" t="str">
        <f>IF(B65="","",SUM(G65,J65,M65,P65,S65,V65,Y65,AB65,))</f>
        <v/>
      </c>
      <c r="AF65" s="1197"/>
      <c r="AG65" s="1187"/>
      <c r="AH65" s="1186" t="str">
        <f>IF(B65="","",RANK(AE65,ГР16О))</f>
        <v/>
      </c>
    </row>
    <row r="66" spans="1:34" ht="12" hidden="1" customHeight="1" x14ac:dyDescent="0.2">
      <c r="A66" s="1176"/>
      <c r="B66" s="1178"/>
      <c r="C66" s="442" t="str">
        <f>IF(B65="","",VLOOKUP(B65,'Списки участников'!A:H,6,FALSE))</f>
        <v/>
      </c>
      <c r="D66" s="1181"/>
      <c r="E66" s="1181"/>
      <c r="F66" s="1182"/>
      <c r="G66" s="443"/>
      <c r="H66" s="444" t="str">
        <f>IF(G65="","",":")</f>
        <v/>
      </c>
      <c r="I66" s="445"/>
      <c r="J66" s="443"/>
      <c r="K66" s="444" t="str">
        <f>IF(J65="","",":")</f>
        <v/>
      </c>
      <c r="L66" s="445"/>
      <c r="M66" s="443"/>
      <c r="N66" s="444" t="str">
        <f>IF(M66="","",":")</f>
        <v/>
      </c>
      <c r="O66" s="445"/>
      <c r="P66" s="443"/>
      <c r="Q66" s="444" t="str">
        <f>IF(P66="","",":")</f>
        <v/>
      </c>
      <c r="R66" s="445"/>
      <c r="S66" s="443"/>
      <c r="T66" s="444" t="str">
        <f>IF(S66="","",":")</f>
        <v/>
      </c>
      <c r="U66" s="445"/>
      <c r="V66" s="443"/>
      <c r="W66" s="444" t="str">
        <f>IF(V66="","",":")</f>
        <v/>
      </c>
      <c r="X66" s="445"/>
      <c r="Y66" s="443"/>
      <c r="Z66" s="444" t="str">
        <f>IF(Y66="","",":")</f>
        <v/>
      </c>
      <c r="AA66" s="445"/>
      <c r="AB66" s="443"/>
      <c r="AC66" s="444" t="str">
        <f>IF(AB66="","",":")</f>
        <v/>
      </c>
      <c r="AD66" s="445"/>
      <c r="AE66" s="1198"/>
      <c r="AF66" s="1199"/>
      <c r="AG66" s="1188"/>
      <c r="AH66" s="1186"/>
    </row>
    <row r="67" spans="1:34" ht="12" hidden="1" customHeight="1" x14ac:dyDescent="0.2">
      <c r="A67" s="1175">
        <v>2</v>
      </c>
      <c r="B67" s="1177"/>
      <c r="C67" s="441" t="str">
        <f>IF(B67="","",VLOOKUP(B67,'Списки участников'!A:H,3,FALSE))</f>
        <v/>
      </c>
      <c r="D67" s="1189" t="str">
        <f>IF(G65="","",IF(G66="W",0,IF(G65=2,1,IF(G65=1,2,IF(G65=0,2)))))</f>
        <v/>
      </c>
      <c r="E67" s="1190"/>
      <c r="F67" s="1191"/>
      <c r="G67" s="1192"/>
      <c r="H67" s="1193"/>
      <c r="I67" s="1194"/>
      <c r="J67" s="1183"/>
      <c r="K67" s="1184"/>
      <c r="L67" s="1185"/>
      <c r="M67" s="1183"/>
      <c r="N67" s="1184"/>
      <c r="O67" s="1185"/>
      <c r="P67" s="1183"/>
      <c r="Q67" s="1184"/>
      <c r="R67" s="1185"/>
      <c r="S67" s="1183"/>
      <c r="T67" s="1184"/>
      <c r="U67" s="1185"/>
      <c r="V67" s="1183"/>
      <c r="W67" s="1184"/>
      <c r="X67" s="1185"/>
      <c r="Y67" s="1183"/>
      <c r="Z67" s="1184"/>
      <c r="AA67" s="1185"/>
      <c r="AB67" s="1183"/>
      <c r="AC67" s="1184"/>
      <c r="AD67" s="1185"/>
      <c r="AE67" s="1196" t="str">
        <f>IF(B67="","",SUM(D67,J67,M67,P67,S67,V67,Y67,AB67,))</f>
        <v/>
      </c>
      <c r="AF67" s="1197"/>
      <c r="AG67" s="1187"/>
      <c r="AH67" s="1186" t="str">
        <f>IF(B67="","",RANK(AE67,ГР16О))</f>
        <v/>
      </c>
    </row>
    <row r="68" spans="1:34" ht="12" hidden="1" customHeight="1" x14ac:dyDescent="0.2">
      <c r="A68" s="1176"/>
      <c r="B68" s="1178"/>
      <c r="C68" s="442" t="str">
        <f>IF(B67="","",VLOOKUP(B67,'Списки участников'!A:H,6,FALSE))</f>
        <v/>
      </c>
      <c r="D68" s="446" t="str">
        <f>IF(G66="","",IF(I66="l","W",I66))</f>
        <v/>
      </c>
      <c r="E68" s="447" t="str">
        <f>IF(G65="","",":")</f>
        <v/>
      </c>
      <c r="F68" s="448" t="str">
        <f>IF(I66="","",IF(G66="W","L",G66))</f>
        <v/>
      </c>
      <c r="G68" s="1195"/>
      <c r="H68" s="1181"/>
      <c r="I68" s="1182"/>
      <c r="J68" s="443"/>
      <c r="K68" s="444" t="str">
        <f>IF(J67="","",":")</f>
        <v/>
      </c>
      <c r="L68" s="445"/>
      <c r="M68" s="443"/>
      <c r="N68" s="444" t="str">
        <f>IF(M67="","",":")</f>
        <v/>
      </c>
      <c r="O68" s="445"/>
      <c r="P68" s="443"/>
      <c r="Q68" s="444" t="str">
        <f>IF(P67="","",":")</f>
        <v/>
      </c>
      <c r="R68" s="445"/>
      <c r="S68" s="443"/>
      <c r="T68" s="444" t="str">
        <f>IF(S68="","",":")</f>
        <v/>
      </c>
      <c r="U68" s="445"/>
      <c r="V68" s="443"/>
      <c r="W68" s="444" t="str">
        <f>IF(V68="","",":")</f>
        <v/>
      </c>
      <c r="X68" s="445"/>
      <c r="Y68" s="443"/>
      <c r="Z68" s="444" t="str">
        <f>IF(Y68="","",":")</f>
        <v/>
      </c>
      <c r="AA68" s="445"/>
      <c r="AB68" s="443"/>
      <c r="AC68" s="444" t="str">
        <f>IF(AB68="","",":")</f>
        <v/>
      </c>
      <c r="AD68" s="445"/>
      <c r="AE68" s="1198"/>
      <c r="AF68" s="1199"/>
      <c r="AG68" s="1188"/>
      <c r="AH68" s="1186"/>
    </row>
    <row r="69" spans="1:34" ht="12" hidden="1" customHeight="1" x14ac:dyDescent="0.2">
      <c r="A69" s="1175">
        <v>3</v>
      </c>
      <c r="B69" s="1177"/>
      <c r="C69" s="441" t="str">
        <f>IF(B69="","",VLOOKUP(B69,'Списки участников'!A:H,3,FALSE))</f>
        <v/>
      </c>
      <c r="D69" s="1189" t="str">
        <f>IF(J65="","",IF(J66="W",0,IF(J65=2,1,IF(J65=1,2,IF(J65=0,2)))))</f>
        <v/>
      </c>
      <c r="E69" s="1190"/>
      <c r="F69" s="1191"/>
      <c r="G69" s="1183" t="str">
        <f>IF(J67="","",IF(J68="W",0,IF(J67=2,1,IF(J67=1,2,IF(J67=0,2)))))</f>
        <v/>
      </c>
      <c r="H69" s="1184"/>
      <c r="I69" s="1185"/>
      <c r="J69" s="1192"/>
      <c r="K69" s="1193"/>
      <c r="L69" s="1194"/>
      <c r="M69" s="1183"/>
      <c r="N69" s="1184"/>
      <c r="O69" s="1185"/>
      <c r="P69" s="1183"/>
      <c r="Q69" s="1184"/>
      <c r="R69" s="1185"/>
      <c r="S69" s="1183"/>
      <c r="T69" s="1184"/>
      <c r="U69" s="1185"/>
      <c r="V69" s="1183"/>
      <c r="W69" s="1184"/>
      <c r="X69" s="1185"/>
      <c r="Y69" s="1183"/>
      <c r="Z69" s="1184"/>
      <c r="AA69" s="1185"/>
      <c r="AB69" s="1183"/>
      <c r="AC69" s="1184"/>
      <c r="AD69" s="1185"/>
      <c r="AE69" s="1196" t="str">
        <f>IF(B69="","",SUM(G69,D69,M69,P69,S69,V69,Y69,AB69,))</f>
        <v/>
      </c>
      <c r="AF69" s="1197"/>
      <c r="AG69" s="1200"/>
      <c r="AH69" s="1186" t="str">
        <f>IF(B69="","",RANK(AE69,ГР16О))</f>
        <v/>
      </c>
    </row>
    <row r="70" spans="1:34" ht="12" hidden="1" customHeight="1" x14ac:dyDescent="0.2">
      <c r="A70" s="1176"/>
      <c r="B70" s="1178"/>
      <c r="C70" s="442" t="str">
        <f>IF(B69="","",VLOOKUP(B69,'Списки участников'!A:H,6,FALSE))</f>
        <v/>
      </c>
      <c r="D70" s="449" t="str">
        <f>IF(J66="","",IF(L66="l","W",L66))</f>
        <v/>
      </c>
      <c r="E70" s="444" t="str">
        <f>IF(K66="","",":")</f>
        <v/>
      </c>
      <c r="F70" s="450" t="str">
        <f>IF(L66="","",IF(J66="W","L",J66))</f>
        <v/>
      </c>
      <c r="G70" s="449" t="str">
        <f>IF(J68="","",IF(L68="l","W",L68))</f>
        <v/>
      </c>
      <c r="H70" s="444" t="str">
        <f>IF(K68="","",":")</f>
        <v/>
      </c>
      <c r="I70" s="450" t="str">
        <f>IF(L68="","",IF(J68="W","L",J68))</f>
        <v/>
      </c>
      <c r="J70" s="1195"/>
      <c r="K70" s="1181"/>
      <c r="L70" s="1182"/>
      <c r="M70" s="443"/>
      <c r="N70" s="444" t="str">
        <f>IF(M69="","",":")</f>
        <v/>
      </c>
      <c r="O70" s="445"/>
      <c r="P70" s="443"/>
      <c r="Q70" s="444" t="str">
        <f>IF(P69="","",":")</f>
        <v/>
      </c>
      <c r="R70" s="445"/>
      <c r="S70" s="443"/>
      <c r="T70" s="444" t="str">
        <f>IF(S69="","",":")</f>
        <v/>
      </c>
      <c r="U70" s="445"/>
      <c r="V70" s="443"/>
      <c r="W70" s="444" t="str">
        <f>IF(V70="","",":")</f>
        <v/>
      </c>
      <c r="X70" s="445"/>
      <c r="Y70" s="443"/>
      <c r="Z70" s="444" t="str">
        <f>IF(Y70="","",":")</f>
        <v/>
      </c>
      <c r="AA70" s="445"/>
      <c r="AB70" s="443"/>
      <c r="AC70" s="444" t="str">
        <f>IF(AB70="","",":")</f>
        <v/>
      </c>
      <c r="AD70" s="445"/>
      <c r="AE70" s="1198"/>
      <c r="AF70" s="1199"/>
      <c r="AG70" s="1201"/>
      <c r="AH70" s="1186"/>
    </row>
    <row r="71" spans="1:34" ht="12" hidden="1" customHeight="1" x14ac:dyDescent="0.2">
      <c r="A71" s="1175">
        <v>4</v>
      </c>
      <c r="B71" s="1177"/>
      <c r="C71" s="441" t="str">
        <f>IF(B71="","",VLOOKUP(B71,'Списки участников'!A:H,3,FALSE))</f>
        <v/>
      </c>
      <c r="D71" s="1183" t="str">
        <f>IF(M65="","",IF(M66="W",0,IF(M65=2,1,IF(M65=1,2,IF(M65=0,2)))))</f>
        <v/>
      </c>
      <c r="E71" s="1184"/>
      <c r="F71" s="1185"/>
      <c r="G71" s="1183" t="str">
        <f>IF(M67="","",IF(M68="W",0,IF(M67=2,1,IF(M67=1,2,IF(M67=0,2)))))</f>
        <v/>
      </c>
      <c r="H71" s="1184"/>
      <c r="I71" s="1185"/>
      <c r="J71" s="1183" t="str">
        <f>IF(M69="","",IF(M70="W",0,IF(M69=2,1,IF(M69=1,2,IF(M69=0,2)))))</f>
        <v/>
      </c>
      <c r="K71" s="1184"/>
      <c r="L71" s="1185"/>
      <c r="M71" s="1193"/>
      <c r="N71" s="1193"/>
      <c r="O71" s="1193"/>
      <c r="P71" s="1183"/>
      <c r="Q71" s="1184"/>
      <c r="R71" s="1185"/>
      <c r="S71" s="1183"/>
      <c r="T71" s="1184"/>
      <c r="U71" s="1185"/>
      <c r="V71" s="1183"/>
      <c r="W71" s="1184"/>
      <c r="X71" s="1185"/>
      <c r="Y71" s="1183"/>
      <c r="Z71" s="1184"/>
      <c r="AA71" s="1185"/>
      <c r="AB71" s="1183"/>
      <c r="AC71" s="1184"/>
      <c r="AD71" s="1185"/>
      <c r="AE71" s="1196" t="str">
        <f>IF(B71="","",SUM(G71,J71,D71,P71,S71,V71,Y71,AB71,))</f>
        <v/>
      </c>
      <c r="AF71" s="1197"/>
      <c r="AG71" s="1200"/>
      <c r="AH71" s="1186" t="str">
        <f>IF(B71="","",RANK(AE71,ГР16О))</f>
        <v/>
      </c>
    </row>
    <row r="72" spans="1:34" ht="12" hidden="1" customHeight="1" x14ac:dyDescent="0.2">
      <c r="A72" s="1176"/>
      <c r="B72" s="1178"/>
      <c r="C72" s="442" t="str">
        <f>IF(B71="","",VLOOKUP(B71,'Списки участников'!A:H,6,FALSE))</f>
        <v/>
      </c>
      <c r="D72" s="449" t="str">
        <f>IF(M66="","",IF(O66="l","W",O66))</f>
        <v/>
      </c>
      <c r="E72" s="444" t="str">
        <f>IF(N66="","",":")</f>
        <v/>
      </c>
      <c r="F72" s="450" t="str">
        <f>IF(O66="","",IF(M66="W","L",M66))</f>
        <v/>
      </c>
      <c r="G72" s="449" t="str">
        <f>IF(M68="","",IF(O68="l","W",O68))</f>
        <v/>
      </c>
      <c r="H72" s="444" t="str">
        <f>IF(N68="","",":")</f>
        <v/>
      </c>
      <c r="I72" s="450" t="str">
        <f>IF(O68="","",IF(M68="W","L",M68))</f>
        <v/>
      </c>
      <c r="J72" s="449" t="str">
        <f>IF(M70="","",IF(O70="l","W",O70))</f>
        <v/>
      </c>
      <c r="K72" s="444" t="str">
        <f>IF(N70="","",":")</f>
        <v/>
      </c>
      <c r="L72" s="450" t="str">
        <f>IF(O70="","",IF(M70="W","L",M70))</f>
        <v/>
      </c>
      <c r="M72" s="1202"/>
      <c r="N72" s="1202"/>
      <c r="O72" s="1202"/>
      <c r="P72" s="443"/>
      <c r="Q72" s="444" t="str">
        <f>IF(P71="","",":")</f>
        <v/>
      </c>
      <c r="R72" s="445"/>
      <c r="S72" s="443"/>
      <c r="T72" s="444" t="str">
        <f>IF(S71="","",":")</f>
        <v/>
      </c>
      <c r="U72" s="445"/>
      <c r="V72" s="443"/>
      <c r="W72" s="444" t="str">
        <f>IF(V71="","",":")</f>
        <v/>
      </c>
      <c r="X72" s="445"/>
      <c r="Y72" s="443"/>
      <c r="Z72" s="444" t="str">
        <f>IF(Y72="","",":")</f>
        <v/>
      </c>
      <c r="AA72" s="445"/>
      <c r="AB72" s="443"/>
      <c r="AC72" s="444" t="str">
        <f>IF(AB72="","",":")</f>
        <v/>
      </c>
      <c r="AD72" s="445"/>
      <c r="AE72" s="1198"/>
      <c r="AF72" s="1199"/>
      <c r="AG72" s="1201"/>
      <c r="AH72" s="1186"/>
    </row>
    <row r="73" spans="1:34" ht="12" hidden="1" customHeight="1" x14ac:dyDescent="0.2">
      <c r="A73" s="1175">
        <v>5</v>
      </c>
      <c r="B73" s="1177"/>
      <c r="C73" s="441" t="str">
        <f>IF(B73="","",VLOOKUP(B73,'Списки участников'!A:H,3,FALSE))</f>
        <v/>
      </c>
      <c r="D73" s="1183" t="str">
        <f>IF(P65="","",IF(P66="W",0,IF(P65=2,1,IF(P65=1,2,IF(P65=0,2)))))</f>
        <v/>
      </c>
      <c r="E73" s="1184"/>
      <c r="F73" s="1185"/>
      <c r="G73" s="1183" t="str">
        <f>IF(P67="","",IF(P68="W",0,IF(P67=2,1,IF(P67=1,2,IF(P67=0,2)))))</f>
        <v/>
      </c>
      <c r="H73" s="1184"/>
      <c r="I73" s="1185"/>
      <c r="J73" s="1183" t="str">
        <f>IF(P69="","",IF(P70="W",0,IF(P69=2,1,IF(P69=1,2,IF(P69=0,2)))))</f>
        <v/>
      </c>
      <c r="K73" s="1184"/>
      <c r="L73" s="1185"/>
      <c r="M73" s="1183" t="str">
        <f>IF(P71="","",IF(P72="W",0,IF(P71=2,1,IF(P71=1,2,IF(P71=0,2)))))</f>
        <v/>
      </c>
      <c r="N73" s="1184"/>
      <c r="O73" s="1185"/>
      <c r="P73" s="1192"/>
      <c r="Q73" s="1193"/>
      <c r="R73" s="1194"/>
      <c r="S73" s="1183"/>
      <c r="T73" s="1184"/>
      <c r="U73" s="1185"/>
      <c r="V73" s="1183"/>
      <c r="W73" s="1184"/>
      <c r="X73" s="1185"/>
      <c r="Y73" s="1183"/>
      <c r="Z73" s="1184"/>
      <c r="AA73" s="1185"/>
      <c r="AB73" s="1183"/>
      <c r="AC73" s="1184"/>
      <c r="AD73" s="1185"/>
      <c r="AE73" s="1196" t="str">
        <f>IF(B73="","",SUM(G73,J73,M73,D73,S73,V73,Y73,AB73,))</f>
        <v/>
      </c>
      <c r="AF73" s="1197"/>
      <c r="AG73" s="1200"/>
      <c r="AH73" s="1186" t="str">
        <f>IF(B73="","",RANK(AE73,ГР16О))</f>
        <v/>
      </c>
    </row>
    <row r="74" spans="1:34" ht="12" hidden="1" customHeight="1" x14ac:dyDescent="0.2">
      <c r="A74" s="1176"/>
      <c r="B74" s="1178"/>
      <c r="C74" s="442" t="str">
        <f>IF(B73="","",VLOOKUP(B73,'Списки участников'!A:H,6,FALSE))</f>
        <v/>
      </c>
      <c r="D74" s="449" t="str">
        <f>IF(P66="","",IF(R66="l","W",R66))</f>
        <v/>
      </c>
      <c r="E74" s="444" t="str">
        <f>IF(Q66="","",":")</f>
        <v/>
      </c>
      <c r="F74" s="450" t="str">
        <f>IF(R66="","",IF(P66="W","L",P66))</f>
        <v/>
      </c>
      <c r="G74" s="449" t="str">
        <f>IF(P68="","",IF(R68="l","W",R68))</f>
        <v/>
      </c>
      <c r="H74" s="444" t="str">
        <f>IF(Q68="","",":")</f>
        <v/>
      </c>
      <c r="I74" s="450" t="str">
        <f>IF(R68="","",IF(P68="W","L",P68))</f>
        <v/>
      </c>
      <c r="J74" s="449" t="str">
        <f>IF(P70="","",IF(R70="l","W",R70))</f>
        <v/>
      </c>
      <c r="K74" s="444" t="str">
        <f>IF(Q70="","",":")</f>
        <v/>
      </c>
      <c r="L74" s="450" t="str">
        <f>IF(R70="","",IF(P70="W","L",P70))</f>
        <v/>
      </c>
      <c r="M74" s="449" t="str">
        <f>IF(P72="","",IF(R72="l","W",R72))</f>
        <v/>
      </c>
      <c r="N74" s="444" t="str">
        <f>IF(Q72="","",":")</f>
        <v/>
      </c>
      <c r="O74" s="450" t="str">
        <f>IF(R72="","",IF(P72="W","L",P72))</f>
        <v/>
      </c>
      <c r="P74" s="1195"/>
      <c r="Q74" s="1181"/>
      <c r="R74" s="1182"/>
      <c r="S74" s="443"/>
      <c r="T74" s="444" t="str">
        <f>IF(S73="","",":")</f>
        <v/>
      </c>
      <c r="U74" s="445"/>
      <c r="V74" s="443"/>
      <c r="W74" s="444" t="str">
        <f>IF(V73="","",":")</f>
        <v/>
      </c>
      <c r="X74" s="445"/>
      <c r="Y74" s="443"/>
      <c r="Z74" s="444" t="str">
        <f>IF(Y73="","",":")</f>
        <v/>
      </c>
      <c r="AA74" s="445"/>
      <c r="AB74" s="443"/>
      <c r="AC74" s="444" t="str">
        <f>IF(AB74="","",":")</f>
        <v/>
      </c>
      <c r="AD74" s="445"/>
      <c r="AE74" s="1198"/>
      <c r="AF74" s="1199"/>
      <c r="AG74" s="1201"/>
      <c r="AH74" s="1186"/>
    </row>
    <row r="75" spans="1:34" ht="12" hidden="1" customHeight="1" x14ac:dyDescent="0.2">
      <c r="A75" s="1175">
        <v>6</v>
      </c>
      <c r="B75" s="1177"/>
      <c r="C75" s="441" t="str">
        <f>IF(B75="","",VLOOKUP(B75,'Списки участников'!A:H,3,FALSE))</f>
        <v/>
      </c>
      <c r="D75" s="1183" t="str">
        <f>IF(S65="","",IF(S66="W",0,IF(S65=2,1,IF(S65=1,2,IF(S65=0,2)))))</f>
        <v/>
      </c>
      <c r="E75" s="1184"/>
      <c r="F75" s="1185"/>
      <c r="G75" s="1183" t="str">
        <f>IF(S67="","",IF(S68="W",0,IF(S67=2,1,IF(S67=1,2,IF(S67=0,2)))))</f>
        <v/>
      </c>
      <c r="H75" s="1184"/>
      <c r="I75" s="1185"/>
      <c r="J75" s="1183" t="str">
        <f>IF(S69="","",IF(S70="W",0,IF(S69=2,1,IF(S69=1,2,IF(S69=0,2)))))</f>
        <v/>
      </c>
      <c r="K75" s="1184"/>
      <c r="L75" s="1185"/>
      <c r="M75" s="1183" t="str">
        <f>IF(S71="","",IF(S72="W",0,IF(S71=2,1,IF(S71=1,2,IF(S71=0,2)))))</f>
        <v/>
      </c>
      <c r="N75" s="1184"/>
      <c r="O75" s="1185"/>
      <c r="P75" s="1183" t="str">
        <f>IF(S73="","",IF(S74="W",0,IF(S73=2,1,IF(S73=1,2,IF(S73=0,2)))))</f>
        <v/>
      </c>
      <c r="Q75" s="1184"/>
      <c r="R75" s="1185"/>
      <c r="S75" s="1192"/>
      <c r="T75" s="1193"/>
      <c r="U75" s="1194"/>
      <c r="V75" s="1183"/>
      <c r="W75" s="1184"/>
      <c r="X75" s="1185"/>
      <c r="Y75" s="1183"/>
      <c r="Z75" s="1184"/>
      <c r="AA75" s="1185"/>
      <c r="AB75" s="1183"/>
      <c r="AC75" s="1184"/>
      <c r="AD75" s="1185"/>
      <c r="AE75" s="1196" t="str">
        <f>IF(B75="","",SUM(G75,J75,M75,P75,D75,V75,Y75,AB75,))</f>
        <v/>
      </c>
      <c r="AF75" s="1197"/>
      <c r="AG75" s="1200"/>
      <c r="AH75" s="1186" t="str">
        <f>IF(B75="","",RANK(AE75,ГР16О))</f>
        <v/>
      </c>
    </row>
    <row r="76" spans="1:34" ht="12" hidden="1" customHeight="1" x14ac:dyDescent="0.2">
      <c r="A76" s="1176"/>
      <c r="B76" s="1178"/>
      <c r="C76" s="442" t="str">
        <f>IF(B75="","",VLOOKUP(B75,'Списки участников'!A:H,6,FALSE))</f>
        <v/>
      </c>
      <c r="D76" s="449" t="str">
        <f>IF(S66="","",IF(U66="l","W",U66))</f>
        <v/>
      </c>
      <c r="E76" s="444" t="str">
        <f>IF(T66="","",":")</f>
        <v/>
      </c>
      <c r="F76" s="450" t="str">
        <f>IF(U66="","",IF(S66="W","L",S66))</f>
        <v/>
      </c>
      <c r="G76" s="449" t="str">
        <f>IF(S68="","",IF(U68="l","W",U68))</f>
        <v/>
      </c>
      <c r="H76" s="444" t="str">
        <f>IF(Q68="","",":")</f>
        <v/>
      </c>
      <c r="I76" s="450" t="str">
        <f>IF(U68="","",IF(S68="W","L",S68))</f>
        <v/>
      </c>
      <c r="J76" s="449" t="str">
        <f>IF(S70="","",IF(U70="l","W",U70))</f>
        <v/>
      </c>
      <c r="K76" s="444" t="str">
        <f>IF(T70="","",":")</f>
        <v/>
      </c>
      <c r="L76" s="450" t="str">
        <f>IF(U70="","",IF(S70="W","L",S70))</f>
        <v/>
      </c>
      <c r="M76" s="449" t="str">
        <f>IF(S72="","",IF(U72="l","W",U72))</f>
        <v/>
      </c>
      <c r="N76" s="444" t="str">
        <f>IF(T72="","",":")</f>
        <v/>
      </c>
      <c r="O76" s="450" t="str">
        <f>IF(U72="","",IF(S72="W","L",S72))</f>
        <v/>
      </c>
      <c r="P76" s="449" t="str">
        <f>IF(S74="","",IF(U74="l","W",U74))</f>
        <v/>
      </c>
      <c r="Q76" s="444" t="str">
        <f>IF(T74="","",":")</f>
        <v/>
      </c>
      <c r="R76" s="450" t="str">
        <f>IF(U74="","",IF(S74="W","L",S74))</f>
        <v/>
      </c>
      <c r="S76" s="1195"/>
      <c r="T76" s="1181"/>
      <c r="U76" s="1182"/>
      <c r="V76" s="443"/>
      <c r="W76" s="444" t="str">
        <f>IF(V75="","",":")</f>
        <v/>
      </c>
      <c r="X76" s="445"/>
      <c r="Y76" s="443"/>
      <c r="Z76" s="444" t="str">
        <f>IF(Y75="","",":")</f>
        <v/>
      </c>
      <c r="AA76" s="445"/>
      <c r="AB76" s="443"/>
      <c r="AC76" s="444" t="str">
        <f>IF(AB75="","",":")</f>
        <v/>
      </c>
      <c r="AD76" s="445"/>
      <c r="AE76" s="1198"/>
      <c r="AF76" s="1199"/>
      <c r="AG76" s="1201"/>
      <c r="AH76" s="1186"/>
    </row>
    <row r="77" spans="1:34" ht="12" hidden="1" customHeight="1" x14ac:dyDescent="0.2">
      <c r="A77" s="1175">
        <v>7</v>
      </c>
      <c r="B77" s="1177"/>
      <c r="C77" s="441" t="str">
        <f>IF(B77="","",VLOOKUP(B77,'Списки участников'!A:H,3,FALSE))</f>
        <v/>
      </c>
      <c r="D77" s="1183" t="str">
        <f>IF(V65="","",IF(V66="W",0,IF(V65=2,1,IF(V65=1,2,IF(V65=0,2)))))</f>
        <v/>
      </c>
      <c r="E77" s="1184"/>
      <c r="F77" s="1185"/>
      <c r="G77" s="1183" t="str">
        <f>IF(V67="","",IF(V68="W",0,IF(V67=2,1,IF(V67=1,2,IF(V67=0,2)))))</f>
        <v/>
      </c>
      <c r="H77" s="1184"/>
      <c r="I77" s="1185"/>
      <c r="J77" s="1183" t="str">
        <f>IF(V69="","",IF(V70="W",0,IF(V69=2,1,IF(V69=1,2,IF(V69=0,2)))))</f>
        <v/>
      </c>
      <c r="K77" s="1184"/>
      <c r="L77" s="1185"/>
      <c r="M77" s="1183" t="str">
        <f>IF(V71="","",IF(V72="W",0,IF(V71=2,1,IF(V71=1,2,IF(V71=0,2)))))</f>
        <v/>
      </c>
      <c r="N77" s="1184"/>
      <c r="O77" s="1185"/>
      <c r="P77" s="1183" t="str">
        <f>IF(V73="","",IF(V74="W",0,IF(V73=2,1,IF(V73=1,2,IF(V73=0,2)))))</f>
        <v/>
      </c>
      <c r="Q77" s="1184"/>
      <c r="R77" s="1185"/>
      <c r="S77" s="1183" t="str">
        <f>IF(V75="","",IF(V76="W",0,IF(V75=2,1,IF(V75=1,2,IF(V75=0,2)))))</f>
        <v/>
      </c>
      <c r="T77" s="1184"/>
      <c r="U77" s="1185"/>
      <c r="V77" s="1203"/>
      <c r="W77" s="1179"/>
      <c r="X77" s="1180"/>
      <c r="Y77" s="1183"/>
      <c r="Z77" s="1184"/>
      <c r="AA77" s="1185"/>
      <c r="AB77" s="1183"/>
      <c r="AC77" s="1184"/>
      <c r="AD77" s="1185"/>
      <c r="AE77" s="1196" t="str">
        <f>IF(B77="","",SUM(G77,J77,M77,P77,S77,D77,Y77,AB77,))</f>
        <v/>
      </c>
      <c r="AF77" s="1197"/>
      <c r="AG77" s="1200"/>
      <c r="AH77" s="1186" t="str">
        <f>IF(B77="","",RANK(AE77,ГР16О))</f>
        <v/>
      </c>
    </row>
    <row r="78" spans="1:34" ht="12" hidden="1" customHeight="1" x14ac:dyDescent="0.2">
      <c r="A78" s="1176"/>
      <c r="B78" s="1178"/>
      <c r="C78" s="442" t="str">
        <f>IF(B77="","",VLOOKUP(B77,'Списки участников'!A:H,6,FALSE))</f>
        <v/>
      </c>
      <c r="D78" s="449" t="str">
        <f>IF(V66="","",IF(X66="l","W",X66))</f>
        <v/>
      </c>
      <c r="E78" s="444" t="str">
        <f>IF(W66="","",":")</f>
        <v/>
      </c>
      <c r="F78" s="450" t="str">
        <f>IF(X66="","",IF(V66="W","L",V66))</f>
        <v/>
      </c>
      <c r="G78" s="449" t="str">
        <f>IF(V68="","",IF(X68="l","W",X68))</f>
        <v/>
      </c>
      <c r="H78" s="444" t="str">
        <f>IF(W68="","",":")</f>
        <v/>
      </c>
      <c r="I78" s="450" t="str">
        <f>IF(X68="","",IF(V68="W","L",V68))</f>
        <v/>
      </c>
      <c r="J78" s="449" t="str">
        <f>IF(V70="","",IF(X70="l","W",X70))</f>
        <v/>
      </c>
      <c r="K78" s="444" t="str">
        <f>IF(W70="","",":")</f>
        <v/>
      </c>
      <c r="L78" s="450" t="str">
        <f>IF(X70="","",IF(V70="W","L",V70))</f>
        <v/>
      </c>
      <c r="M78" s="449" t="str">
        <f>IF(V72="","",IF(X72="l","W",X72))</f>
        <v/>
      </c>
      <c r="N78" s="444" t="str">
        <f>IF(W72="","",":")</f>
        <v/>
      </c>
      <c r="O78" s="450" t="str">
        <f>IF(X72="","",IF(V72="W","L",V72))</f>
        <v/>
      </c>
      <c r="P78" s="449" t="str">
        <f>IF(V74="","",IF(X74="l","W",X74))</f>
        <v/>
      </c>
      <c r="Q78" s="444" t="str">
        <f>IF(W74="","",":")</f>
        <v/>
      </c>
      <c r="R78" s="450" t="str">
        <f>IF(X74="","",IF(V74="W","L",V74))</f>
        <v/>
      </c>
      <c r="S78" s="449" t="str">
        <f>IF(V76="","",IF(X76="l","W",X76))</f>
        <v/>
      </c>
      <c r="T78" s="444" t="str">
        <f>IF(W76="","",":")</f>
        <v/>
      </c>
      <c r="U78" s="450" t="str">
        <f>IF(X76="","",IF(V76="W","L",V76))</f>
        <v/>
      </c>
      <c r="V78" s="1195"/>
      <c r="W78" s="1181"/>
      <c r="X78" s="1182"/>
      <c r="Y78" s="443"/>
      <c r="Z78" s="444" t="str">
        <f>IF(Y77="","",":")</f>
        <v/>
      </c>
      <c r="AA78" s="445"/>
      <c r="AB78" s="443"/>
      <c r="AC78" s="444" t="str">
        <f>IF(AB77="","",":")</f>
        <v/>
      </c>
      <c r="AD78" s="445"/>
      <c r="AE78" s="1198"/>
      <c r="AF78" s="1199"/>
      <c r="AG78" s="1201"/>
      <c r="AH78" s="1186"/>
    </row>
    <row r="79" spans="1:34" ht="12" hidden="1" customHeight="1" x14ac:dyDescent="0.2">
      <c r="A79" s="1175">
        <v>8</v>
      </c>
      <c r="B79" s="1177"/>
      <c r="C79" s="441" t="str">
        <f>IF(B79="","",VLOOKUP(B79,'Списки участников'!A:H,3,FALSE))</f>
        <v/>
      </c>
      <c r="D79" s="1183" t="str">
        <f>IF(Y65="","",IF(Y66="W",0,IF(Y65=2,1,IF(Y65=1,2,IF(Y65=0,2)))))</f>
        <v/>
      </c>
      <c r="E79" s="1184"/>
      <c r="F79" s="1185"/>
      <c r="G79" s="1183" t="str">
        <f>IF(Y67="","",IF(Y68="W",0,IF(Y67=2,1,IF(Y67=1,2,IF(Y67=0,2)))))</f>
        <v/>
      </c>
      <c r="H79" s="1184"/>
      <c r="I79" s="1185"/>
      <c r="J79" s="1183" t="str">
        <f>IF(Y69="","",IF(Y70="W",0,IF(Y69=2,1,IF(Y69=1,2,IF(Y69=0,2)))))</f>
        <v/>
      </c>
      <c r="K79" s="1184"/>
      <c r="L79" s="1185"/>
      <c r="M79" s="1183" t="str">
        <f>IF(Y71="","",IF(Y72="W",0,IF(Y71=2,1,IF(Y71=1,2,IF(Y71=0,2)))))</f>
        <v/>
      </c>
      <c r="N79" s="1184"/>
      <c r="O79" s="1185"/>
      <c r="P79" s="1183" t="str">
        <f>IF(Y73="","",IF(Y74="W",0,IF(Y73=2,1,IF(Y73=1,2,IF(Y73=0,2)))))</f>
        <v/>
      </c>
      <c r="Q79" s="1184"/>
      <c r="R79" s="1185"/>
      <c r="S79" s="1183" t="str">
        <f>IF(Y75="","",IF(Y76="W",0,IF(Y75=2,1,IF(Y75=1,2,IF(Y75=0,2)))))</f>
        <v/>
      </c>
      <c r="T79" s="1184"/>
      <c r="U79" s="1185"/>
      <c r="V79" s="1183" t="str">
        <f>IF(Y77="","",IF(Y78="W",0,IF(Y77=2,1,IF(Y77=1,2,IF(Y77=0,2)))))</f>
        <v/>
      </c>
      <c r="W79" s="1184"/>
      <c r="X79" s="1185"/>
      <c r="Y79" s="1192"/>
      <c r="Z79" s="1193"/>
      <c r="AA79" s="1194"/>
      <c r="AB79" s="1183"/>
      <c r="AC79" s="1184"/>
      <c r="AD79" s="1185"/>
      <c r="AE79" s="1196" t="str">
        <f>IF(B79="","",SUM(G79,J79,M79,P79,S79,V79,D79,AB79,))</f>
        <v/>
      </c>
      <c r="AF79" s="1197"/>
      <c r="AG79" s="1200"/>
      <c r="AH79" s="1186" t="str">
        <f>IF(B79="","",RANK(AE79,ГР16О))</f>
        <v/>
      </c>
    </row>
    <row r="80" spans="1:34" ht="12" hidden="1" customHeight="1" x14ac:dyDescent="0.2">
      <c r="A80" s="1176"/>
      <c r="B80" s="1178"/>
      <c r="C80" s="442" t="str">
        <f>IF(B79="","",VLOOKUP(B79,'Списки участников'!A:H,6,FALSE))</f>
        <v/>
      </c>
      <c r="D80" s="449" t="str">
        <f>IF(Y66="","",IF(AA66="l","W",AA66))</f>
        <v/>
      </c>
      <c r="E80" s="444" t="str">
        <f>IF(Z66="","",":")</f>
        <v/>
      </c>
      <c r="F80" s="450" t="str">
        <f>IF(AA66="","",IF(Y66="W","L",Y66))</f>
        <v/>
      </c>
      <c r="G80" s="449" t="str">
        <f>IF(Y68="","",IF(AA68="l","W",AA68))</f>
        <v/>
      </c>
      <c r="H80" s="444" t="str">
        <f>IF(Z68="","",":")</f>
        <v/>
      </c>
      <c r="I80" s="450" t="str">
        <f>IF(AA68="","",IF(Y68="W","L",Y68))</f>
        <v/>
      </c>
      <c r="J80" s="449" t="str">
        <f>IF(Y70="","",IF(AA70="l","W",AA70))</f>
        <v/>
      </c>
      <c r="K80" s="444" t="str">
        <f>IF(Z70="","",":")</f>
        <v/>
      </c>
      <c r="L80" s="450" t="str">
        <f>IF(AA70="","",IF(Y70="W","L",Y70))</f>
        <v/>
      </c>
      <c r="M80" s="449" t="str">
        <f>IF(Y72="","",IF(AA72="l","W",AA72))</f>
        <v/>
      </c>
      <c r="N80" s="444" t="str">
        <f>IF(Z72="","",":")</f>
        <v/>
      </c>
      <c r="O80" s="450" t="str">
        <f>IF(AA72="","",IF(Y72="W","L",Y72))</f>
        <v/>
      </c>
      <c r="P80" s="449" t="str">
        <f>IF(Y74="","",IF(AA74="l","W",AA74))</f>
        <v/>
      </c>
      <c r="Q80" s="444" t="str">
        <f>IF(Z74="","",":")</f>
        <v/>
      </c>
      <c r="R80" s="450" t="str">
        <f>IF(AA74="","",IF(Y74="W","L",Y74))</f>
        <v/>
      </c>
      <c r="S80" s="449" t="str">
        <f>IF(Y76="","",IF(AA76="l","W",AA76))</f>
        <v/>
      </c>
      <c r="T80" s="444" t="str">
        <f>IF(Z76="","",":")</f>
        <v/>
      </c>
      <c r="U80" s="450" t="str">
        <f>IF(AA76="","",IF(Y76="W","L",Y76))</f>
        <v/>
      </c>
      <c r="V80" s="449" t="str">
        <f>IF(Y78="","",IF(AA78="l","W",AA78))</f>
        <v/>
      </c>
      <c r="W80" s="444" t="str">
        <f>IF(Z78="","",":")</f>
        <v/>
      </c>
      <c r="X80" s="450" t="str">
        <f>IF(AA78="","",IF(Y78="W","L",Y78))</f>
        <v/>
      </c>
      <c r="Y80" s="1195"/>
      <c r="Z80" s="1181"/>
      <c r="AA80" s="1182"/>
      <c r="AB80" s="443"/>
      <c r="AC80" s="444" t="str">
        <f>IF(AB79="","",":")</f>
        <v/>
      </c>
      <c r="AD80" s="445"/>
      <c r="AE80" s="1198"/>
      <c r="AF80" s="1199"/>
      <c r="AG80" s="1201"/>
      <c r="AH80" s="1186"/>
    </row>
    <row r="81" spans="1:34" ht="12" hidden="1" customHeight="1" x14ac:dyDescent="0.2">
      <c r="A81" s="1175">
        <v>9</v>
      </c>
      <c r="B81" s="1177"/>
      <c r="C81" s="441" t="str">
        <f>IF(B81="","",VLOOKUP(B81,'Списки участников'!A:H,3,FALSE))</f>
        <v/>
      </c>
      <c r="D81" s="1183" t="str">
        <f>IF(AB65="","",IF(AB66="W",0,IF(AB65=2,1,IF(AB65=1,2,IF(AB65=0,2)))))</f>
        <v/>
      </c>
      <c r="E81" s="1184"/>
      <c r="F81" s="1185"/>
      <c r="G81" s="1183" t="str">
        <f>IF(AB67="","",IF(AB68="W",0,IF(AB67=2,1,IF(AB67=1,2,IF(AB67=0,2)))))</f>
        <v/>
      </c>
      <c r="H81" s="1184"/>
      <c r="I81" s="1185"/>
      <c r="J81" s="1183" t="str">
        <f>IF(AB69="","",IF(AB70="W",0,IF(AB69=2,1,IF(AB69=1,2,IF(AB69=0,2)))))</f>
        <v/>
      </c>
      <c r="K81" s="1184"/>
      <c r="L81" s="1185"/>
      <c r="M81" s="1183" t="str">
        <f>IF(AB71="","",IF(AB72="W",0,IF(AB71=2,1,IF(AB71=1,2,IF(AB71=0,2)))))</f>
        <v/>
      </c>
      <c r="N81" s="1184"/>
      <c r="O81" s="1185"/>
      <c r="P81" s="1183" t="str">
        <f>IF(AB73="","",IF(AB74="W",0,IF(AB73=2,1,IF(AB73=1,2,IF(AB73=0,2)))))</f>
        <v/>
      </c>
      <c r="Q81" s="1184"/>
      <c r="R81" s="1185"/>
      <c r="S81" s="1183" t="str">
        <f>IF(AB75="","",IF(AB76="W",0,IF(AB75=2,1,IF(AB75=1,2,IF(AB75=0,2)))))</f>
        <v/>
      </c>
      <c r="T81" s="1184"/>
      <c r="U81" s="1185"/>
      <c r="V81" s="1183" t="str">
        <f>IF(AB77="","",IF(AB78="W",0,IF(AB77=2,1,IF(AB77=1,2,IF(AB77=0,2)))))</f>
        <v/>
      </c>
      <c r="W81" s="1184"/>
      <c r="X81" s="1185"/>
      <c r="Y81" s="1183" t="str">
        <f>IF(AB79="","",IF(AB80="W",0,IF(AB79=2,1,IF(AB79=1,2,IF(AB79=0,2)))))</f>
        <v/>
      </c>
      <c r="Z81" s="1184"/>
      <c r="AA81" s="1185"/>
      <c r="AB81" s="1203"/>
      <c r="AC81" s="1179"/>
      <c r="AD81" s="1180"/>
      <c r="AE81" s="1196" t="str">
        <f>IF(B81="","",SUM(G81,J81,M81,P81,S81,V81,Y81,D81,))</f>
        <v/>
      </c>
      <c r="AF81" s="1197"/>
      <c r="AG81" s="1200"/>
      <c r="AH81" s="1186" t="str">
        <f>IF(B81="","",RANK(AE81,ГР16О))</f>
        <v/>
      </c>
    </row>
    <row r="82" spans="1:34" ht="12" hidden="1" customHeight="1" x14ac:dyDescent="0.2">
      <c r="A82" s="1176"/>
      <c r="B82" s="1178"/>
      <c r="C82" s="442" t="str">
        <f>IF(B81="","",VLOOKUP(B81,'Списки участников'!A:H,6,FALSE))</f>
        <v/>
      </c>
      <c r="D82" s="449" t="str">
        <f>IF(AB66="","",IF(AD66="l","W",AD66))</f>
        <v/>
      </c>
      <c r="E82" s="444" t="str">
        <f>IF(AC66="","",":")</f>
        <v/>
      </c>
      <c r="F82" s="450" t="str">
        <f>IF(AD66="","",IF(AB66="W","L",AB66))</f>
        <v/>
      </c>
      <c r="G82" s="449" t="str">
        <f>IF(AB68="","",IF(AD68="l","W",AD68))</f>
        <v/>
      </c>
      <c r="H82" s="444" t="str">
        <f>IF(AC68="","",":")</f>
        <v/>
      </c>
      <c r="I82" s="450" t="str">
        <f>IF(AD68="","",IF(AB68="W","L",AB68))</f>
        <v/>
      </c>
      <c r="J82" s="449" t="str">
        <f>IF(AB70="","",IF(AD70="l","W",AD70))</f>
        <v/>
      </c>
      <c r="K82" s="444" t="str">
        <f>IF(AC70="","",":")</f>
        <v/>
      </c>
      <c r="L82" s="450" t="str">
        <f>IF(AD70="","",IF(AB70="W","L",AB70))</f>
        <v/>
      </c>
      <c r="M82" s="449" t="str">
        <f>IF(AB72="","",IF(AD72="l","W",AD72))</f>
        <v/>
      </c>
      <c r="N82" s="444" t="str">
        <f>IF(AC72="","",":")</f>
        <v/>
      </c>
      <c r="O82" s="450" t="str">
        <f>IF(AD72="","",IF(AB72="W","L",AB72))</f>
        <v/>
      </c>
      <c r="P82" s="449" t="str">
        <f>IF(AB74="","",IF(AD74="l","W",AD74))</f>
        <v/>
      </c>
      <c r="Q82" s="444" t="str">
        <f>IF(AC74="","",":")</f>
        <v/>
      </c>
      <c r="R82" s="450" t="str">
        <f>IF(AD74="","",IF(AB74="W","L",AB74))</f>
        <v/>
      </c>
      <c r="S82" s="449" t="str">
        <f>IF(AB76="","",IF(AD76="l","W",AD76))</f>
        <v/>
      </c>
      <c r="T82" s="444" t="str">
        <f>IF(AC76="","",":")</f>
        <v/>
      </c>
      <c r="U82" s="450" t="str">
        <f>IF(AD76="","",IF(AB76="W","L",AB76))</f>
        <v/>
      </c>
      <c r="V82" s="449" t="str">
        <f>IF(AB78="","",IF(AD78="l","W",AD78))</f>
        <v/>
      </c>
      <c r="W82" s="444" t="str">
        <f>IF(AC78="","",":")</f>
        <v/>
      </c>
      <c r="X82" s="450" t="str">
        <f>IF(AD78="","",IF(AB78="W","L",AB78))</f>
        <v/>
      </c>
      <c r="Y82" s="449" t="str">
        <f>IF(AB80="","",IF(AD80="l","W",AD80))</f>
        <v/>
      </c>
      <c r="Z82" s="444" t="str">
        <f>IF(AC80="","",":")</f>
        <v/>
      </c>
      <c r="AA82" s="450" t="str">
        <f>IF(AD80="","",IF(AB80="W","L",AB80))</f>
        <v/>
      </c>
      <c r="AB82" s="1195"/>
      <c r="AC82" s="1181"/>
      <c r="AD82" s="1182"/>
      <c r="AE82" s="1198"/>
      <c r="AF82" s="1199"/>
      <c r="AG82" s="1201"/>
      <c r="AH82" s="1186"/>
    </row>
    <row r="84" spans="1:34" ht="15.75" x14ac:dyDescent="0.25">
      <c r="C84" s="453" t="s">
        <v>760</v>
      </c>
      <c r="D84" s="1210"/>
      <c r="E84" s="1210"/>
      <c r="F84" s="1210"/>
      <c r="G84" s="1210"/>
      <c r="H84" s="1210"/>
      <c r="I84" s="1210"/>
      <c r="J84" s="1210"/>
      <c r="K84" s="1210"/>
      <c r="L84" s="453"/>
      <c r="M84" s="453"/>
      <c r="N84" s="453"/>
      <c r="O84" s="453"/>
      <c r="P84" s="453"/>
      <c r="Q84" s="1210" t="s">
        <v>761</v>
      </c>
      <c r="R84" s="1210"/>
      <c r="S84" s="1210"/>
      <c r="T84" s="1210"/>
      <c r="U84" s="1210"/>
      <c r="V84" s="1210"/>
      <c r="W84" s="1210"/>
      <c r="X84" s="1210"/>
      <c r="Y84" s="453"/>
      <c r="Z84" s="453"/>
      <c r="AA84" s="453"/>
      <c r="AB84" s="453"/>
      <c r="AC84" s="1210"/>
      <c r="AD84" s="1210"/>
      <c r="AE84" s="1210"/>
      <c r="AF84" s="1210"/>
      <c r="AG84" s="1210"/>
    </row>
  </sheetData>
  <mergeCells count="554">
    <mergeCell ref="C1:AG1"/>
    <mergeCell ref="D2:AA2"/>
    <mergeCell ref="AB2:AG2"/>
    <mergeCell ref="G3:AA3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F4"/>
    <mergeCell ref="A5:A6"/>
    <mergeCell ref="B5:B6"/>
    <mergeCell ref="D5:F6"/>
    <mergeCell ref="G5:I5"/>
    <mergeCell ref="J5:L5"/>
    <mergeCell ref="M5:O5"/>
    <mergeCell ref="AH7:AH8"/>
    <mergeCell ref="AG5:AG6"/>
    <mergeCell ref="AH5:AH6"/>
    <mergeCell ref="A7:A8"/>
    <mergeCell ref="B7:B8"/>
    <mergeCell ref="D7:F7"/>
    <mergeCell ref="G7:I8"/>
    <mergeCell ref="J7:L7"/>
    <mergeCell ref="M7:O7"/>
    <mergeCell ref="P7:R7"/>
    <mergeCell ref="S7:U7"/>
    <mergeCell ref="P5:R5"/>
    <mergeCell ref="S5:U5"/>
    <mergeCell ref="V5:X5"/>
    <mergeCell ref="Y5:AA5"/>
    <mergeCell ref="AB5:AD5"/>
    <mergeCell ref="AE5:AF6"/>
    <mergeCell ref="D9:F9"/>
    <mergeCell ref="G9:I9"/>
    <mergeCell ref="J9:L10"/>
    <mergeCell ref="M9:O9"/>
    <mergeCell ref="V7:X7"/>
    <mergeCell ref="Y7:AA7"/>
    <mergeCell ref="AB7:AD7"/>
    <mergeCell ref="AE7:AF8"/>
    <mergeCell ref="AG7:AG8"/>
    <mergeCell ref="V11:X11"/>
    <mergeCell ref="Y11:AA11"/>
    <mergeCell ref="AB11:AD11"/>
    <mergeCell ref="AE11:AF12"/>
    <mergeCell ref="AG11:AG12"/>
    <mergeCell ref="AH11:AH12"/>
    <mergeCell ref="AG9:AG10"/>
    <mergeCell ref="AH9:AH10"/>
    <mergeCell ref="A11:A12"/>
    <mergeCell ref="B11:B12"/>
    <mergeCell ref="D11:F11"/>
    <mergeCell ref="G11:I11"/>
    <mergeCell ref="J11:L11"/>
    <mergeCell ref="M11:O12"/>
    <mergeCell ref="P11:R11"/>
    <mergeCell ref="S11:U11"/>
    <mergeCell ref="P9:R9"/>
    <mergeCell ref="S9:U9"/>
    <mergeCell ref="V9:X9"/>
    <mergeCell ref="Y9:AA9"/>
    <mergeCell ref="AB9:AD9"/>
    <mergeCell ref="AE9:AF10"/>
    <mergeCell ref="A9:A10"/>
    <mergeCell ref="B9:B10"/>
    <mergeCell ref="A15:A16"/>
    <mergeCell ref="B15:B16"/>
    <mergeCell ref="D15:F15"/>
    <mergeCell ref="G15:I15"/>
    <mergeCell ref="J15:L15"/>
    <mergeCell ref="M15:O15"/>
    <mergeCell ref="P15:R15"/>
    <mergeCell ref="S15:U16"/>
    <mergeCell ref="P13:R14"/>
    <mergeCell ref="S13:U13"/>
    <mergeCell ref="A13:A14"/>
    <mergeCell ref="B13:B14"/>
    <mergeCell ref="D13:F13"/>
    <mergeCell ref="G13:I13"/>
    <mergeCell ref="J13:L13"/>
    <mergeCell ref="M13:O13"/>
    <mergeCell ref="M17:O17"/>
    <mergeCell ref="V15:X15"/>
    <mergeCell ref="Y15:AA15"/>
    <mergeCell ref="AB15:AD15"/>
    <mergeCell ref="AE15:AF16"/>
    <mergeCell ref="AG15:AG16"/>
    <mergeCell ref="AH15:AH16"/>
    <mergeCell ref="AG13:AG14"/>
    <mergeCell ref="AH13:AH14"/>
    <mergeCell ref="V13:X13"/>
    <mergeCell ref="Y13:AA13"/>
    <mergeCell ref="AB13:AD13"/>
    <mergeCell ref="AE13:AF14"/>
    <mergeCell ref="AE19:AF20"/>
    <mergeCell ref="AG19:AG20"/>
    <mergeCell ref="AH19:AH20"/>
    <mergeCell ref="AG17:AG18"/>
    <mergeCell ref="AH17:AH18"/>
    <mergeCell ref="A19:A20"/>
    <mergeCell ref="B19:B20"/>
    <mergeCell ref="D19:F19"/>
    <mergeCell ref="G19:I19"/>
    <mergeCell ref="J19:L19"/>
    <mergeCell ref="M19:O19"/>
    <mergeCell ref="P19:R19"/>
    <mergeCell ref="S19:U19"/>
    <mergeCell ref="P17:R17"/>
    <mergeCell ref="S17:U17"/>
    <mergeCell ref="V17:X18"/>
    <mergeCell ref="Y17:AA17"/>
    <mergeCell ref="AB17:AD17"/>
    <mergeCell ref="AE17:AF18"/>
    <mergeCell ref="A17:A18"/>
    <mergeCell ref="B17:B18"/>
    <mergeCell ref="D17:F17"/>
    <mergeCell ref="G17:I17"/>
    <mergeCell ref="J17:L17"/>
    <mergeCell ref="A21:A22"/>
    <mergeCell ref="B21:B22"/>
    <mergeCell ref="D21:F21"/>
    <mergeCell ref="G21:I21"/>
    <mergeCell ref="J21:L21"/>
    <mergeCell ref="M21:O21"/>
    <mergeCell ref="V19:X19"/>
    <mergeCell ref="Y19:AA20"/>
    <mergeCell ref="AB19:AD19"/>
    <mergeCell ref="AG21:AG22"/>
    <mergeCell ref="AH21:AH22"/>
    <mergeCell ref="G23:AA23"/>
    <mergeCell ref="D24:F24"/>
    <mergeCell ref="G24:I24"/>
    <mergeCell ref="J24:L24"/>
    <mergeCell ref="M24:O24"/>
    <mergeCell ref="P24:R24"/>
    <mergeCell ref="S24:U24"/>
    <mergeCell ref="V24:X24"/>
    <mergeCell ref="P21:R21"/>
    <mergeCell ref="S21:U21"/>
    <mergeCell ref="V21:X21"/>
    <mergeCell ref="Y21:AA21"/>
    <mergeCell ref="AB21:AD22"/>
    <mergeCell ref="AE21:AF22"/>
    <mergeCell ref="Y24:AA24"/>
    <mergeCell ref="AB24:AD24"/>
    <mergeCell ref="AE24:AF24"/>
    <mergeCell ref="A25:A26"/>
    <mergeCell ref="B25:B26"/>
    <mergeCell ref="D25:F26"/>
    <mergeCell ref="G25:I25"/>
    <mergeCell ref="J25:L25"/>
    <mergeCell ref="M25:O25"/>
    <mergeCell ref="P25:R25"/>
    <mergeCell ref="AH25:AH26"/>
    <mergeCell ref="A27:A28"/>
    <mergeCell ref="B27:B28"/>
    <mergeCell ref="D27:F27"/>
    <mergeCell ref="G27:I28"/>
    <mergeCell ref="J27:L27"/>
    <mergeCell ref="M27:O27"/>
    <mergeCell ref="P27:R27"/>
    <mergeCell ref="S27:U27"/>
    <mergeCell ref="V27:X27"/>
    <mergeCell ref="S25:U25"/>
    <mergeCell ref="V25:X25"/>
    <mergeCell ref="Y25:AA25"/>
    <mergeCell ref="AB25:AD25"/>
    <mergeCell ref="AE25:AF26"/>
    <mergeCell ref="AG25:AG26"/>
    <mergeCell ref="Y27:AA27"/>
    <mergeCell ref="AH27:AH28"/>
    <mergeCell ref="A29:A30"/>
    <mergeCell ref="B29:B30"/>
    <mergeCell ref="D29:F29"/>
    <mergeCell ref="G29:I29"/>
    <mergeCell ref="J29:L30"/>
    <mergeCell ref="AE29:AF30"/>
    <mergeCell ref="AG29:AG30"/>
    <mergeCell ref="AH29:AH30"/>
    <mergeCell ref="S29:U29"/>
    <mergeCell ref="V29:X29"/>
    <mergeCell ref="Y29:AA29"/>
    <mergeCell ref="AB29:AD29"/>
    <mergeCell ref="G31:I31"/>
    <mergeCell ref="J31:L31"/>
    <mergeCell ref="M31:O32"/>
    <mergeCell ref="P31:R31"/>
    <mergeCell ref="M29:O29"/>
    <mergeCell ref="P29:R29"/>
    <mergeCell ref="AB27:AD27"/>
    <mergeCell ref="AE27:AF28"/>
    <mergeCell ref="AG27:AG28"/>
    <mergeCell ref="AH31:AH32"/>
    <mergeCell ref="A33:A34"/>
    <mergeCell ref="B33:B34"/>
    <mergeCell ref="D33:F33"/>
    <mergeCell ref="G33:I33"/>
    <mergeCell ref="J33:L33"/>
    <mergeCell ref="M33:O33"/>
    <mergeCell ref="P33:R34"/>
    <mergeCell ref="S33:U33"/>
    <mergeCell ref="V33:X33"/>
    <mergeCell ref="S31:U31"/>
    <mergeCell ref="V31:X31"/>
    <mergeCell ref="Y31:AA31"/>
    <mergeCell ref="AB31:AD31"/>
    <mergeCell ref="AE31:AF32"/>
    <mergeCell ref="AG31:AG32"/>
    <mergeCell ref="Y33:AA33"/>
    <mergeCell ref="AB33:AD33"/>
    <mergeCell ref="AE33:AF34"/>
    <mergeCell ref="AG33:AG34"/>
    <mergeCell ref="AH33:AH34"/>
    <mergeCell ref="A31:A32"/>
    <mergeCell ref="B31:B32"/>
    <mergeCell ref="D31:F31"/>
    <mergeCell ref="A35:A36"/>
    <mergeCell ref="B35:B36"/>
    <mergeCell ref="D35:F35"/>
    <mergeCell ref="G35:I35"/>
    <mergeCell ref="J35:L35"/>
    <mergeCell ref="AE35:AF36"/>
    <mergeCell ref="AG35:AG36"/>
    <mergeCell ref="AH35:AH36"/>
    <mergeCell ref="A37:A38"/>
    <mergeCell ref="B37:B38"/>
    <mergeCell ref="D37:F37"/>
    <mergeCell ref="G37:I37"/>
    <mergeCell ref="J37:L37"/>
    <mergeCell ref="M37:O37"/>
    <mergeCell ref="P37:R37"/>
    <mergeCell ref="M35:O35"/>
    <mergeCell ref="P35:R35"/>
    <mergeCell ref="S35:U36"/>
    <mergeCell ref="V35:X35"/>
    <mergeCell ref="Y35:AA35"/>
    <mergeCell ref="AB35:AD35"/>
    <mergeCell ref="AH37:AH38"/>
    <mergeCell ref="S37:U37"/>
    <mergeCell ref="V37:X38"/>
    <mergeCell ref="A39:A40"/>
    <mergeCell ref="B39:B40"/>
    <mergeCell ref="D39:F39"/>
    <mergeCell ref="G39:I39"/>
    <mergeCell ref="J39:L39"/>
    <mergeCell ref="M39:O39"/>
    <mergeCell ref="P39:R39"/>
    <mergeCell ref="S39:U39"/>
    <mergeCell ref="V39:X39"/>
    <mergeCell ref="Y37:AA37"/>
    <mergeCell ref="AB37:AD37"/>
    <mergeCell ref="AE37:AF38"/>
    <mergeCell ref="AG37:AG38"/>
    <mergeCell ref="Y39:AA40"/>
    <mergeCell ref="AB39:AD39"/>
    <mergeCell ref="AE39:AF40"/>
    <mergeCell ref="AG39:AG40"/>
    <mergeCell ref="AH39:AH40"/>
    <mergeCell ref="AE41:AF42"/>
    <mergeCell ref="V44:X44"/>
    <mergeCell ref="Y44:AA44"/>
    <mergeCell ref="AB44:AD44"/>
    <mergeCell ref="AE44:AF44"/>
    <mergeCell ref="P44:R44"/>
    <mergeCell ref="S44:U44"/>
    <mergeCell ref="AG41:AG42"/>
    <mergeCell ref="AH41:AH42"/>
    <mergeCell ref="G43:AA43"/>
    <mergeCell ref="V41:X41"/>
    <mergeCell ref="Y41:AA41"/>
    <mergeCell ref="AB41:AD42"/>
    <mergeCell ref="M41:O41"/>
    <mergeCell ref="P41:R41"/>
    <mergeCell ref="S41:U41"/>
    <mergeCell ref="D44:F44"/>
    <mergeCell ref="G44:I44"/>
    <mergeCell ref="J44:L44"/>
    <mergeCell ref="M44:O44"/>
    <mergeCell ref="A41:A42"/>
    <mergeCell ref="B41:B42"/>
    <mergeCell ref="D41:F41"/>
    <mergeCell ref="G41:I41"/>
    <mergeCell ref="J41:L41"/>
    <mergeCell ref="AH47:AH48"/>
    <mergeCell ref="AG45:AG46"/>
    <mergeCell ref="AH45:AH46"/>
    <mergeCell ref="A47:A48"/>
    <mergeCell ref="B47:B48"/>
    <mergeCell ref="D47:F47"/>
    <mergeCell ref="G47:I48"/>
    <mergeCell ref="J47:L47"/>
    <mergeCell ref="M47:O47"/>
    <mergeCell ref="P47:R47"/>
    <mergeCell ref="S47:U47"/>
    <mergeCell ref="P45:R45"/>
    <mergeCell ref="S45:U45"/>
    <mergeCell ref="V45:X45"/>
    <mergeCell ref="Y45:AA45"/>
    <mergeCell ref="AB45:AD45"/>
    <mergeCell ref="AE45:AF46"/>
    <mergeCell ref="A45:A46"/>
    <mergeCell ref="B45:B46"/>
    <mergeCell ref="D45:F46"/>
    <mergeCell ref="G45:I45"/>
    <mergeCell ref="J45:L45"/>
    <mergeCell ref="M45:O45"/>
    <mergeCell ref="D49:F49"/>
    <mergeCell ref="G49:I49"/>
    <mergeCell ref="J49:L50"/>
    <mergeCell ref="M49:O49"/>
    <mergeCell ref="V47:X47"/>
    <mergeCell ref="Y47:AA47"/>
    <mergeCell ref="AB47:AD47"/>
    <mergeCell ref="AE47:AF48"/>
    <mergeCell ref="AG47:AG48"/>
    <mergeCell ref="V51:X51"/>
    <mergeCell ref="Y51:AA51"/>
    <mergeCell ref="AB51:AD51"/>
    <mergeCell ref="AE51:AF52"/>
    <mergeCell ref="AG51:AG52"/>
    <mergeCell ref="AH51:AH52"/>
    <mergeCell ref="AG49:AG50"/>
    <mergeCell ref="AH49:AH50"/>
    <mergeCell ref="A51:A52"/>
    <mergeCell ref="B51:B52"/>
    <mergeCell ref="D51:F51"/>
    <mergeCell ref="G51:I51"/>
    <mergeCell ref="J51:L51"/>
    <mergeCell ref="M51:O52"/>
    <mergeCell ref="P51:R51"/>
    <mergeCell ref="S51:U51"/>
    <mergeCell ref="P49:R49"/>
    <mergeCell ref="S49:U49"/>
    <mergeCell ref="V49:X49"/>
    <mergeCell ref="Y49:AA49"/>
    <mergeCell ref="AB49:AD49"/>
    <mergeCell ref="AE49:AF50"/>
    <mergeCell ref="A49:A50"/>
    <mergeCell ref="B49:B50"/>
    <mergeCell ref="A55:A56"/>
    <mergeCell ref="B55:B56"/>
    <mergeCell ref="D55:F55"/>
    <mergeCell ref="G55:I55"/>
    <mergeCell ref="J55:L55"/>
    <mergeCell ref="M55:O55"/>
    <mergeCell ref="P55:R55"/>
    <mergeCell ref="S55:U56"/>
    <mergeCell ref="P53:R54"/>
    <mergeCell ref="S53:U53"/>
    <mergeCell ref="A53:A54"/>
    <mergeCell ref="B53:B54"/>
    <mergeCell ref="D53:F53"/>
    <mergeCell ref="G53:I53"/>
    <mergeCell ref="J53:L53"/>
    <mergeCell ref="M53:O53"/>
    <mergeCell ref="M57:O57"/>
    <mergeCell ref="V55:X55"/>
    <mergeCell ref="Y55:AA55"/>
    <mergeCell ref="AB55:AD55"/>
    <mergeCell ref="AE55:AF56"/>
    <mergeCell ref="AG55:AG56"/>
    <mergeCell ref="AH55:AH56"/>
    <mergeCell ref="AG53:AG54"/>
    <mergeCell ref="AH53:AH54"/>
    <mergeCell ref="V53:X53"/>
    <mergeCell ref="Y53:AA53"/>
    <mergeCell ref="AB53:AD53"/>
    <mergeCell ref="AE53:AF54"/>
    <mergeCell ref="AE59:AF60"/>
    <mergeCell ref="AG59:AG60"/>
    <mergeCell ref="AH59:AH60"/>
    <mergeCell ref="AG57:AG58"/>
    <mergeCell ref="AH57:AH58"/>
    <mergeCell ref="A59:A60"/>
    <mergeCell ref="B59:B60"/>
    <mergeCell ref="D59:F59"/>
    <mergeCell ref="G59:I59"/>
    <mergeCell ref="J59:L59"/>
    <mergeCell ref="M59:O59"/>
    <mergeCell ref="P59:R59"/>
    <mergeCell ref="S59:U59"/>
    <mergeCell ref="P57:R57"/>
    <mergeCell ref="S57:U57"/>
    <mergeCell ref="V57:X58"/>
    <mergeCell ref="Y57:AA57"/>
    <mergeCell ref="AB57:AD57"/>
    <mergeCell ref="AE57:AF58"/>
    <mergeCell ref="A57:A58"/>
    <mergeCell ref="B57:B58"/>
    <mergeCell ref="D57:F57"/>
    <mergeCell ref="G57:I57"/>
    <mergeCell ref="J57:L57"/>
    <mergeCell ref="A61:A62"/>
    <mergeCell ref="B61:B62"/>
    <mergeCell ref="D61:F61"/>
    <mergeCell ref="G61:I61"/>
    <mergeCell ref="J61:L61"/>
    <mergeCell ref="M61:O61"/>
    <mergeCell ref="V59:X59"/>
    <mergeCell ref="Y59:AA60"/>
    <mergeCell ref="AB59:AD59"/>
    <mergeCell ref="AG61:AG62"/>
    <mergeCell ref="AH61:AH62"/>
    <mergeCell ref="G63:AA63"/>
    <mergeCell ref="D64:F64"/>
    <mergeCell ref="G64:I64"/>
    <mergeCell ref="J64:L64"/>
    <mergeCell ref="M64:O64"/>
    <mergeCell ref="P64:R64"/>
    <mergeCell ref="S64:U64"/>
    <mergeCell ref="V64:X64"/>
    <mergeCell ref="P61:R61"/>
    <mergeCell ref="S61:U61"/>
    <mergeCell ref="V61:X61"/>
    <mergeCell ref="Y61:AA61"/>
    <mergeCell ref="AB61:AD62"/>
    <mergeCell ref="AE61:AF62"/>
    <mergeCell ref="Y64:AA64"/>
    <mergeCell ref="AB64:AD64"/>
    <mergeCell ref="AE64:AF64"/>
    <mergeCell ref="A65:A66"/>
    <mergeCell ref="B65:B66"/>
    <mergeCell ref="D65:F66"/>
    <mergeCell ref="G65:I65"/>
    <mergeCell ref="J65:L65"/>
    <mergeCell ref="M65:O65"/>
    <mergeCell ref="P65:R65"/>
    <mergeCell ref="AH65:AH66"/>
    <mergeCell ref="A67:A68"/>
    <mergeCell ref="B67:B68"/>
    <mergeCell ref="D67:F67"/>
    <mergeCell ref="G67:I68"/>
    <mergeCell ref="J67:L67"/>
    <mergeCell ref="M67:O67"/>
    <mergeCell ref="P67:R67"/>
    <mergeCell ref="S67:U67"/>
    <mergeCell ref="V67:X67"/>
    <mergeCell ref="S65:U65"/>
    <mergeCell ref="V65:X65"/>
    <mergeCell ref="Y65:AA65"/>
    <mergeCell ref="AB65:AD65"/>
    <mergeCell ref="AE65:AF66"/>
    <mergeCell ref="AG65:AG66"/>
    <mergeCell ref="Y67:AA67"/>
    <mergeCell ref="AH67:AH68"/>
    <mergeCell ref="A69:A70"/>
    <mergeCell ref="B69:B70"/>
    <mergeCell ref="D69:F69"/>
    <mergeCell ref="G69:I69"/>
    <mergeCell ref="J69:L70"/>
    <mergeCell ref="AE69:AF70"/>
    <mergeCell ref="AG69:AG70"/>
    <mergeCell ref="AH69:AH70"/>
    <mergeCell ref="S69:U69"/>
    <mergeCell ref="V69:X69"/>
    <mergeCell ref="Y69:AA69"/>
    <mergeCell ref="AB69:AD69"/>
    <mergeCell ref="G71:I71"/>
    <mergeCell ref="J71:L71"/>
    <mergeCell ref="M71:O72"/>
    <mergeCell ref="P71:R71"/>
    <mergeCell ref="M69:O69"/>
    <mergeCell ref="P69:R69"/>
    <mergeCell ref="AB67:AD67"/>
    <mergeCell ref="AE67:AF68"/>
    <mergeCell ref="AG67:AG68"/>
    <mergeCell ref="AH71:AH72"/>
    <mergeCell ref="A73:A74"/>
    <mergeCell ref="B73:B74"/>
    <mergeCell ref="D73:F73"/>
    <mergeCell ref="G73:I73"/>
    <mergeCell ref="J73:L73"/>
    <mergeCell ref="M73:O73"/>
    <mergeCell ref="P73:R74"/>
    <mergeCell ref="S73:U73"/>
    <mergeCell ref="V73:X73"/>
    <mergeCell ref="S71:U71"/>
    <mergeCell ref="V71:X71"/>
    <mergeCell ref="Y71:AA71"/>
    <mergeCell ref="AB71:AD71"/>
    <mergeCell ref="AE71:AF72"/>
    <mergeCell ref="AG71:AG72"/>
    <mergeCell ref="Y73:AA73"/>
    <mergeCell ref="AB73:AD73"/>
    <mergeCell ref="AE73:AF74"/>
    <mergeCell ref="AG73:AG74"/>
    <mergeCell ref="AH73:AH74"/>
    <mergeCell ref="A71:A72"/>
    <mergeCell ref="B71:B72"/>
    <mergeCell ref="D71:F71"/>
    <mergeCell ref="A75:A76"/>
    <mergeCell ref="B75:B76"/>
    <mergeCell ref="D75:F75"/>
    <mergeCell ref="G75:I75"/>
    <mergeCell ref="J75:L75"/>
    <mergeCell ref="AE75:AF76"/>
    <mergeCell ref="AG75:AG76"/>
    <mergeCell ref="AH75:AH76"/>
    <mergeCell ref="A77:A78"/>
    <mergeCell ref="B77:B78"/>
    <mergeCell ref="D77:F77"/>
    <mergeCell ref="G77:I77"/>
    <mergeCell ref="J77:L77"/>
    <mergeCell ref="M77:O77"/>
    <mergeCell ref="P77:R77"/>
    <mergeCell ref="M75:O75"/>
    <mergeCell ref="P75:R75"/>
    <mergeCell ref="S75:U76"/>
    <mergeCell ref="V75:X75"/>
    <mergeCell ref="Y75:AA75"/>
    <mergeCell ref="AB75:AD75"/>
    <mergeCell ref="AH77:AH78"/>
    <mergeCell ref="S77:U77"/>
    <mergeCell ref="V77:X78"/>
    <mergeCell ref="A79:A80"/>
    <mergeCell ref="B79:B80"/>
    <mergeCell ref="D79:F79"/>
    <mergeCell ref="G79:I79"/>
    <mergeCell ref="J79:L79"/>
    <mergeCell ref="M79:O79"/>
    <mergeCell ref="P79:R79"/>
    <mergeCell ref="S79:U79"/>
    <mergeCell ref="V79:X79"/>
    <mergeCell ref="Y77:AA77"/>
    <mergeCell ref="AB77:AD77"/>
    <mergeCell ref="AE77:AF78"/>
    <mergeCell ref="AG77:AG78"/>
    <mergeCell ref="Y79:AA80"/>
    <mergeCell ref="AB79:AD79"/>
    <mergeCell ref="AE79:AF80"/>
    <mergeCell ref="AG79:AG80"/>
    <mergeCell ref="AH79:AH80"/>
    <mergeCell ref="A81:A82"/>
    <mergeCell ref="B81:B82"/>
    <mergeCell ref="D81:F81"/>
    <mergeCell ref="G81:I81"/>
    <mergeCell ref="J81:L81"/>
    <mergeCell ref="AE81:AF82"/>
    <mergeCell ref="AG81:AG82"/>
    <mergeCell ref="AH81:AH82"/>
    <mergeCell ref="D84:K84"/>
    <mergeCell ref="Q84:X84"/>
    <mergeCell ref="AC84:AG84"/>
    <mergeCell ref="M81:O81"/>
    <mergeCell ref="P81:R81"/>
    <mergeCell ref="S81:U81"/>
    <mergeCell ref="V81:X81"/>
    <mergeCell ref="Y81:AA81"/>
    <mergeCell ref="AB81:AD82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rgb="FF0070C0"/>
  </sheetPr>
  <dimension ref="A1:G3694"/>
  <sheetViews>
    <sheetView topLeftCell="A237" workbookViewId="0">
      <selection activeCell="A1263" sqref="A1263:XFD1263"/>
    </sheetView>
  </sheetViews>
  <sheetFormatPr defaultRowHeight="15" x14ac:dyDescent="0.25"/>
  <cols>
    <col min="3" max="3" width="29" customWidth="1"/>
    <col min="4" max="4" width="22.1640625" customWidth="1"/>
    <col min="5" max="5" width="29.1640625" customWidth="1"/>
    <col min="7" max="16384" width="9.33203125" style="110"/>
  </cols>
  <sheetData>
    <row r="1" spans="1:7" x14ac:dyDescent="0.25">
      <c r="A1" s="845" t="s">
        <v>100</v>
      </c>
      <c r="B1" s="845" t="s">
        <v>6</v>
      </c>
      <c r="C1" s="845" t="s">
        <v>101</v>
      </c>
      <c r="D1" s="845" t="s">
        <v>5</v>
      </c>
      <c r="E1" s="845" t="s">
        <v>44</v>
      </c>
    </row>
    <row r="2" spans="1:7" x14ac:dyDescent="0.25">
      <c r="A2" s="174">
        <v>2615</v>
      </c>
      <c r="B2" s="174">
        <v>26</v>
      </c>
      <c r="C2" t="s">
        <v>2425</v>
      </c>
      <c r="D2" s="795">
        <v>37161</v>
      </c>
      <c r="E2" t="s">
        <v>165</v>
      </c>
      <c r="F2">
        <v>1</v>
      </c>
    </row>
    <row r="3" spans="1:7" x14ac:dyDescent="0.25">
      <c r="A3" s="174">
        <v>3604</v>
      </c>
      <c r="B3" s="174">
        <v>0</v>
      </c>
      <c r="C3" t="s">
        <v>2426</v>
      </c>
      <c r="D3" s="795">
        <v>36770</v>
      </c>
      <c r="E3" t="s">
        <v>165</v>
      </c>
      <c r="F3">
        <v>1</v>
      </c>
    </row>
    <row r="4" spans="1:7" x14ac:dyDescent="0.25">
      <c r="A4" s="174">
        <v>3340</v>
      </c>
      <c r="B4" s="174">
        <v>1</v>
      </c>
      <c r="C4" t="s">
        <v>1057</v>
      </c>
      <c r="D4" s="795">
        <v>36984</v>
      </c>
      <c r="E4" t="s">
        <v>105</v>
      </c>
      <c r="F4">
        <v>1</v>
      </c>
      <c r="G4" s="128"/>
    </row>
    <row r="5" spans="1:7" x14ac:dyDescent="0.25">
      <c r="A5" s="174">
        <v>3388</v>
      </c>
      <c r="B5" s="174">
        <v>0</v>
      </c>
      <c r="C5" t="s">
        <v>1058</v>
      </c>
      <c r="D5" s="795">
        <v>37780</v>
      </c>
      <c r="E5" t="s">
        <v>105</v>
      </c>
      <c r="F5">
        <v>1</v>
      </c>
      <c r="G5" s="128"/>
    </row>
    <row r="6" spans="1:7" x14ac:dyDescent="0.25">
      <c r="A6" s="174">
        <v>3217</v>
      </c>
      <c r="B6" s="174">
        <v>4</v>
      </c>
      <c r="C6" t="s">
        <v>1059</v>
      </c>
      <c r="D6" s="795">
        <v>37780</v>
      </c>
      <c r="E6" t="s">
        <v>105</v>
      </c>
      <c r="F6">
        <v>1</v>
      </c>
      <c r="G6" s="128"/>
    </row>
    <row r="7" spans="1:7" x14ac:dyDescent="0.25">
      <c r="A7" s="174">
        <v>2792</v>
      </c>
      <c r="B7" s="174">
        <v>19</v>
      </c>
      <c r="C7" t="s">
        <v>1060</v>
      </c>
      <c r="D7" s="795">
        <v>37378</v>
      </c>
      <c r="E7" t="s">
        <v>105</v>
      </c>
      <c r="F7">
        <v>1</v>
      </c>
      <c r="G7" s="128"/>
    </row>
    <row r="8" spans="1:7" x14ac:dyDescent="0.25">
      <c r="A8" s="174">
        <v>3727</v>
      </c>
      <c r="B8" s="174">
        <v>0</v>
      </c>
      <c r="C8" t="s">
        <v>1061</v>
      </c>
      <c r="D8" s="795">
        <v>37273</v>
      </c>
      <c r="E8" t="s">
        <v>138</v>
      </c>
      <c r="F8">
        <v>1</v>
      </c>
      <c r="G8" s="128"/>
    </row>
    <row r="9" spans="1:7" x14ac:dyDescent="0.25">
      <c r="A9" s="174">
        <v>3287</v>
      </c>
      <c r="B9" s="174">
        <v>2</v>
      </c>
      <c r="C9" t="s">
        <v>1062</v>
      </c>
      <c r="D9" s="795">
        <v>36959</v>
      </c>
      <c r="E9" t="s">
        <v>1063</v>
      </c>
      <c r="F9">
        <v>1</v>
      </c>
      <c r="G9" s="128"/>
    </row>
    <row r="10" spans="1:7" x14ac:dyDescent="0.25">
      <c r="A10" s="174">
        <v>3194</v>
      </c>
      <c r="B10" s="174">
        <v>5</v>
      </c>
      <c r="C10" t="s">
        <v>1064</v>
      </c>
      <c r="D10" s="795">
        <v>36640</v>
      </c>
      <c r="E10" t="s">
        <v>1065</v>
      </c>
      <c r="F10">
        <v>1</v>
      </c>
      <c r="G10" s="128"/>
    </row>
    <row r="11" spans="1:7" x14ac:dyDescent="0.25">
      <c r="A11" s="174">
        <v>3910</v>
      </c>
      <c r="B11" s="174">
        <v>0</v>
      </c>
      <c r="C11" t="s">
        <v>1070</v>
      </c>
      <c r="D11" s="795">
        <v>37189</v>
      </c>
      <c r="E11" t="s">
        <v>117</v>
      </c>
      <c r="F11">
        <v>1</v>
      </c>
      <c r="G11" s="128"/>
    </row>
    <row r="12" spans="1:7" x14ac:dyDescent="0.25">
      <c r="A12" s="174">
        <v>3412</v>
      </c>
      <c r="B12" s="174">
        <v>0</v>
      </c>
      <c r="C12" t="s">
        <v>1072</v>
      </c>
      <c r="D12" s="795">
        <v>37837</v>
      </c>
      <c r="E12" t="s">
        <v>114</v>
      </c>
      <c r="F12">
        <v>1</v>
      </c>
      <c r="G12" s="128"/>
    </row>
    <row r="13" spans="1:7" x14ac:dyDescent="0.25">
      <c r="A13" s="174">
        <v>3545</v>
      </c>
      <c r="B13" s="174">
        <v>0</v>
      </c>
      <c r="C13" t="s">
        <v>2480</v>
      </c>
      <c r="D13" s="795">
        <v>37463</v>
      </c>
      <c r="E13" t="s">
        <v>133</v>
      </c>
      <c r="F13">
        <v>1</v>
      </c>
      <c r="G13" s="128"/>
    </row>
    <row r="14" spans="1:7" x14ac:dyDescent="0.25">
      <c r="A14" s="174">
        <v>3939</v>
      </c>
      <c r="B14" s="174">
        <v>0</v>
      </c>
      <c r="C14" t="s">
        <v>1073</v>
      </c>
      <c r="D14" s="795">
        <v>37321</v>
      </c>
      <c r="E14" t="s">
        <v>99</v>
      </c>
      <c r="F14">
        <v>1</v>
      </c>
      <c r="G14" s="128"/>
    </row>
    <row r="15" spans="1:7" x14ac:dyDescent="0.25">
      <c r="A15" s="174">
        <v>1503</v>
      </c>
      <c r="B15" s="174">
        <v>128</v>
      </c>
      <c r="C15" t="s">
        <v>422</v>
      </c>
      <c r="D15" s="795">
        <v>37162</v>
      </c>
      <c r="E15" t="s">
        <v>72</v>
      </c>
      <c r="F15">
        <v>1</v>
      </c>
      <c r="G15" s="128"/>
    </row>
    <row r="16" spans="1:7" x14ac:dyDescent="0.25">
      <c r="A16" s="174">
        <v>3760</v>
      </c>
      <c r="B16" s="174">
        <v>0</v>
      </c>
      <c r="C16" t="s">
        <v>1074</v>
      </c>
      <c r="D16" s="795">
        <v>36862</v>
      </c>
      <c r="E16" t="s">
        <v>74</v>
      </c>
      <c r="F16">
        <v>1</v>
      </c>
      <c r="G16" s="128"/>
    </row>
    <row r="17" spans="1:7" x14ac:dyDescent="0.25">
      <c r="A17" s="174">
        <v>2551</v>
      </c>
      <c r="B17" s="174">
        <v>30</v>
      </c>
      <c r="C17" t="s">
        <v>766</v>
      </c>
      <c r="D17" s="795">
        <v>37105</v>
      </c>
      <c r="E17" t="s">
        <v>1076</v>
      </c>
      <c r="F17">
        <v>1</v>
      </c>
      <c r="G17" s="128"/>
    </row>
    <row r="18" spans="1:7" x14ac:dyDescent="0.25">
      <c r="A18" s="174">
        <v>2726</v>
      </c>
      <c r="B18" s="174">
        <v>21</v>
      </c>
      <c r="C18" t="s">
        <v>1079</v>
      </c>
      <c r="D18" s="795">
        <v>37403</v>
      </c>
      <c r="E18" t="s">
        <v>113</v>
      </c>
      <c r="F18">
        <v>1</v>
      </c>
      <c r="G18" s="128"/>
    </row>
    <row r="19" spans="1:7" x14ac:dyDescent="0.25">
      <c r="A19" s="174">
        <v>3734</v>
      </c>
      <c r="B19" s="174">
        <v>0</v>
      </c>
      <c r="C19" t="s">
        <v>1080</v>
      </c>
      <c r="D19" s="795">
        <v>36932</v>
      </c>
      <c r="E19" t="s">
        <v>105</v>
      </c>
      <c r="F19">
        <v>1</v>
      </c>
      <c r="G19" s="128"/>
    </row>
    <row r="20" spans="1:7" x14ac:dyDescent="0.25">
      <c r="A20" s="174">
        <v>1905</v>
      </c>
      <c r="B20" s="174">
        <v>72</v>
      </c>
      <c r="C20" t="s">
        <v>1084</v>
      </c>
      <c r="D20" s="795">
        <v>37072</v>
      </c>
      <c r="E20" t="s">
        <v>120</v>
      </c>
      <c r="F20">
        <v>1</v>
      </c>
      <c r="G20" s="128"/>
    </row>
    <row r="21" spans="1:7" x14ac:dyDescent="0.25">
      <c r="A21" s="174">
        <v>2513</v>
      </c>
      <c r="B21" s="174">
        <v>31</v>
      </c>
      <c r="C21" t="s">
        <v>423</v>
      </c>
      <c r="D21" s="795">
        <v>37007</v>
      </c>
      <c r="E21" t="s">
        <v>165</v>
      </c>
      <c r="F21">
        <v>1</v>
      </c>
      <c r="G21" s="128"/>
    </row>
    <row r="22" spans="1:7" x14ac:dyDescent="0.25">
      <c r="A22" s="174">
        <v>2600</v>
      </c>
      <c r="B22" s="174">
        <v>27</v>
      </c>
      <c r="C22" t="s">
        <v>1085</v>
      </c>
      <c r="D22" s="795">
        <v>37232</v>
      </c>
      <c r="E22" t="s">
        <v>1086</v>
      </c>
      <c r="F22">
        <v>1</v>
      </c>
      <c r="G22" s="128"/>
    </row>
    <row r="23" spans="1:7" x14ac:dyDescent="0.25">
      <c r="A23" s="174">
        <v>3151</v>
      </c>
      <c r="B23" s="174">
        <v>6</v>
      </c>
      <c r="C23" t="s">
        <v>1087</v>
      </c>
      <c r="D23" s="795">
        <v>36959</v>
      </c>
      <c r="E23" t="s">
        <v>105</v>
      </c>
      <c r="F23">
        <v>1</v>
      </c>
      <c r="G23" s="128"/>
    </row>
    <row r="24" spans="1:7" x14ac:dyDescent="0.25">
      <c r="A24" s="174">
        <v>2887</v>
      </c>
      <c r="B24" s="174">
        <v>14</v>
      </c>
      <c r="C24" t="s">
        <v>1088</v>
      </c>
      <c r="D24" s="795">
        <v>37184</v>
      </c>
      <c r="E24" t="s">
        <v>1089</v>
      </c>
      <c r="F24">
        <v>1</v>
      </c>
      <c r="G24" s="128"/>
    </row>
    <row r="25" spans="1:7" x14ac:dyDescent="0.25">
      <c r="A25" s="174">
        <v>3107</v>
      </c>
      <c r="B25" s="174">
        <v>7</v>
      </c>
      <c r="C25" t="s">
        <v>1090</v>
      </c>
      <c r="D25" s="795">
        <v>37090</v>
      </c>
      <c r="E25" t="s">
        <v>120</v>
      </c>
      <c r="F25">
        <v>1</v>
      </c>
      <c r="G25" s="128"/>
    </row>
    <row r="26" spans="1:7" x14ac:dyDescent="0.25">
      <c r="A26" s="174">
        <v>1769</v>
      </c>
      <c r="B26" s="174">
        <v>86</v>
      </c>
      <c r="C26" t="s">
        <v>116</v>
      </c>
      <c r="D26" s="795">
        <v>36540</v>
      </c>
      <c r="E26" t="s">
        <v>1091</v>
      </c>
      <c r="F26">
        <v>1</v>
      </c>
      <c r="G26" s="128"/>
    </row>
    <row r="27" spans="1:7" x14ac:dyDescent="0.25">
      <c r="A27" s="174">
        <v>3865</v>
      </c>
      <c r="B27" s="174">
        <v>0</v>
      </c>
      <c r="C27" t="s">
        <v>1092</v>
      </c>
      <c r="D27" s="795">
        <v>37781</v>
      </c>
      <c r="E27" t="s">
        <v>120</v>
      </c>
      <c r="F27">
        <v>1</v>
      </c>
      <c r="G27" s="128"/>
    </row>
    <row r="28" spans="1:7" x14ac:dyDescent="0.25">
      <c r="A28" s="174">
        <v>1640</v>
      </c>
      <c r="B28" s="174">
        <v>102</v>
      </c>
      <c r="C28" t="s">
        <v>1094</v>
      </c>
      <c r="D28" s="795">
        <v>36644</v>
      </c>
      <c r="E28" t="s">
        <v>105</v>
      </c>
      <c r="F28">
        <v>1</v>
      </c>
      <c r="G28" s="128"/>
    </row>
    <row r="29" spans="1:7" x14ac:dyDescent="0.25">
      <c r="A29" s="174">
        <v>2942</v>
      </c>
      <c r="B29" s="174">
        <v>12</v>
      </c>
      <c r="C29" t="s">
        <v>1095</v>
      </c>
      <c r="D29" s="795">
        <v>36689</v>
      </c>
      <c r="E29" t="s">
        <v>251</v>
      </c>
      <c r="F29">
        <v>1</v>
      </c>
      <c r="G29" s="128"/>
    </row>
    <row r="30" spans="1:7" x14ac:dyDescent="0.25">
      <c r="A30" s="174">
        <v>3677</v>
      </c>
      <c r="B30" s="174">
        <v>0</v>
      </c>
      <c r="C30" t="s">
        <v>1096</v>
      </c>
      <c r="D30" s="795">
        <v>37424</v>
      </c>
      <c r="E30" t="s">
        <v>1063</v>
      </c>
      <c r="F30">
        <v>1</v>
      </c>
      <c r="G30" s="128"/>
    </row>
    <row r="31" spans="1:7" x14ac:dyDescent="0.25">
      <c r="A31" s="174">
        <v>3371</v>
      </c>
      <c r="B31" s="174">
        <v>1</v>
      </c>
      <c r="C31" t="s">
        <v>1098</v>
      </c>
      <c r="D31" s="795">
        <v>36526</v>
      </c>
      <c r="E31" t="s">
        <v>1099</v>
      </c>
      <c r="F31">
        <v>1</v>
      </c>
      <c r="G31" s="128"/>
    </row>
    <row r="32" spans="1:7" x14ac:dyDescent="0.25">
      <c r="A32" s="174">
        <v>3257</v>
      </c>
      <c r="B32" s="174">
        <v>3</v>
      </c>
      <c r="C32" t="s">
        <v>1100</v>
      </c>
      <c r="D32" s="795">
        <v>37223</v>
      </c>
      <c r="E32" t="s">
        <v>231</v>
      </c>
      <c r="F32">
        <v>1</v>
      </c>
      <c r="G32" s="128"/>
    </row>
    <row r="33" spans="1:7" x14ac:dyDescent="0.25">
      <c r="A33" s="174">
        <v>3745</v>
      </c>
      <c r="B33" s="174">
        <v>0</v>
      </c>
      <c r="C33" t="s">
        <v>1101</v>
      </c>
      <c r="D33" s="795">
        <v>37142</v>
      </c>
      <c r="E33" t="s">
        <v>227</v>
      </c>
      <c r="F33">
        <v>1</v>
      </c>
      <c r="G33" s="128"/>
    </row>
    <row r="34" spans="1:7" x14ac:dyDescent="0.25">
      <c r="A34" s="174">
        <v>3424</v>
      </c>
      <c r="B34" s="174">
        <v>0</v>
      </c>
      <c r="C34" t="s">
        <v>1102</v>
      </c>
      <c r="D34" s="795">
        <v>37842</v>
      </c>
      <c r="E34" t="s">
        <v>105</v>
      </c>
      <c r="F34">
        <v>1</v>
      </c>
      <c r="G34" s="128"/>
    </row>
    <row r="35" spans="1:7" x14ac:dyDescent="0.25">
      <c r="A35" s="174">
        <v>3016</v>
      </c>
      <c r="B35" s="174">
        <v>10</v>
      </c>
      <c r="C35" t="s">
        <v>1106</v>
      </c>
      <c r="D35" s="795">
        <v>36946</v>
      </c>
      <c r="E35" t="s">
        <v>1107</v>
      </c>
      <c r="F35">
        <v>1</v>
      </c>
      <c r="G35" s="128"/>
    </row>
    <row r="36" spans="1:7" x14ac:dyDescent="0.25">
      <c r="A36" s="174">
        <v>1006</v>
      </c>
      <c r="B36" s="174">
        <v>236</v>
      </c>
      <c r="C36" t="s">
        <v>123</v>
      </c>
      <c r="D36" s="795">
        <v>36561</v>
      </c>
      <c r="E36" t="s">
        <v>124</v>
      </c>
      <c r="F36">
        <v>1</v>
      </c>
      <c r="G36" s="128"/>
    </row>
    <row r="37" spans="1:7" x14ac:dyDescent="0.25">
      <c r="A37" s="174">
        <v>3213</v>
      </c>
      <c r="B37" s="174">
        <v>4</v>
      </c>
      <c r="C37" t="s">
        <v>1109</v>
      </c>
      <c r="D37" s="795">
        <v>37483</v>
      </c>
      <c r="E37" t="s">
        <v>120</v>
      </c>
      <c r="F37">
        <v>1</v>
      </c>
      <c r="G37" s="128"/>
    </row>
    <row r="38" spans="1:7" x14ac:dyDescent="0.25">
      <c r="A38" s="174">
        <v>2678</v>
      </c>
      <c r="B38" s="174">
        <v>23</v>
      </c>
      <c r="C38" t="s">
        <v>424</v>
      </c>
      <c r="D38" s="795">
        <v>36534</v>
      </c>
      <c r="E38" t="s">
        <v>113</v>
      </c>
      <c r="F38">
        <v>1</v>
      </c>
      <c r="G38" s="128"/>
    </row>
    <row r="39" spans="1:7" x14ac:dyDescent="0.25">
      <c r="A39" s="174">
        <v>3764</v>
      </c>
      <c r="B39" s="174">
        <v>0</v>
      </c>
      <c r="C39" t="s">
        <v>1110</v>
      </c>
      <c r="D39" s="795">
        <v>37372</v>
      </c>
      <c r="E39" t="s">
        <v>1111</v>
      </c>
      <c r="F39">
        <v>1</v>
      </c>
      <c r="G39" s="128"/>
    </row>
    <row r="40" spans="1:7" x14ac:dyDescent="0.25">
      <c r="A40" s="174">
        <v>1947</v>
      </c>
      <c r="B40" s="174">
        <v>67</v>
      </c>
      <c r="C40" t="s">
        <v>2481</v>
      </c>
      <c r="D40" s="795">
        <v>36649</v>
      </c>
      <c r="E40" t="s">
        <v>105</v>
      </c>
      <c r="F40">
        <v>1</v>
      </c>
      <c r="G40" s="128"/>
    </row>
    <row r="41" spans="1:7" x14ac:dyDescent="0.25">
      <c r="A41" s="174">
        <v>2408</v>
      </c>
      <c r="B41" s="174">
        <v>36</v>
      </c>
      <c r="C41" t="s">
        <v>425</v>
      </c>
      <c r="D41" s="795">
        <v>36775</v>
      </c>
      <c r="E41" t="s">
        <v>74</v>
      </c>
      <c r="F41">
        <v>1</v>
      </c>
      <c r="G41" s="128"/>
    </row>
    <row r="42" spans="1:7" x14ac:dyDescent="0.25">
      <c r="A42" s="174">
        <v>3444</v>
      </c>
      <c r="B42" s="174">
        <v>0</v>
      </c>
      <c r="C42" t="s">
        <v>1113</v>
      </c>
      <c r="D42" s="795">
        <v>37665</v>
      </c>
      <c r="E42" t="s">
        <v>105</v>
      </c>
      <c r="F42">
        <v>1</v>
      </c>
      <c r="G42" s="128"/>
    </row>
    <row r="43" spans="1:7" x14ac:dyDescent="0.25">
      <c r="A43" s="174">
        <v>2108</v>
      </c>
      <c r="B43" s="174">
        <v>53</v>
      </c>
      <c r="C43" t="s">
        <v>426</v>
      </c>
      <c r="D43" s="795">
        <v>36950</v>
      </c>
      <c r="E43" t="s">
        <v>105</v>
      </c>
      <c r="F43">
        <v>1</v>
      </c>
      <c r="G43" s="128"/>
    </row>
    <row r="44" spans="1:7" x14ac:dyDescent="0.25">
      <c r="A44" s="174">
        <v>3813</v>
      </c>
      <c r="B44" s="174">
        <v>0</v>
      </c>
      <c r="C44" t="s">
        <v>426</v>
      </c>
      <c r="D44" s="795">
        <v>36668</v>
      </c>
      <c r="E44" t="s">
        <v>132</v>
      </c>
      <c r="F44">
        <v>1</v>
      </c>
      <c r="G44" s="128"/>
    </row>
    <row r="45" spans="1:7" x14ac:dyDescent="0.25">
      <c r="A45" s="174">
        <v>3122</v>
      </c>
      <c r="B45" s="174">
        <v>6</v>
      </c>
      <c r="C45" t="s">
        <v>1116</v>
      </c>
      <c r="D45" s="795">
        <v>37050</v>
      </c>
      <c r="E45" t="s">
        <v>110</v>
      </c>
      <c r="F45">
        <v>1</v>
      </c>
      <c r="G45" s="128"/>
    </row>
    <row r="46" spans="1:7" x14ac:dyDescent="0.25">
      <c r="A46" s="174">
        <v>2107</v>
      </c>
      <c r="B46" s="174">
        <v>54</v>
      </c>
      <c r="C46" t="s">
        <v>1117</v>
      </c>
      <c r="D46" s="795">
        <v>36771</v>
      </c>
      <c r="E46" t="s">
        <v>113</v>
      </c>
      <c r="F46">
        <v>1</v>
      </c>
      <c r="G46" s="128"/>
    </row>
    <row r="47" spans="1:7" x14ac:dyDescent="0.25">
      <c r="A47" s="174">
        <v>3275</v>
      </c>
      <c r="B47" s="174">
        <v>3</v>
      </c>
      <c r="C47" t="s">
        <v>1119</v>
      </c>
      <c r="D47" s="795">
        <v>36653</v>
      </c>
      <c r="E47" t="s">
        <v>122</v>
      </c>
      <c r="F47">
        <v>1</v>
      </c>
      <c r="G47" s="128"/>
    </row>
    <row r="48" spans="1:7" x14ac:dyDescent="0.25">
      <c r="A48" s="174">
        <v>1956</v>
      </c>
      <c r="B48" s="174">
        <v>66</v>
      </c>
      <c r="C48" t="s">
        <v>1120</v>
      </c>
      <c r="D48" s="795">
        <v>37222</v>
      </c>
      <c r="E48" t="s">
        <v>1121</v>
      </c>
      <c r="F48">
        <v>1</v>
      </c>
      <c r="G48" s="128"/>
    </row>
    <row r="49" spans="1:7" x14ac:dyDescent="0.25">
      <c r="A49" s="174">
        <v>2729</v>
      </c>
      <c r="B49" s="174">
        <v>21</v>
      </c>
      <c r="C49" t="s">
        <v>1122</v>
      </c>
      <c r="D49" s="795">
        <v>37111</v>
      </c>
      <c r="E49" t="s">
        <v>118</v>
      </c>
      <c r="F49">
        <v>1</v>
      </c>
      <c r="G49" s="128"/>
    </row>
    <row r="50" spans="1:7" x14ac:dyDescent="0.25">
      <c r="A50" s="174">
        <v>1739</v>
      </c>
      <c r="B50" s="174">
        <v>90</v>
      </c>
      <c r="C50" t="s">
        <v>1123</v>
      </c>
      <c r="D50" s="795">
        <v>37758</v>
      </c>
      <c r="E50" t="s">
        <v>118</v>
      </c>
      <c r="F50">
        <v>1</v>
      </c>
      <c r="G50" s="128"/>
    </row>
    <row r="51" spans="1:7" x14ac:dyDescent="0.25">
      <c r="A51" s="174">
        <v>2684</v>
      </c>
      <c r="B51" s="174">
        <v>23</v>
      </c>
      <c r="C51" t="s">
        <v>767</v>
      </c>
      <c r="D51" s="795">
        <v>36915</v>
      </c>
      <c r="E51" t="s">
        <v>163</v>
      </c>
      <c r="F51">
        <v>1</v>
      </c>
      <c r="G51" s="128"/>
    </row>
    <row r="52" spans="1:7" x14ac:dyDescent="0.25">
      <c r="A52" s="174">
        <v>3701</v>
      </c>
      <c r="B52" s="174">
        <v>0</v>
      </c>
      <c r="C52" t="s">
        <v>1125</v>
      </c>
      <c r="D52" s="795">
        <v>36526</v>
      </c>
      <c r="E52" t="s">
        <v>128</v>
      </c>
      <c r="F52">
        <v>1</v>
      </c>
      <c r="G52" s="128"/>
    </row>
    <row r="53" spans="1:7" x14ac:dyDescent="0.25">
      <c r="A53" s="174">
        <v>2228</v>
      </c>
      <c r="B53" s="174">
        <v>46</v>
      </c>
      <c r="C53" t="s">
        <v>1126</v>
      </c>
      <c r="D53" s="795">
        <v>37160</v>
      </c>
      <c r="E53" t="s">
        <v>105</v>
      </c>
      <c r="F53">
        <v>1</v>
      </c>
      <c r="G53" s="128"/>
    </row>
    <row r="54" spans="1:7" x14ac:dyDescent="0.25">
      <c r="A54" s="174">
        <v>2167</v>
      </c>
      <c r="B54" s="174">
        <v>49</v>
      </c>
      <c r="C54" t="s">
        <v>131</v>
      </c>
      <c r="D54" s="795">
        <v>36688</v>
      </c>
      <c r="E54" t="s">
        <v>128</v>
      </c>
      <c r="F54">
        <v>1</v>
      </c>
      <c r="G54" s="128"/>
    </row>
    <row r="55" spans="1:7" x14ac:dyDescent="0.25">
      <c r="A55" s="174">
        <v>2374</v>
      </c>
      <c r="B55" s="174">
        <v>38</v>
      </c>
      <c r="C55" t="s">
        <v>631</v>
      </c>
      <c r="D55" s="795">
        <v>36845</v>
      </c>
      <c r="E55" t="s">
        <v>139</v>
      </c>
      <c r="F55">
        <v>1</v>
      </c>
      <c r="G55" s="128"/>
    </row>
    <row r="56" spans="1:7" x14ac:dyDescent="0.25">
      <c r="A56" s="174">
        <v>2023</v>
      </c>
      <c r="B56" s="174">
        <v>60</v>
      </c>
      <c r="C56" t="s">
        <v>1127</v>
      </c>
      <c r="D56" s="795">
        <v>36787</v>
      </c>
      <c r="E56" t="s">
        <v>105</v>
      </c>
      <c r="F56">
        <v>1</v>
      </c>
      <c r="G56" s="128"/>
    </row>
    <row r="57" spans="1:7" x14ac:dyDescent="0.25">
      <c r="A57" s="174">
        <v>2616</v>
      </c>
      <c r="B57" s="174">
        <v>26</v>
      </c>
      <c r="C57" t="s">
        <v>768</v>
      </c>
      <c r="D57" s="795">
        <v>37437</v>
      </c>
      <c r="E57" t="s">
        <v>110</v>
      </c>
      <c r="F57">
        <v>1</v>
      </c>
      <c r="G57" s="128"/>
    </row>
    <row r="58" spans="1:7" x14ac:dyDescent="0.25">
      <c r="A58" s="174">
        <v>1815</v>
      </c>
      <c r="B58" s="174">
        <v>81</v>
      </c>
      <c r="C58" t="s">
        <v>632</v>
      </c>
      <c r="D58" s="795">
        <v>36713</v>
      </c>
      <c r="E58" t="s">
        <v>183</v>
      </c>
      <c r="F58">
        <v>1</v>
      </c>
      <c r="G58" s="128"/>
    </row>
    <row r="59" spans="1:7" x14ac:dyDescent="0.25">
      <c r="A59" s="174">
        <v>2857</v>
      </c>
      <c r="B59" s="174">
        <v>16</v>
      </c>
      <c r="C59" t="s">
        <v>1130</v>
      </c>
      <c r="D59" s="795">
        <v>36965</v>
      </c>
      <c r="E59" t="s">
        <v>105</v>
      </c>
      <c r="F59">
        <v>1</v>
      </c>
      <c r="G59" s="128"/>
    </row>
    <row r="60" spans="1:7" x14ac:dyDescent="0.25">
      <c r="A60" s="174">
        <v>2350</v>
      </c>
      <c r="B60" s="174">
        <v>40</v>
      </c>
      <c r="C60" t="s">
        <v>378</v>
      </c>
      <c r="D60" s="795">
        <v>37257</v>
      </c>
      <c r="E60" t="s">
        <v>105</v>
      </c>
      <c r="F60">
        <v>1</v>
      </c>
      <c r="G60" s="128"/>
    </row>
    <row r="61" spans="1:7" x14ac:dyDescent="0.25">
      <c r="A61" s="174">
        <v>3409</v>
      </c>
      <c r="B61" s="174">
        <v>0</v>
      </c>
      <c r="C61" t="s">
        <v>1131</v>
      </c>
      <c r="D61" s="795">
        <v>36979</v>
      </c>
      <c r="E61" t="s">
        <v>105</v>
      </c>
      <c r="F61">
        <v>1</v>
      </c>
      <c r="G61" s="128"/>
    </row>
    <row r="62" spans="1:7" x14ac:dyDescent="0.25">
      <c r="A62" s="174">
        <v>1793</v>
      </c>
      <c r="B62" s="174">
        <v>84</v>
      </c>
      <c r="C62" t="s">
        <v>429</v>
      </c>
      <c r="D62" s="795">
        <v>37216</v>
      </c>
      <c r="E62" t="s">
        <v>105</v>
      </c>
      <c r="F62">
        <v>1</v>
      </c>
      <c r="G62" s="128"/>
    </row>
    <row r="63" spans="1:7" x14ac:dyDescent="0.25">
      <c r="A63" s="174">
        <v>2265</v>
      </c>
      <c r="B63" s="174">
        <v>44</v>
      </c>
      <c r="C63" t="s">
        <v>430</v>
      </c>
      <c r="D63" s="795">
        <v>36995</v>
      </c>
      <c r="E63" t="s">
        <v>1089</v>
      </c>
      <c r="F63">
        <v>1</v>
      </c>
      <c r="G63" s="128"/>
    </row>
    <row r="64" spans="1:7" x14ac:dyDescent="0.25">
      <c r="A64" s="174">
        <v>2015</v>
      </c>
      <c r="B64" s="174">
        <v>60</v>
      </c>
      <c r="C64" t="s">
        <v>431</v>
      </c>
      <c r="D64" s="795">
        <v>36689</v>
      </c>
      <c r="E64" t="s">
        <v>1121</v>
      </c>
      <c r="F64">
        <v>1</v>
      </c>
      <c r="G64" s="128"/>
    </row>
    <row r="65" spans="1:7" x14ac:dyDescent="0.25">
      <c r="A65" s="174">
        <v>2261</v>
      </c>
      <c r="B65" s="174">
        <v>44</v>
      </c>
      <c r="C65" t="s">
        <v>134</v>
      </c>
      <c r="D65" s="795">
        <v>36622</v>
      </c>
      <c r="E65" t="s">
        <v>105</v>
      </c>
      <c r="F65">
        <v>1</v>
      </c>
      <c r="G65" s="128"/>
    </row>
    <row r="66" spans="1:7" x14ac:dyDescent="0.25">
      <c r="A66" s="174">
        <v>3176</v>
      </c>
      <c r="B66" s="174">
        <v>5</v>
      </c>
      <c r="C66" t="s">
        <v>1134</v>
      </c>
      <c r="D66" s="795">
        <v>37133</v>
      </c>
      <c r="E66" t="s">
        <v>118</v>
      </c>
      <c r="F66">
        <v>1</v>
      </c>
      <c r="G66" s="128"/>
    </row>
    <row r="67" spans="1:7" x14ac:dyDescent="0.25">
      <c r="A67" s="174">
        <v>2770</v>
      </c>
      <c r="B67" s="174">
        <v>19</v>
      </c>
      <c r="C67" t="s">
        <v>135</v>
      </c>
      <c r="D67" s="795">
        <v>36615</v>
      </c>
      <c r="E67" t="s">
        <v>110</v>
      </c>
      <c r="F67">
        <v>1</v>
      </c>
      <c r="G67" s="128"/>
    </row>
    <row r="68" spans="1:7" x14ac:dyDescent="0.25">
      <c r="A68" s="174">
        <v>2340</v>
      </c>
      <c r="B68" s="174">
        <v>40</v>
      </c>
      <c r="C68" t="s">
        <v>1135</v>
      </c>
      <c r="D68" s="795">
        <v>36892</v>
      </c>
      <c r="E68" t="s">
        <v>103</v>
      </c>
      <c r="F68">
        <v>1</v>
      </c>
      <c r="G68" s="128"/>
    </row>
    <row r="69" spans="1:7" x14ac:dyDescent="0.25">
      <c r="A69" s="174">
        <v>3605</v>
      </c>
      <c r="B69" s="174">
        <v>0</v>
      </c>
      <c r="C69" t="s">
        <v>2427</v>
      </c>
      <c r="D69" s="795">
        <v>37180</v>
      </c>
      <c r="E69" t="s">
        <v>165</v>
      </c>
      <c r="F69">
        <v>1</v>
      </c>
      <c r="G69" s="128"/>
    </row>
    <row r="70" spans="1:7" x14ac:dyDescent="0.25">
      <c r="A70" s="174">
        <v>3718</v>
      </c>
      <c r="B70" s="174">
        <v>0</v>
      </c>
      <c r="C70" t="s">
        <v>1137</v>
      </c>
      <c r="D70" s="795">
        <v>36526</v>
      </c>
      <c r="E70" t="s">
        <v>1129</v>
      </c>
      <c r="F70">
        <v>1</v>
      </c>
      <c r="G70" s="128"/>
    </row>
    <row r="71" spans="1:7" x14ac:dyDescent="0.25">
      <c r="A71" s="174">
        <v>3105</v>
      </c>
      <c r="B71" s="174">
        <v>7</v>
      </c>
      <c r="C71" t="s">
        <v>1138</v>
      </c>
      <c r="D71" s="795">
        <v>36616</v>
      </c>
      <c r="E71" t="s">
        <v>105</v>
      </c>
      <c r="F71">
        <v>1</v>
      </c>
      <c r="G71" s="128"/>
    </row>
    <row r="72" spans="1:7" x14ac:dyDescent="0.25">
      <c r="A72" s="174">
        <v>1917</v>
      </c>
      <c r="B72" s="174">
        <v>71</v>
      </c>
      <c r="C72" t="s">
        <v>1140</v>
      </c>
      <c r="D72" s="795">
        <v>37321</v>
      </c>
      <c r="E72" t="s">
        <v>227</v>
      </c>
      <c r="F72">
        <v>1</v>
      </c>
      <c r="G72" s="128"/>
    </row>
    <row r="73" spans="1:7" x14ac:dyDescent="0.25">
      <c r="A73" s="174">
        <v>1539</v>
      </c>
      <c r="B73" s="174">
        <v>121</v>
      </c>
      <c r="C73" t="s">
        <v>1141</v>
      </c>
      <c r="D73" s="795">
        <v>36647</v>
      </c>
      <c r="E73" t="s">
        <v>1142</v>
      </c>
      <c r="F73">
        <v>1</v>
      </c>
      <c r="G73" s="128"/>
    </row>
    <row r="74" spans="1:7" x14ac:dyDescent="0.25">
      <c r="A74" s="174">
        <v>3531</v>
      </c>
      <c r="B74" s="174">
        <v>0</v>
      </c>
      <c r="C74" t="s">
        <v>2482</v>
      </c>
      <c r="D74" s="795">
        <v>37077</v>
      </c>
      <c r="E74" t="s">
        <v>1222</v>
      </c>
      <c r="F74">
        <v>1</v>
      </c>
      <c r="G74" s="128"/>
    </row>
    <row r="75" spans="1:7" x14ac:dyDescent="0.25">
      <c r="A75" s="174">
        <v>3901</v>
      </c>
      <c r="B75" s="174">
        <v>0</v>
      </c>
      <c r="C75" t="s">
        <v>1144</v>
      </c>
      <c r="D75" s="795">
        <v>37134</v>
      </c>
      <c r="E75" t="s">
        <v>1145</v>
      </c>
      <c r="F75">
        <v>1</v>
      </c>
      <c r="G75" s="128"/>
    </row>
    <row r="76" spans="1:7" x14ac:dyDescent="0.25">
      <c r="A76" s="174">
        <v>1612</v>
      </c>
      <c r="B76" s="174">
        <v>107</v>
      </c>
      <c r="C76" t="s">
        <v>432</v>
      </c>
      <c r="D76" s="795">
        <v>36542</v>
      </c>
      <c r="E76" t="s">
        <v>99</v>
      </c>
      <c r="F76">
        <v>1</v>
      </c>
      <c r="G76" s="128"/>
    </row>
    <row r="77" spans="1:7" x14ac:dyDescent="0.25">
      <c r="A77" s="174">
        <v>2212</v>
      </c>
      <c r="B77" s="174">
        <v>47</v>
      </c>
      <c r="C77" t="s">
        <v>1146</v>
      </c>
      <c r="D77" s="795">
        <v>36911</v>
      </c>
      <c r="E77" t="s">
        <v>113</v>
      </c>
      <c r="F77">
        <v>1</v>
      </c>
      <c r="G77" s="128"/>
    </row>
    <row r="78" spans="1:7" x14ac:dyDescent="0.25">
      <c r="A78" s="174">
        <v>2175</v>
      </c>
      <c r="B78" s="174">
        <v>49</v>
      </c>
      <c r="C78" t="s">
        <v>1149</v>
      </c>
      <c r="D78" s="795">
        <v>37406</v>
      </c>
      <c r="E78" t="s">
        <v>1150</v>
      </c>
      <c r="F78">
        <v>1</v>
      </c>
      <c r="G78" s="128"/>
    </row>
    <row r="79" spans="1:7" x14ac:dyDescent="0.25">
      <c r="A79" s="174">
        <v>2099</v>
      </c>
      <c r="B79" s="174">
        <v>54</v>
      </c>
      <c r="C79" t="s">
        <v>434</v>
      </c>
      <c r="D79" s="795">
        <v>36968</v>
      </c>
      <c r="E79" t="s">
        <v>115</v>
      </c>
      <c r="F79">
        <v>1</v>
      </c>
      <c r="G79" s="128"/>
    </row>
    <row r="80" spans="1:7" x14ac:dyDescent="0.25">
      <c r="A80" s="174">
        <v>2602</v>
      </c>
      <c r="B80" s="174">
        <v>27</v>
      </c>
      <c r="C80" t="s">
        <v>1152</v>
      </c>
      <c r="D80" s="795">
        <v>36888</v>
      </c>
      <c r="E80" t="s">
        <v>1153</v>
      </c>
      <c r="F80">
        <v>1</v>
      </c>
      <c r="G80" s="128"/>
    </row>
    <row r="81" spans="1:7" x14ac:dyDescent="0.25">
      <c r="A81" s="174">
        <v>1622</v>
      </c>
      <c r="B81" s="174">
        <v>105</v>
      </c>
      <c r="C81" t="s">
        <v>1154</v>
      </c>
      <c r="D81" s="795">
        <v>36985</v>
      </c>
      <c r="E81" t="s">
        <v>1155</v>
      </c>
      <c r="F81">
        <v>1</v>
      </c>
      <c r="G81" s="128"/>
    </row>
    <row r="82" spans="1:7" x14ac:dyDescent="0.25">
      <c r="A82" s="174">
        <v>3912</v>
      </c>
      <c r="B82" s="174">
        <v>0</v>
      </c>
      <c r="C82" t="s">
        <v>1159</v>
      </c>
      <c r="D82" s="795">
        <v>37320</v>
      </c>
      <c r="E82" t="s">
        <v>117</v>
      </c>
      <c r="F82">
        <v>1</v>
      </c>
      <c r="G82" s="128"/>
    </row>
    <row r="83" spans="1:7" x14ac:dyDescent="0.25">
      <c r="A83" s="174">
        <v>2891</v>
      </c>
      <c r="B83" s="174">
        <v>14</v>
      </c>
      <c r="C83" t="s">
        <v>1161</v>
      </c>
      <c r="D83" s="795">
        <v>37226</v>
      </c>
      <c r="E83" t="s">
        <v>1162</v>
      </c>
      <c r="F83">
        <v>1</v>
      </c>
      <c r="G83" s="128"/>
    </row>
    <row r="84" spans="1:7" x14ac:dyDescent="0.25">
      <c r="A84" s="174">
        <v>2190</v>
      </c>
      <c r="B84" s="174">
        <v>48</v>
      </c>
      <c r="C84" t="s">
        <v>1164</v>
      </c>
      <c r="D84" s="795">
        <v>36970</v>
      </c>
      <c r="E84" t="s">
        <v>1165</v>
      </c>
      <c r="F84">
        <v>1</v>
      </c>
      <c r="G84" s="128"/>
    </row>
    <row r="85" spans="1:7" x14ac:dyDescent="0.25">
      <c r="A85" s="174">
        <v>3574</v>
      </c>
      <c r="B85" s="174">
        <v>0</v>
      </c>
      <c r="C85" t="s">
        <v>1166</v>
      </c>
      <c r="D85" s="795">
        <v>37930</v>
      </c>
      <c r="E85" t="s">
        <v>72</v>
      </c>
      <c r="F85">
        <v>1</v>
      </c>
      <c r="G85" s="128"/>
    </row>
    <row r="86" spans="1:7" x14ac:dyDescent="0.25">
      <c r="A86" s="174">
        <v>2248</v>
      </c>
      <c r="B86" s="174">
        <v>45</v>
      </c>
      <c r="C86" t="s">
        <v>1167</v>
      </c>
      <c r="D86" s="795">
        <v>36663</v>
      </c>
      <c r="E86" t="s">
        <v>1168</v>
      </c>
      <c r="F86">
        <v>1</v>
      </c>
      <c r="G86" s="128"/>
    </row>
    <row r="87" spans="1:7" x14ac:dyDescent="0.25">
      <c r="A87" s="174">
        <v>2838</v>
      </c>
      <c r="B87" s="174">
        <v>16</v>
      </c>
      <c r="C87" t="s">
        <v>436</v>
      </c>
      <c r="D87" s="795">
        <v>36826</v>
      </c>
      <c r="E87" t="s">
        <v>120</v>
      </c>
      <c r="F87">
        <v>1</v>
      </c>
      <c r="G87" s="128"/>
    </row>
    <row r="88" spans="1:7" x14ac:dyDescent="0.25">
      <c r="A88" s="174">
        <v>2637</v>
      </c>
      <c r="B88" s="174">
        <v>25</v>
      </c>
      <c r="C88" t="s">
        <v>1169</v>
      </c>
      <c r="D88" s="795">
        <v>37313</v>
      </c>
      <c r="E88" t="s">
        <v>105</v>
      </c>
      <c r="F88">
        <v>1</v>
      </c>
      <c r="G88" s="128"/>
    </row>
    <row r="89" spans="1:7" x14ac:dyDescent="0.25">
      <c r="A89" s="174">
        <v>3766</v>
      </c>
      <c r="B89" s="174">
        <v>0</v>
      </c>
      <c r="C89" t="s">
        <v>1170</v>
      </c>
      <c r="D89" s="795">
        <v>36724</v>
      </c>
      <c r="E89" t="s">
        <v>1155</v>
      </c>
      <c r="F89">
        <v>1</v>
      </c>
      <c r="G89" s="128"/>
    </row>
    <row r="90" spans="1:7" x14ac:dyDescent="0.25">
      <c r="A90" s="174">
        <v>3746</v>
      </c>
      <c r="B90" s="174">
        <v>0</v>
      </c>
      <c r="C90" t="s">
        <v>1172</v>
      </c>
      <c r="D90" s="795">
        <v>37327</v>
      </c>
      <c r="E90" t="s">
        <v>1107</v>
      </c>
      <c r="F90">
        <v>1</v>
      </c>
      <c r="G90" s="128"/>
    </row>
    <row r="91" spans="1:7" x14ac:dyDescent="0.25">
      <c r="A91" s="174">
        <v>2558</v>
      </c>
      <c r="B91" s="174">
        <v>29</v>
      </c>
      <c r="C91" t="s">
        <v>2483</v>
      </c>
      <c r="D91" s="795">
        <v>37341</v>
      </c>
      <c r="E91" t="s">
        <v>83</v>
      </c>
      <c r="F91">
        <v>1</v>
      </c>
      <c r="G91" s="128"/>
    </row>
    <row r="92" spans="1:7" x14ac:dyDescent="0.25">
      <c r="A92" s="174">
        <v>1463</v>
      </c>
      <c r="B92" s="174">
        <v>133</v>
      </c>
      <c r="C92" t="s">
        <v>1173</v>
      </c>
      <c r="D92" s="795">
        <v>37087</v>
      </c>
      <c r="E92" t="s">
        <v>1174</v>
      </c>
      <c r="F92">
        <v>1</v>
      </c>
      <c r="G92" s="128"/>
    </row>
    <row r="93" spans="1:7" x14ac:dyDescent="0.25">
      <c r="A93" s="174">
        <v>2905</v>
      </c>
      <c r="B93" s="174">
        <v>14</v>
      </c>
      <c r="C93" t="s">
        <v>1175</v>
      </c>
      <c r="D93" s="795">
        <v>36960</v>
      </c>
      <c r="E93" t="s">
        <v>120</v>
      </c>
      <c r="F93">
        <v>1</v>
      </c>
      <c r="G93" s="128"/>
    </row>
    <row r="94" spans="1:7" x14ac:dyDescent="0.25">
      <c r="A94" s="174">
        <v>3381</v>
      </c>
      <c r="B94" s="174">
        <v>0</v>
      </c>
      <c r="C94" t="s">
        <v>150</v>
      </c>
      <c r="D94" s="795">
        <v>36536</v>
      </c>
      <c r="E94" t="s">
        <v>105</v>
      </c>
      <c r="F94">
        <v>1</v>
      </c>
      <c r="G94" s="128"/>
    </row>
    <row r="95" spans="1:7" x14ac:dyDescent="0.25">
      <c r="A95" s="174">
        <v>2076</v>
      </c>
      <c r="B95" s="174">
        <v>55</v>
      </c>
      <c r="C95" t="s">
        <v>152</v>
      </c>
      <c r="D95" s="795">
        <v>36608</v>
      </c>
      <c r="E95" t="s">
        <v>105</v>
      </c>
      <c r="F95">
        <v>1</v>
      </c>
      <c r="G95" s="128"/>
    </row>
    <row r="96" spans="1:7" x14ac:dyDescent="0.25">
      <c r="A96" s="174">
        <v>2594</v>
      </c>
      <c r="B96" s="174">
        <v>27</v>
      </c>
      <c r="C96" t="s">
        <v>1179</v>
      </c>
      <c r="D96" s="795">
        <v>37763</v>
      </c>
      <c r="E96" t="s">
        <v>99</v>
      </c>
      <c r="F96">
        <v>1</v>
      </c>
      <c r="G96" s="128"/>
    </row>
    <row r="97" spans="1:7" x14ac:dyDescent="0.25">
      <c r="A97" s="174">
        <v>2914</v>
      </c>
      <c r="B97" s="174">
        <v>13</v>
      </c>
      <c r="C97" t="s">
        <v>153</v>
      </c>
      <c r="D97" s="795">
        <v>36652</v>
      </c>
      <c r="E97" t="s">
        <v>105</v>
      </c>
      <c r="F97">
        <v>1</v>
      </c>
      <c r="G97" s="128"/>
    </row>
    <row r="98" spans="1:7" x14ac:dyDescent="0.25">
      <c r="A98" s="174">
        <v>2934</v>
      </c>
      <c r="B98" s="174">
        <v>13</v>
      </c>
      <c r="C98" t="s">
        <v>1180</v>
      </c>
      <c r="D98" s="795">
        <v>37382</v>
      </c>
      <c r="E98" t="s">
        <v>126</v>
      </c>
      <c r="F98">
        <v>1</v>
      </c>
      <c r="G98" s="128"/>
    </row>
    <row r="99" spans="1:7" x14ac:dyDescent="0.25">
      <c r="A99" s="174">
        <v>2106</v>
      </c>
      <c r="B99" s="174">
        <v>54</v>
      </c>
      <c r="C99" t="s">
        <v>1181</v>
      </c>
      <c r="D99" s="795">
        <v>37328</v>
      </c>
      <c r="E99" t="s">
        <v>1078</v>
      </c>
      <c r="F99">
        <v>1</v>
      </c>
      <c r="G99" s="128"/>
    </row>
    <row r="100" spans="1:7" x14ac:dyDescent="0.25">
      <c r="A100" s="174">
        <v>2291</v>
      </c>
      <c r="B100" s="174">
        <v>43</v>
      </c>
      <c r="C100" t="s">
        <v>156</v>
      </c>
      <c r="D100" s="795">
        <v>36720</v>
      </c>
      <c r="E100" t="s">
        <v>165</v>
      </c>
      <c r="F100">
        <v>1</v>
      </c>
      <c r="G100" s="128"/>
    </row>
    <row r="101" spans="1:7" x14ac:dyDescent="0.25">
      <c r="A101" s="174">
        <v>2950</v>
      </c>
      <c r="B101" s="174">
        <v>12</v>
      </c>
      <c r="C101" t="s">
        <v>1183</v>
      </c>
      <c r="D101" s="795">
        <v>37135</v>
      </c>
      <c r="E101" t="s">
        <v>1184</v>
      </c>
      <c r="F101">
        <v>1</v>
      </c>
      <c r="G101" s="128"/>
    </row>
    <row r="102" spans="1:7" x14ac:dyDescent="0.25">
      <c r="A102" s="174">
        <v>2405</v>
      </c>
      <c r="B102" s="174">
        <v>37</v>
      </c>
      <c r="C102" t="s">
        <v>1185</v>
      </c>
      <c r="D102" s="795">
        <v>37773</v>
      </c>
      <c r="E102" t="s">
        <v>99</v>
      </c>
      <c r="F102">
        <v>1</v>
      </c>
      <c r="G102" s="128"/>
    </row>
    <row r="103" spans="1:7" x14ac:dyDescent="0.25">
      <c r="A103" s="174">
        <v>2718</v>
      </c>
      <c r="B103" s="174">
        <v>21</v>
      </c>
      <c r="C103" t="s">
        <v>634</v>
      </c>
      <c r="D103" s="795">
        <v>36955</v>
      </c>
      <c r="E103" t="s">
        <v>99</v>
      </c>
      <c r="F103">
        <v>1</v>
      </c>
      <c r="G103" s="128"/>
    </row>
    <row r="104" spans="1:7" x14ac:dyDescent="0.25">
      <c r="A104" s="174">
        <v>3328</v>
      </c>
      <c r="B104" s="174">
        <v>1</v>
      </c>
      <c r="C104" t="s">
        <v>1187</v>
      </c>
      <c r="D104" s="795">
        <v>36669</v>
      </c>
      <c r="E104" t="s">
        <v>103</v>
      </c>
      <c r="F104">
        <v>1</v>
      </c>
      <c r="G104" s="128"/>
    </row>
    <row r="105" spans="1:7" x14ac:dyDescent="0.25">
      <c r="A105" s="174">
        <v>3669</v>
      </c>
      <c r="B105" s="174">
        <v>0</v>
      </c>
      <c r="C105" t="s">
        <v>1188</v>
      </c>
      <c r="D105" s="795">
        <v>37090</v>
      </c>
      <c r="E105" t="s">
        <v>1063</v>
      </c>
      <c r="F105">
        <v>1</v>
      </c>
      <c r="G105" s="128"/>
    </row>
    <row r="106" spans="1:7" x14ac:dyDescent="0.25">
      <c r="A106" s="174">
        <v>2795</v>
      </c>
      <c r="B106" s="174">
        <v>19</v>
      </c>
      <c r="C106" t="s">
        <v>1190</v>
      </c>
      <c r="D106" s="795">
        <v>37690</v>
      </c>
      <c r="E106" t="s">
        <v>1191</v>
      </c>
      <c r="F106">
        <v>1</v>
      </c>
      <c r="G106" s="128"/>
    </row>
    <row r="107" spans="1:7" x14ac:dyDescent="0.25">
      <c r="A107" s="174">
        <v>2537</v>
      </c>
      <c r="B107" s="174">
        <v>30</v>
      </c>
      <c r="C107" t="s">
        <v>635</v>
      </c>
      <c r="D107" s="795">
        <v>36800</v>
      </c>
      <c r="E107" t="s">
        <v>105</v>
      </c>
      <c r="F107">
        <v>1</v>
      </c>
      <c r="G107" s="128"/>
    </row>
    <row r="108" spans="1:7" x14ac:dyDescent="0.25">
      <c r="A108" s="174">
        <v>3583</v>
      </c>
      <c r="B108" s="174">
        <v>0</v>
      </c>
      <c r="C108" t="s">
        <v>1194</v>
      </c>
      <c r="D108" s="795">
        <v>37726</v>
      </c>
      <c r="E108" t="s">
        <v>120</v>
      </c>
      <c r="F108">
        <v>1</v>
      </c>
      <c r="G108" s="128"/>
    </row>
    <row r="109" spans="1:7" x14ac:dyDescent="0.25">
      <c r="A109" s="174">
        <v>1175</v>
      </c>
      <c r="B109" s="174">
        <v>192</v>
      </c>
      <c r="C109" t="s">
        <v>162</v>
      </c>
      <c r="D109" s="795">
        <v>36544</v>
      </c>
      <c r="E109" t="s">
        <v>1097</v>
      </c>
      <c r="F109">
        <v>1</v>
      </c>
      <c r="G109" s="128"/>
    </row>
    <row r="110" spans="1:7" x14ac:dyDescent="0.25">
      <c r="A110" s="174">
        <v>1649</v>
      </c>
      <c r="B110" s="174">
        <v>101</v>
      </c>
      <c r="C110" t="s">
        <v>1195</v>
      </c>
      <c r="D110" s="795">
        <v>36872</v>
      </c>
      <c r="E110" t="s">
        <v>126</v>
      </c>
      <c r="F110">
        <v>1</v>
      </c>
      <c r="G110" s="128"/>
    </row>
    <row r="111" spans="1:7" x14ac:dyDescent="0.25">
      <c r="A111" s="174">
        <v>3049</v>
      </c>
      <c r="B111" s="174">
        <v>9</v>
      </c>
      <c r="C111" t="s">
        <v>1196</v>
      </c>
      <c r="D111" s="795">
        <v>37501</v>
      </c>
      <c r="E111" t="s">
        <v>1089</v>
      </c>
      <c r="F111">
        <v>1</v>
      </c>
      <c r="G111" s="128"/>
    </row>
    <row r="112" spans="1:7" x14ac:dyDescent="0.25">
      <c r="A112" s="174">
        <v>3407</v>
      </c>
      <c r="B112" s="174">
        <v>0</v>
      </c>
      <c r="C112" t="s">
        <v>1198</v>
      </c>
      <c r="D112" s="795">
        <v>37775</v>
      </c>
      <c r="E112" t="s">
        <v>1199</v>
      </c>
      <c r="F112">
        <v>1</v>
      </c>
      <c r="G112" s="128"/>
    </row>
    <row r="113" spans="1:7" x14ac:dyDescent="0.25">
      <c r="A113" s="174">
        <v>3634</v>
      </c>
      <c r="B113" s="174">
        <v>0</v>
      </c>
      <c r="C113" t="s">
        <v>1200</v>
      </c>
      <c r="D113" s="795">
        <v>37446</v>
      </c>
      <c r="E113" t="s">
        <v>105</v>
      </c>
      <c r="F113">
        <v>1</v>
      </c>
      <c r="G113" s="128"/>
    </row>
    <row r="114" spans="1:7" x14ac:dyDescent="0.25">
      <c r="A114" s="174">
        <v>3913</v>
      </c>
      <c r="B114" s="174">
        <v>0</v>
      </c>
      <c r="C114" t="s">
        <v>1201</v>
      </c>
      <c r="D114" s="795">
        <v>37773</v>
      </c>
      <c r="E114" t="s">
        <v>1202</v>
      </c>
      <c r="F114">
        <v>1</v>
      </c>
      <c r="G114" s="128"/>
    </row>
    <row r="115" spans="1:7" x14ac:dyDescent="0.25">
      <c r="A115" s="174">
        <v>1454</v>
      </c>
      <c r="B115" s="174">
        <v>134</v>
      </c>
      <c r="C115" t="s">
        <v>380</v>
      </c>
      <c r="D115" s="795">
        <v>36729</v>
      </c>
      <c r="E115" t="s">
        <v>120</v>
      </c>
      <c r="F115">
        <v>1</v>
      </c>
      <c r="G115" s="128"/>
    </row>
    <row r="116" spans="1:7" x14ac:dyDescent="0.25">
      <c r="A116" s="174">
        <v>1945</v>
      </c>
      <c r="B116" s="174">
        <v>68</v>
      </c>
      <c r="C116" t="s">
        <v>770</v>
      </c>
      <c r="D116" s="795">
        <v>37075</v>
      </c>
      <c r="E116" t="s">
        <v>109</v>
      </c>
      <c r="F116">
        <v>1</v>
      </c>
      <c r="G116" s="128"/>
    </row>
    <row r="117" spans="1:7" x14ac:dyDescent="0.25">
      <c r="A117" s="174">
        <v>3594</v>
      </c>
      <c r="B117" s="174">
        <v>0</v>
      </c>
      <c r="C117" t="s">
        <v>2428</v>
      </c>
      <c r="D117" s="795">
        <v>37180</v>
      </c>
      <c r="E117" t="s">
        <v>1204</v>
      </c>
      <c r="F117">
        <v>1</v>
      </c>
      <c r="G117" s="128"/>
    </row>
    <row r="118" spans="1:7" x14ac:dyDescent="0.25">
      <c r="A118" s="174">
        <v>3443</v>
      </c>
      <c r="B118" s="174">
        <v>0</v>
      </c>
      <c r="C118" t="s">
        <v>1203</v>
      </c>
      <c r="D118" s="795">
        <v>37629</v>
      </c>
      <c r="E118" t="s">
        <v>1204</v>
      </c>
      <c r="F118">
        <v>1</v>
      </c>
      <c r="G118" s="128"/>
    </row>
    <row r="119" spans="1:7" x14ac:dyDescent="0.25">
      <c r="A119" s="174">
        <v>3178</v>
      </c>
      <c r="B119" s="174">
        <v>5</v>
      </c>
      <c r="C119" t="s">
        <v>1205</v>
      </c>
      <c r="D119" s="795">
        <v>36596</v>
      </c>
      <c r="E119" t="s">
        <v>105</v>
      </c>
      <c r="F119">
        <v>1</v>
      </c>
      <c r="G119" s="128"/>
    </row>
    <row r="120" spans="1:7" x14ac:dyDescent="0.25">
      <c r="A120" s="174">
        <v>2362</v>
      </c>
      <c r="B120" s="174">
        <v>39</v>
      </c>
      <c r="C120" t="s">
        <v>1206</v>
      </c>
      <c r="D120" s="795">
        <v>36797</v>
      </c>
      <c r="E120" t="s">
        <v>614</v>
      </c>
      <c r="F120">
        <v>1</v>
      </c>
      <c r="G120" s="128"/>
    </row>
    <row r="121" spans="1:7" x14ac:dyDescent="0.25">
      <c r="A121" s="174">
        <v>3461</v>
      </c>
      <c r="B121" s="174">
        <v>0</v>
      </c>
      <c r="C121" t="s">
        <v>2484</v>
      </c>
      <c r="D121" s="795">
        <v>36892</v>
      </c>
      <c r="E121" t="s">
        <v>122</v>
      </c>
      <c r="F121">
        <v>1</v>
      </c>
      <c r="G121" s="128"/>
    </row>
    <row r="122" spans="1:7" x14ac:dyDescent="0.25">
      <c r="A122" s="174">
        <v>783</v>
      </c>
      <c r="B122" s="174">
        <v>320</v>
      </c>
      <c r="C122" t="s">
        <v>167</v>
      </c>
      <c r="D122" s="795">
        <v>36669</v>
      </c>
      <c r="E122" t="s">
        <v>103</v>
      </c>
      <c r="F122">
        <v>1</v>
      </c>
      <c r="G122" s="128"/>
    </row>
    <row r="123" spans="1:7" x14ac:dyDescent="0.25">
      <c r="A123" s="174">
        <v>2915</v>
      </c>
      <c r="B123" s="174">
        <v>13</v>
      </c>
      <c r="C123" t="s">
        <v>381</v>
      </c>
      <c r="D123" s="795">
        <v>36850</v>
      </c>
      <c r="E123" t="s">
        <v>1143</v>
      </c>
      <c r="F123">
        <v>1</v>
      </c>
      <c r="G123" s="128"/>
    </row>
    <row r="124" spans="1:7" x14ac:dyDescent="0.25">
      <c r="A124" s="174">
        <v>3592</v>
      </c>
      <c r="B124" s="174">
        <v>0</v>
      </c>
      <c r="C124" t="s">
        <v>2429</v>
      </c>
      <c r="D124" s="795">
        <v>36691</v>
      </c>
      <c r="E124" t="s">
        <v>1165</v>
      </c>
      <c r="F124">
        <v>1</v>
      </c>
      <c r="G124" s="128"/>
    </row>
    <row r="125" spans="1:7" x14ac:dyDescent="0.25">
      <c r="A125" s="174">
        <v>3673</v>
      </c>
      <c r="B125" s="174">
        <v>0</v>
      </c>
      <c r="C125" t="s">
        <v>1208</v>
      </c>
      <c r="D125" s="795">
        <v>37622</v>
      </c>
      <c r="E125" t="s">
        <v>136</v>
      </c>
      <c r="F125">
        <v>1</v>
      </c>
      <c r="G125" s="128"/>
    </row>
    <row r="126" spans="1:7" x14ac:dyDescent="0.25">
      <c r="A126" s="174">
        <v>3814</v>
      </c>
      <c r="B126" s="174">
        <v>0</v>
      </c>
      <c r="C126" t="s">
        <v>1209</v>
      </c>
      <c r="D126" s="795">
        <v>37500</v>
      </c>
      <c r="E126" t="s">
        <v>133</v>
      </c>
      <c r="F126">
        <v>1</v>
      </c>
      <c r="G126" s="128"/>
    </row>
    <row r="127" spans="1:7" x14ac:dyDescent="0.25">
      <c r="A127" s="174">
        <v>3841</v>
      </c>
      <c r="B127" s="174">
        <v>0</v>
      </c>
      <c r="C127" t="s">
        <v>1210</v>
      </c>
      <c r="D127" s="795">
        <v>37244</v>
      </c>
      <c r="E127" t="s">
        <v>138</v>
      </c>
      <c r="F127">
        <v>1</v>
      </c>
      <c r="G127" s="128"/>
    </row>
    <row r="128" spans="1:7" x14ac:dyDescent="0.25">
      <c r="A128" s="174">
        <v>3854</v>
      </c>
      <c r="B128" s="174">
        <v>0</v>
      </c>
      <c r="C128" t="s">
        <v>1211</v>
      </c>
      <c r="D128" s="795">
        <v>37244</v>
      </c>
      <c r="E128" t="s">
        <v>138</v>
      </c>
      <c r="F128">
        <v>1</v>
      </c>
      <c r="G128" s="128"/>
    </row>
    <row r="129" spans="1:7" x14ac:dyDescent="0.25">
      <c r="A129" s="174">
        <v>2899</v>
      </c>
      <c r="B129" s="174">
        <v>14</v>
      </c>
      <c r="C129" t="s">
        <v>1212</v>
      </c>
      <c r="D129" s="795">
        <v>37194</v>
      </c>
      <c r="E129" t="s">
        <v>105</v>
      </c>
      <c r="F129">
        <v>1</v>
      </c>
      <c r="G129" s="128"/>
    </row>
    <row r="130" spans="1:7" x14ac:dyDescent="0.25">
      <c r="A130" s="174">
        <v>3561</v>
      </c>
      <c r="B130" s="174">
        <v>0</v>
      </c>
      <c r="C130" t="s">
        <v>1213</v>
      </c>
      <c r="D130" s="795">
        <v>36935</v>
      </c>
      <c r="E130" t="s">
        <v>1214</v>
      </c>
      <c r="F130">
        <v>1</v>
      </c>
      <c r="G130" s="128"/>
    </row>
    <row r="131" spans="1:7" x14ac:dyDescent="0.25">
      <c r="A131" s="174">
        <v>2164</v>
      </c>
      <c r="B131" s="174">
        <v>50</v>
      </c>
      <c r="C131" t="s">
        <v>1215</v>
      </c>
      <c r="D131" s="795">
        <v>37278</v>
      </c>
      <c r="E131" t="s">
        <v>99</v>
      </c>
      <c r="F131">
        <v>1</v>
      </c>
      <c r="G131" s="128"/>
    </row>
    <row r="132" spans="1:7" x14ac:dyDescent="0.25">
      <c r="A132" s="174">
        <v>2479</v>
      </c>
      <c r="B132" s="174">
        <v>33</v>
      </c>
      <c r="C132" t="s">
        <v>1216</v>
      </c>
      <c r="D132" s="795">
        <v>36750</v>
      </c>
      <c r="E132" t="s">
        <v>72</v>
      </c>
      <c r="F132">
        <v>1</v>
      </c>
      <c r="G132" s="128"/>
    </row>
    <row r="133" spans="1:7" x14ac:dyDescent="0.25">
      <c r="A133" s="174">
        <v>3723</v>
      </c>
      <c r="B133" s="174">
        <v>0</v>
      </c>
      <c r="C133" t="s">
        <v>1217</v>
      </c>
      <c r="D133" s="795">
        <v>37162</v>
      </c>
      <c r="E133" t="s">
        <v>105</v>
      </c>
      <c r="F133">
        <v>1</v>
      </c>
      <c r="G133" s="128"/>
    </row>
    <row r="134" spans="1:7" x14ac:dyDescent="0.25">
      <c r="A134" s="174">
        <v>3646</v>
      </c>
      <c r="B134" s="174">
        <v>0</v>
      </c>
      <c r="C134" t="s">
        <v>1219</v>
      </c>
      <c r="D134" s="795">
        <v>37419</v>
      </c>
      <c r="E134" t="s">
        <v>120</v>
      </c>
      <c r="F134">
        <v>1</v>
      </c>
      <c r="G134" s="128"/>
    </row>
    <row r="135" spans="1:7" x14ac:dyDescent="0.25">
      <c r="A135" s="174">
        <v>2583</v>
      </c>
      <c r="B135" s="174">
        <v>28</v>
      </c>
      <c r="C135" t="s">
        <v>636</v>
      </c>
      <c r="D135" s="795">
        <v>37038</v>
      </c>
      <c r="E135" t="s">
        <v>1193</v>
      </c>
      <c r="F135">
        <v>1</v>
      </c>
      <c r="G135" s="128"/>
    </row>
    <row r="136" spans="1:7" x14ac:dyDescent="0.25">
      <c r="A136" s="174">
        <v>2011</v>
      </c>
      <c r="B136" s="174">
        <v>61</v>
      </c>
      <c r="C136" t="s">
        <v>1220</v>
      </c>
      <c r="D136" s="795">
        <v>37553</v>
      </c>
      <c r="E136" t="s">
        <v>213</v>
      </c>
      <c r="F136">
        <v>1</v>
      </c>
      <c r="G136" s="128"/>
    </row>
    <row r="137" spans="1:7" x14ac:dyDescent="0.25">
      <c r="A137" s="174">
        <v>3758</v>
      </c>
      <c r="B137" s="174">
        <v>0</v>
      </c>
      <c r="C137" t="s">
        <v>1221</v>
      </c>
      <c r="D137" s="795">
        <v>36977</v>
      </c>
      <c r="E137" t="s">
        <v>165</v>
      </c>
      <c r="F137">
        <v>1</v>
      </c>
      <c r="G137" s="128"/>
    </row>
    <row r="138" spans="1:7" x14ac:dyDescent="0.25">
      <c r="A138" s="174">
        <v>3748</v>
      </c>
      <c r="B138" s="174">
        <v>0</v>
      </c>
      <c r="C138" t="s">
        <v>1223</v>
      </c>
      <c r="D138" s="795">
        <v>36964</v>
      </c>
      <c r="E138" t="s">
        <v>1163</v>
      </c>
      <c r="F138">
        <v>1</v>
      </c>
      <c r="G138" s="128"/>
    </row>
    <row r="139" spans="1:7" x14ac:dyDescent="0.25">
      <c r="A139" s="174">
        <v>3767</v>
      </c>
      <c r="B139" s="174">
        <v>0</v>
      </c>
      <c r="C139" t="s">
        <v>1224</v>
      </c>
      <c r="D139" s="795">
        <v>37184</v>
      </c>
      <c r="E139" t="s">
        <v>1089</v>
      </c>
      <c r="F139">
        <v>1</v>
      </c>
      <c r="G139" s="128"/>
    </row>
    <row r="140" spans="1:7" x14ac:dyDescent="0.25">
      <c r="A140" s="174">
        <v>3048</v>
      </c>
      <c r="B140" s="174">
        <v>9</v>
      </c>
      <c r="C140" t="s">
        <v>1225</v>
      </c>
      <c r="D140" s="795">
        <v>37425</v>
      </c>
      <c r="E140" t="s">
        <v>1089</v>
      </c>
      <c r="F140">
        <v>1</v>
      </c>
      <c r="G140" s="128"/>
    </row>
    <row r="141" spans="1:7" x14ac:dyDescent="0.25">
      <c r="A141" s="174">
        <v>2060</v>
      </c>
      <c r="B141" s="174">
        <v>56</v>
      </c>
      <c r="C141" t="s">
        <v>382</v>
      </c>
      <c r="D141" s="795">
        <v>36979</v>
      </c>
      <c r="E141" t="s">
        <v>1143</v>
      </c>
      <c r="F141">
        <v>1</v>
      </c>
      <c r="G141" s="128"/>
    </row>
    <row r="142" spans="1:7" x14ac:dyDescent="0.25">
      <c r="A142" s="174">
        <v>3712</v>
      </c>
      <c r="B142" s="174">
        <v>0</v>
      </c>
      <c r="C142" t="s">
        <v>1226</v>
      </c>
      <c r="D142" s="795">
        <v>37257</v>
      </c>
      <c r="E142" t="s">
        <v>1227</v>
      </c>
      <c r="F142">
        <v>1</v>
      </c>
      <c r="G142" s="128"/>
    </row>
    <row r="143" spans="1:7" x14ac:dyDescent="0.25">
      <c r="A143" s="174">
        <v>3349</v>
      </c>
      <c r="B143" s="174">
        <v>1</v>
      </c>
      <c r="C143" t="s">
        <v>1228</v>
      </c>
      <c r="D143" s="795">
        <v>37196</v>
      </c>
      <c r="E143" t="s">
        <v>105</v>
      </c>
      <c r="F143">
        <v>1</v>
      </c>
      <c r="G143" s="128"/>
    </row>
    <row r="144" spans="1:7" x14ac:dyDescent="0.25">
      <c r="A144" s="174">
        <v>2661</v>
      </c>
      <c r="B144" s="174">
        <v>24</v>
      </c>
      <c r="C144" t="s">
        <v>1229</v>
      </c>
      <c r="D144" s="795">
        <v>36680</v>
      </c>
      <c r="E144" t="s">
        <v>113</v>
      </c>
      <c r="F144">
        <v>1</v>
      </c>
      <c r="G144" s="128"/>
    </row>
    <row r="145" spans="1:7" x14ac:dyDescent="0.25">
      <c r="A145" s="174">
        <v>2535</v>
      </c>
      <c r="B145" s="174">
        <v>30</v>
      </c>
      <c r="C145" t="s">
        <v>637</v>
      </c>
      <c r="D145" s="795">
        <v>37176</v>
      </c>
      <c r="E145" t="s">
        <v>99</v>
      </c>
      <c r="F145">
        <v>1</v>
      </c>
      <c r="G145" s="128"/>
    </row>
    <row r="146" spans="1:7" x14ac:dyDescent="0.25">
      <c r="A146" s="174">
        <v>3489</v>
      </c>
      <c r="B146" s="174">
        <v>0</v>
      </c>
      <c r="C146" t="s">
        <v>2430</v>
      </c>
      <c r="D146" s="795">
        <v>37715</v>
      </c>
      <c r="E146" t="s">
        <v>120</v>
      </c>
      <c r="F146">
        <v>1</v>
      </c>
      <c r="G146" s="128"/>
    </row>
    <row r="147" spans="1:7" x14ac:dyDescent="0.25">
      <c r="A147" s="174">
        <v>3148</v>
      </c>
      <c r="B147" s="174">
        <v>6</v>
      </c>
      <c r="C147" t="s">
        <v>1231</v>
      </c>
      <c r="D147" s="795">
        <v>36847</v>
      </c>
      <c r="E147" t="s">
        <v>120</v>
      </c>
      <c r="F147">
        <v>1</v>
      </c>
      <c r="G147" s="128"/>
    </row>
    <row r="148" spans="1:7" x14ac:dyDescent="0.25">
      <c r="A148" s="174">
        <v>3093</v>
      </c>
      <c r="B148" s="174">
        <v>7</v>
      </c>
      <c r="C148" t="s">
        <v>1232</v>
      </c>
      <c r="D148" s="795">
        <v>36707</v>
      </c>
      <c r="E148" t="s">
        <v>120</v>
      </c>
      <c r="F148">
        <v>1</v>
      </c>
      <c r="G148" s="128"/>
    </row>
    <row r="149" spans="1:7" x14ac:dyDescent="0.25">
      <c r="A149" s="174">
        <v>2590</v>
      </c>
      <c r="B149" s="174">
        <v>27</v>
      </c>
      <c r="C149" t="s">
        <v>638</v>
      </c>
      <c r="D149" s="795">
        <v>36820</v>
      </c>
      <c r="E149" t="s">
        <v>99</v>
      </c>
      <c r="F149">
        <v>1</v>
      </c>
      <c r="G149" s="128"/>
    </row>
    <row r="150" spans="1:7" x14ac:dyDescent="0.25">
      <c r="A150" s="174">
        <v>2840</v>
      </c>
      <c r="B150" s="174">
        <v>16</v>
      </c>
      <c r="C150" t="s">
        <v>1235</v>
      </c>
      <c r="D150" s="795">
        <v>36770</v>
      </c>
      <c r="E150" t="s">
        <v>127</v>
      </c>
      <c r="F150">
        <v>1</v>
      </c>
      <c r="G150" s="128"/>
    </row>
    <row r="151" spans="1:7" x14ac:dyDescent="0.25">
      <c r="A151" s="174">
        <v>3558</v>
      </c>
      <c r="B151" s="174">
        <v>0</v>
      </c>
      <c r="C151" t="s">
        <v>1236</v>
      </c>
      <c r="D151" s="795">
        <v>37235</v>
      </c>
      <c r="E151" t="s">
        <v>113</v>
      </c>
      <c r="F151">
        <v>1</v>
      </c>
      <c r="G151" s="128"/>
    </row>
    <row r="152" spans="1:7" x14ac:dyDescent="0.25">
      <c r="A152" s="174">
        <v>2312</v>
      </c>
      <c r="B152" s="174">
        <v>42</v>
      </c>
      <c r="C152" t="s">
        <v>772</v>
      </c>
      <c r="D152" s="795">
        <v>38308</v>
      </c>
      <c r="E152" t="s">
        <v>110</v>
      </c>
      <c r="F152">
        <v>1</v>
      </c>
      <c r="G152" s="128"/>
    </row>
    <row r="153" spans="1:7" x14ac:dyDescent="0.25">
      <c r="A153" s="174">
        <v>3445</v>
      </c>
      <c r="B153" s="174">
        <v>0</v>
      </c>
      <c r="C153" t="s">
        <v>1238</v>
      </c>
      <c r="D153" s="795">
        <v>37474</v>
      </c>
      <c r="E153" t="s">
        <v>105</v>
      </c>
      <c r="F153">
        <v>1</v>
      </c>
      <c r="G153" s="128"/>
    </row>
    <row r="154" spans="1:7" x14ac:dyDescent="0.25">
      <c r="A154" s="174">
        <v>1337</v>
      </c>
      <c r="B154" s="174">
        <v>156</v>
      </c>
      <c r="C154" t="s">
        <v>639</v>
      </c>
      <c r="D154" s="795">
        <v>36579</v>
      </c>
      <c r="E154" t="s">
        <v>111</v>
      </c>
      <c r="F154">
        <v>1</v>
      </c>
      <c r="G154" s="128"/>
    </row>
    <row r="155" spans="1:7" x14ac:dyDescent="0.25">
      <c r="A155" s="174">
        <v>2266</v>
      </c>
      <c r="B155" s="174">
        <v>44</v>
      </c>
      <c r="C155" t="s">
        <v>440</v>
      </c>
      <c r="D155" s="795">
        <v>36584</v>
      </c>
      <c r="E155" t="s">
        <v>1143</v>
      </c>
      <c r="F155">
        <v>1</v>
      </c>
      <c r="G155" s="128"/>
    </row>
    <row r="156" spans="1:7" x14ac:dyDescent="0.25">
      <c r="A156" s="174">
        <v>3761</v>
      </c>
      <c r="B156" s="174">
        <v>0</v>
      </c>
      <c r="C156" t="s">
        <v>1240</v>
      </c>
      <c r="D156" s="795">
        <v>36798</v>
      </c>
      <c r="E156" t="s">
        <v>365</v>
      </c>
      <c r="F156">
        <v>1</v>
      </c>
      <c r="G156" s="128"/>
    </row>
    <row r="157" spans="1:7" x14ac:dyDescent="0.25">
      <c r="A157" s="174">
        <v>2155</v>
      </c>
      <c r="B157" s="174">
        <v>50</v>
      </c>
      <c r="C157" t="s">
        <v>1241</v>
      </c>
      <c r="D157" s="795">
        <v>36650</v>
      </c>
      <c r="E157" t="s">
        <v>376</v>
      </c>
      <c r="F157">
        <v>1</v>
      </c>
      <c r="G157" s="128"/>
    </row>
    <row r="158" spans="1:7" x14ac:dyDescent="0.25">
      <c r="A158" s="174">
        <v>2683</v>
      </c>
      <c r="B158" s="174">
        <v>23</v>
      </c>
      <c r="C158" t="s">
        <v>1242</v>
      </c>
      <c r="D158" s="795">
        <v>37091</v>
      </c>
      <c r="E158" t="s">
        <v>1155</v>
      </c>
      <c r="F158">
        <v>1</v>
      </c>
      <c r="G158" s="128"/>
    </row>
    <row r="159" spans="1:7" x14ac:dyDescent="0.25">
      <c r="A159" s="174">
        <v>2354</v>
      </c>
      <c r="B159" s="174">
        <v>39</v>
      </c>
      <c r="C159" t="s">
        <v>640</v>
      </c>
      <c r="D159" s="795">
        <v>37060</v>
      </c>
      <c r="E159" t="s">
        <v>1204</v>
      </c>
      <c r="F159">
        <v>1</v>
      </c>
      <c r="G159" s="128"/>
    </row>
    <row r="160" spans="1:7" x14ac:dyDescent="0.25">
      <c r="A160" s="174">
        <v>3208</v>
      </c>
      <c r="B160" s="174">
        <v>4</v>
      </c>
      <c r="C160" t="s">
        <v>2431</v>
      </c>
      <c r="D160" s="795">
        <v>37986</v>
      </c>
      <c r="E160" t="s">
        <v>1400</v>
      </c>
      <c r="F160">
        <v>1</v>
      </c>
      <c r="G160" s="128"/>
    </row>
    <row r="161" spans="1:7" x14ac:dyDescent="0.25">
      <c r="A161" s="174">
        <v>3190</v>
      </c>
      <c r="B161" s="174">
        <v>5</v>
      </c>
      <c r="C161" t="s">
        <v>1243</v>
      </c>
      <c r="D161" s="795">
        <v>36605</v>
      </c>
      <c r="E161" t="s">
        <v>164</v>
      </c>
      <c r="F161">
        <v>1</v>
      </c>
      <c r="G161" s="128"/>
    </row>
    <row r="162" spans="1:7" x14ac:dyDescent="0.25">
      <c r="A162" s="174">
        <v>3687</v>
      </c>
      <c r="B162" s="174">
        <v>0</v>
      </c>
      <c r="C162" t="s">
        <v>1244</v>
      </c>
      <c r="D162" s="795">
        <v>37811</v>
      </c>
      <c r="E162" t="s">
        <v>105</v>
      </c>
      <c r="F162">
        <v>1</v>
      </c>
      <c r="G162" s="128"/>
    </row>
    <row r="163" spans="1:7" x14ac:dyDescent="0.25">
      <c r="A163" s="174">
        <v>3595</v>
      </c>
      <c r="B163" s="174">
        <v>0</v>
      </c>
      <c r="C163" t="s">
        <v>2432</v>
      </c>
      <c r="D163" s="795">
        <v>37586</v>
      </c>
      <c r="E163" t="s">
        <v>183</v>
      </c>
      <c r="F163">
        <v>1</v>
      </c>
      <c r="G163" s="128"/>
    </row>
    <row r="164" spans="1:7" x14ac:dyDescent="0.25">
      <c r="A164" s="174">
        <v>3012</v>
      </c>
      <c r="B164" s="174">
        <v>10</v>
      </c>
      <c r="C164" t="s">
        <v>1245</v>
      </c>
      <c r="D164" s="795">
        <v>36926</v>
      </c>
      <c r="E164" t="s">
        <v>208</v>
      </c>
      <c r="F164">
        <v>1</v>
      </c>
      <c r="G164" s="128"/>
    </row>
    <row r="165" spans="1:7" x14ac:dyDescent="0.25">
      <c r="A165" s="174">
        <v>2687</v>
      </c>
      <c r="B165" s="174">
        <v>23</v>
      </c>
      <c r="C165" t="s">
        <v>1246</v>
      </c>
      <c r="D165" s="795">
        <v>37573</v>
      </c>
      <c r="E165" t="s">
        <v>282</v>
      </c>
      <c r="F165">
        <v>1</v>
      </c>
      <c r="G165" s="128"/>
    </row>
    <row r="166" spans="1:7" x14ac:dyDescent="0.25">
      <c r="A166" s="174">
        <v>1619</v>
      </c>
      <c r="B166" s="174">
        <v>105</v>
      </c>
      <c r="C166" t="s">
        <v>383</v>
      </c>
      <c r="D166" s="795">
        <v>36725</v>
      </c>
      <c r="E166" t="s">
        <v>1247</v>
      </c>
      <c r="F166">
        <v>1</v>
      </c>
      <c r="G166" s="128"/>
    </row>
    <row r="167" spans="1:7" x14ac:dyDescent="0.25">
      <c r="A167" s="174">
        <v>1886</v>
      </c>
      <c r="B167" s="174">
        <v>73</v>
      </c>
      <c r="C167" t="s">
        <v>441</v>
      </c>
      <c r="D167" s="795">
        <v>36613</v>
      </c>
      <c r="E167" t="s">
        <v>72</v>
      </c>
      <c r="F167">
        <v>1</v>
      </c>
      <c r="G167" s="128"/>
    </row>
    <row r="168" spans="1:7" x14ac:dyDescent="0.25">
      <c r="A168" s="174">
        <v>3327</v>
      </c>
      <c r="B168" s="174">
        <v>1</v>
      </c>
      <c r="C168" t="s">
        <v>2485</v>
      </c>
      <c r="D168" s="795">
        <v>36526</v>
      </c>
      <c r="E168" t="s">
        <v>122</v>
      </c>
      <c r="F168">
        <v>1</v>
      </c>
      <c r="G168" s="128"/>
    </row>
    <row r="169" spans="1:7" x14ac:dyDescent="0.25">
      <c r="A169" s="174">
        <v>2463</v>
      </c>
      <c r="B169" s="174">
        <v>33</v>
      </c>
      <c r="C169" t="s">
        <v>641</v>
      </c>
      <c r="D169" s="795">
        <v>36775</v>
      </c>
      <c r="E169" t="s">
        <v>1248</v>
      </c>
      <c r="F169">
        <v>1</v>
      </c>
      <c r="G169" s="128"/>
    </row>
    <row r="170" spans="1:7" x14ac:dyDescent="0.25">
      <c r="A170" s="174">
        <v>3369</v>
      </c>
      <c r="B170" s="174">
        <v>1</v>
      </c>
      <c r="C170" t="s">
        <v>1249</v>
      </c>
      <c r="D170" s="795">
        <v>36810</v>
      </c>
      <c r="E170" t="s">
        <v>120</v>
      </c>
      <c r="F170">
        <v>1</v>
      </c>
      <c r="G170" s="128"/>
    </row>
    <row r="171" spans="1:7" x14ac:dyDescent="0.25">
      <c r="A171" s="174">
        <v>2632</v>
      </c>
      <c r="B171" s="174">
        <v>25</v>
      </c>
      <c r="C171" t="s">
        <v>442</v>
      </c>
      <c r="D171" s="795">
        <v>36561</v>
      </c>
      <c r="E171" t="s">
        <v>72</v>
      </c>
      <c r="F171">
        <v>1</v>
      </c>
      <c r="G171" s="128"/>
    </row>
    <row r="172" spans="1:7" x14ac:dyDescent="0.25">
      <c r="A172" s="174">
        <v>2425</v>
      </c>
      <c r="B172" s="174">
        <v>35</v>
      </c>
      <c r="C172" t="s">
        <v>443</v>
      </c>
      <c r="D172" s="795">
        <v>36561</v>
      </c>
      <c r="E172" t="s">
        <v>72</v>
      </c>
      <c r="F172">
        <v>1</v>
      </c>
      <c r="G172" s="128"/>
    </row>
    <row r="173" spans="1:7" x14ac:dyDescent="0.25">
      <c r="A173" s="174">
        <v>3298</v>
      </c>
      <c r="B173" s="174">
        <v>2</v>
      </c>
      <c r="C173" t="s">
        <v>1251</v>
      </c>
      <c r="D173" s="795">
        <v>37684</v>
      </c>
      <c r="E173" t="s">
        <v>120</v>
      </c>
      <c r="F173">
        <v>1</v>
      </c>
      <c r="G173" s="128"/>
    </row>
    <row r="174" spans="1:7" x14ac:dyDescent="0.25">
      <c r="A174" s="174">
        <v>1578</v>
      </c>
      <c r="B174" s="174">
        <v>114</v>
      </c>
      <c r="C174" t="s">
        <v>1253</v>
      </c>
      <c r="D174" s="795">
        <v>37298</v>
      </c>
      <c r="E174" t="s">
        <v>132</v>
      </c>
      <c r="F174">
        <v>1</v>
      </c>
      <c r="G174" s="128"/>
    </row>
    <row r="175" spans="1:7" x14ac:dyDescent="0.25">
      <c r="A175" s="174">
        <v>2233</v>
      </c>
      <c r="B175" s="174">
        <v>46</v>
      </c>
      <c r="C175" t="s">
        <v>1254</v>
      </c>
      <c r="D175" s="795">
        <v>36526</v>
      </c>
      <c r="E175" t="s">
        <v>1255</v>
      </c>
      <c r="F175">
        <v>1</v>
      </c>
      <c r="G175" s="128"/>
    </row>
    <row r="176" spans="1:7" x14ac:dyDescent="0.25">
      <c r="A176" s="174">
        <v>2825</v>
      </c>
      <c r="B176" s="174">
        <v>17</v>
      </c>
      <c r="C176" t="s">
        <v>1256</v>
      </c>
      <c r="D176" s="795">
        <v>37065</v>
      </c>
      <c r="E176" t="s">
        <v>614</v>
      </c>
      <c r="F176">
        <v>1</v>
      </c>
      <c r="G176" s="128"/>
    </row>
    <row r="177" spans="1:7" x14ac:dyDescent="0.25">
      <c r="A177" s="174">
        <v>3532</v>
      </c>
      <c r="B177" s="174">
        <v>0</v>
      </c>
      <c r="C177" t="s">
        <v>2486</v>
      </c>
      <c r="D177" s="795">
        <v>37811</v>
      </c>
      <c r="E177" t="s">
        <v>251</v>
      </c>
      <c r="F177">
        <v>1</v>
      </c>
      <c r="G177" s="128"/>
    </row>
    <row r="178" spans="1:7" x14ac:dyDescent="0.25">
      <c r="A178" s="174">
        <v>2154</v>
      </c>
      <c r="B178" s="174">
        <v>50</v>
      </c>
      <c r="C178" t="s">
        <v>774</v>
      </c>
      <c r="D178" s="795">
        <v>37090</v>
      </c>
      <c r="E178" t="s">
        <v>109</v>
      </c>
      <c r="F178">
        <v>1</v>
      </c>
      <c r="G178" s="128"/>
    </row>
    <row r="179" spans="1:7" x14ac:dyDescent="0.25">
      <c r="A179" s="174">
        <v>2572</v>
      </c>
      <c r="B179" s="174">
        <v>28</v>
      </c>
      <c r="C179" t="s">
        <v>642</v>
      </c>
      <c r="D179" s="795">
        <v>36888</v>
      </c>
      <c r="E179" t="s">
        <v>120</v>
      </c>
      <c r="F179">
        <v>1</v>
      </c>
      <c r="G179" s="128"/>
    </row>
    <row r="180" spans="1:7" x14ac:dyDescent="0.25">
      <c r="A180" s="174">
        <v>1724</v>
      </c>
      <c r="B180" s="174">
        <v>91</v>
      </c>
      <c r="C180" t="s">
        <v>643</v>
      </c>
      <c r="D180" s="795">
        <v>37148</v>
      </c>
      <c r="E180" t="s">
        <v>99</v>
      </c>
      <c r="F180">
        <v>1</v>
      </c>
      <c r="G180" s="128"/>
    </row>
    <row r="181" spans="1:7" x14ac:dyDescent="0.25">
      <c r="A181" s="174">
        <v>3875</v>
      </c>
      <c r="B181" s="174">
        <v>0</v>
      </c>
      <c r="C181" t="s">
        <v>1259</v>
      </c>
      <c r="D181" s="795">
        <v>36526</v>
      </c>
      <c r="E181" t="s">
        <v>137</v>
      </c>
      <c r="F181">
        <v>1</v>
      </c>
      <c r="G181" s="128"/>
    </row>
    <row r="182" spans="1:7" x14ac:dyDescent="0.25">
      <c r="A182" s="174">
        <v>3474</v>
      </c>
      <c r="B182" s="174">
        <v>0</v>
      </c>
      <c r="C182" t="s">
        <v>2487</v>
      </c>
      <c r="D182" s="795">
        <v>36892</v>
      </c>
      <c r="E182" t="s">
        <v>122</v>
      </c>
      <c r="F182">
        <v>1</v>
      </c>
      <c r="G182" s="128"/>
    </row>
    <row r="183" spans="1:7" x14ac:dyDescent="0.25">
      <c r="A183" s="174">
        <v>2640</v>
      </c>
      <c r="B183" s="174">
        <v>25</v>
      </c>
      <c r="C183" t="s">
        <v>2488</v>
      </c>
      <c r="D183" s="795">
        <v>38051</v>
      </c>
      <c r="E183" t="s">
        <v>282</v>
      </c>
      <c r="F183">
        <v>1</v>
      </c>
      <c r="G183" s="128"/>
    </row>
    <row r="184" spans="1:7" x14ac:dyDescent="0.25">
      <c r="A184" s="174">
        <v>3288</v>
      </c>
      <c r="B184" s="174">
        <v>2</v>
      </c>
      <c r="C184" t="s">
        <v>1260</v>
      </c>
      <c r="D184" s="795">
        <v>36594</v>
      </c>
      <c r="E184" t="s">
        <v>1129</v>
      </c>
      <c r="F184">
        <v>1</v>
      </c>
      <c r="G184" s="128"/>
    </row>
    <row r="185" spans="1:7" x14ac:dyDescent="0.25">
      <c r="A185" s="174">
        <v>2277</v>
      </c>
      <c r="B185" s="174">
        <v>44</v>
      </c>
      <c r="C185" t="s">
        <v>1261</v>
      </c>
      <c r="D185" s="795">
        <v>37478</v>
      </c>
      <c r="E185" t="s">
        <v>105</v>
      </c>
      <c r="F185">
        <v>1</v>
      </c>
      <c r="G185" s="128"/>
    </row>
    <row r="186" spans="1:7" x14ac:dyDescent="0.25">
      <c r="A186" s="174">
        <v>2144</v>
      </c>
      <c r="B186" s="174">
        <v>51</v>
      </c>
      <c r="C186" t="s">
        <v>1262</v>
      </c>
      <c r="D186" s="795">
        <v>37099</v>
      </c>
      <c r="E186" t="s">
        <v>1263</v>
      </c>
      <c r="F186">
        <v>1</v>
      </c>
      <c r="G186" s="128"/>
    </row>
    <row r="187" spans="1:7" x14ac:dyDescent="0.25">
      <c r="A187" s="174">
        <v>3914</v>
      </c>
      <c r="B187" s="174">
        <v>0</v>
      </c>
      <c r="C187" t="s">
        <v>1264</v>
      </c>
      <c r="D187" s="795">
        <v>37046</v>
      </c>
      <c r="E187" t="s">
        <v>1265</v>
      </c>
      <c r="F187">
        <v>1</v>
      </c>
      <c r="G187" s="128"/>
    </row>
    <row r="188" spans="1:7" x14ac:dyDescent="0.25">
      <c r="A188" s="174">
        <v>2609</v>
      </c>
      <c r="B188" s="174">
        <v>26</v>
      </c>
      <c r="C188" t="s">
        <v>444</v>
      </c>
      <c r="D188" s="795">
        <v>36675</v>
      </c>
      <c r="E188" t="s">
        <v>117</v>
      </c>
      <c r="F188">
        <v>1</v>
      </c>
      <c r="G188" s="128"/>
    </row>
    <row r="189" spans="1:7" x14ac:dyDescent="0.25">
      <c r="A189" s="174">
        <v>2428</v>
      </c>
      <c r="B189" s="174">
        <v>35</v>
      </c>
      <c r="C189" t="s">
        <v>445</v>
      </c>
      <c r="D189" s="795">
        <v>36833</v>
      </c>
      <c r="E189" t="s">
        <v>446</v>
      </c>
      <c r="F189">
        <v>1</v>
      </c>
      <c r="G189" s="128"/>
    </row>
    <row r="190" spans="1:7" x14ac:dyDescent="0.25">
      <c r="A190" s="174">
        <v>3817</v>
      </c>
      <c r="B190" s="174">
        <v>0</v>
      </c>
      <c r="C190" t="s">
        <v>1267</v>
      </c>
      <c r="D190" s="795">
        <v>36593</v>
      </c>
      <c r="E190" t="s">
        <v>1250</v>
      </c>
      <c r="F190">
        <v>1</v>
      </c>
      <c r="G190" s="128"/>
    </row>
    <row r="191" spans="1:7" x14ac:dyDescent="0.25">
      <c r="A191" s="174">
        <v>2775</v>
      </c>
      <c r="B191" s="174">
        <v>19</v>
      </c>
      <c r="C191" t="s">
        <v>775</v>
      </c>
      <c r="D191" s="795">
        <v>37362</v>
      </c>
      <c r="E191" t="s">
        <v>120</v>
      </c>
      <c r="F191">
        <v>1</v>
      </c>
      <c r="G191" s="128"/>
    </row>
    <row r="192" spans="1:7" x14ac:dyDescent="0.25">
      <c r="A192" s="174">
        <v>3495</v>
      </c>
      <c r="B192" s="174">
        <v>0</v>
      </c>
      <c r="C192" t="s">
        <v>2489</v>
      </c>
      <c r="D192" s="795">
        <v>37257</v>
      </c>
      <c r="E192" t="s">
        <v>120</v>
      </c>
      <c r="F192">
        <v>1</v>
      </c>
      <c r="G192" s="128"/>
    </row>
    <row r="193" spans="1:7" x14ac:dyDescent="0.25">
      <c r="A193" s="174">
        <v>1689</v>
      </c>
      <c r="B193" s="174">
        <v>95</v>
      </c>
      <c r="C193" t="s">
        <v>447</v>
      </c>
      <c r="D193" s="795">
        <v>36727</v>
      </c>
      <c r="E193" t="s">
        <v>73</v>
      </c>
      <c r="F193">
        <v>1</v>
      </c>
      <c r="G193" s="128"/>
    </row>
    <row r="194" spans="1:7" x14ac:dyDescent="0.25">
      <c r="A194" s="174">
        <v>2948</v>
      </c>
      <c r="B194" s="174">
        <v>12</v>
      </c>
      <c r="C194" t="s">
        <v>447</v>
      </c>
      <c r="D194" s="795">
        <v>36578</v>
      </c>
      <c r="E194" t="s">
        <v>120</v>
      </c>
      <c r="F194">
        <v>1</v>
      </c>
      <c r="G194" s="128"/>
    </row>
    <row r="195" spans="1:7" x14ac:dyDescent="0.25">
      <c r="A195" s="174">
        <v>2573</v>
      </c>
      <c r="B195" s="174">
        <v>28</v>
      </c>
      <c r="C195" t="s">
        <v>448</v>
      </c>
      <c r="D195" s="795">
        <v>36928</v>
      </c>
      <c r="E195" t="s">
        <v>72</v>
      </c>
      <c r="F195">
        <v>1</v>
      </c>
      <c r="G195" s="128"/>
    </row>
    <row r="196" spans="1:7" x14ac:dyDescent="0.25">
      <c r="A196" s="174">
        <v>1874</v>
      </c>
      <c r="B196" s="174">
        <v>74</v>
      </c>
      <c r="C196" t="s">
        <v>644</v>
      </c>
      <c r="D196" s="795">
        <v>36726</v>
      </c>
      <c r="E196" t="s">
        <v>170</v>
      </c>
      <c r="F196">
        <v>1</v>
      </c>
      <c r="G196" s="128"/>
    </row>
    <row r="197" spans="1:7" x14ac:dyDescent="0.25">
      <c r="A197" s="174">
        <v>2426</v>
      </c>
      <c r="B197" s="174">
        <v>35</v>
      </c>
      <c r="C197" t="s">
        <v>644</v>
      </c>
      <c r="D197" s="795">
        <v>36957</v>
      </c>
      <c r="E197" t="s">
        <v>120</v>
      </c>
      <c r="F197">
        <v>1</v>
      </c>
      <c r="G197" s="128"/>
    </row>
    <row r="198" spans="1:7" x14ac:dyDescent="0.25">
      <c r="A198" s="174">
        <v>2909</v>
      </c>
      <c r="B198" s="174">
        <v>14</v>
      </c>
      <c r="C198" t="s">
        <v>644</v>
      </c>
      <c r="D198" s="795">
        <v>36683</v>
      </c>
      <c r="E198" t="s">
        <v>1270</v>
      </c>
      <c r="F198">
        <v>1</v>
      </c>
      <c r="G198" s="128"/>
    </row>
    <row r="199" spans="1:7" x14ac:dyDescent="0.25">
      <c r="A199" s="174">
        <v>2746</v>
      </c>
      <c r="B199" s="174">
        <v>20</v>
      </c>
      <c r="C199" t="s">
        <v>177</v>
      </c>
      <c r="D199" s="795">
        <v>36804</v>
      </c>
      <c r="E199" t="s">
        <v>1270</v>
      </c>
      <c r="F199">
        <v>1</v>
      </c>
      <c r="G199" s="128"/>
    </row>
    <row r="200" spans="1:7" x14ac:dyDescent="0.25">
      <c r="A200" s="174">
        <v>2205</v>
      </c>
      <c r="B200" s="174">
        <v>47</v>
      </c>
      <c r="C200" t="s">
        <v>449</v>
      </c>
      <c r="D200" s="795">
        <v>37089</v>
      </c>
      <c r="E200" t="s">
        <v>1271</v>
      </c>
      <c r="F200">
        <v>1</v>
      </c>
      <c r="G200" s="128"/>
    </row>
    <row r="201" spans="1:7" x14ac:dyDescent="0.25">
      <c r="A201" s="174">
        <v>3724</v>
      </c>
      <c r="B201" s="174">
        <v>0</v>
      </c>
      <c r="C201" t="s">
        <v>1272</v>
      </c>
      <c r="D201" s="795">
        <v>36753</v>
      </c>
      <c r="E201" t="s">
        <v>105</v>
      </c>
      <c r="F201">
        <v>1</v>
      </c>
      <c r="G201" s="128"/>
    </row>
    <row r="202" spans="1:7" x14ac:dyDescent="0.25">
      <c r="A202" s="174">
        <v>3187</v>
      </c>
      <c r="B202" s="174">
        <v>5</v>
      </c>
      <c r="C202" t="s">
        <v>1273</v>
      </c>
      <c r="D202" s="795">
        <v>37584</v>
      </c>
      <c r="E202" t="s">
        <v>99</v>
      </c>
      <c r="F202">
        <v>1</v>
      </c>
      <c r="G202" s="128"/>
    </row>
    <row r="203" spans="1:7" x14ac:dyDescent="0.25">
      <c r="A203" s="174">
        <v>2872</v>
      </c>
      <c r="B203" s="174">
        <v>15</v>
      </c>
      <c r="C203" t="s">
        <v>1274</v>
      </c>
      <c r="D203" s="795">
        <v>37529</v>
      </c>
      <c r="E203" t="s">
        <v>113</v>
      </c>
      <c r="F203">
        <v>1</v>
      </c>
      <c r="G203" s="128"/>
    </row>
    <row r="204" spans="1:7" x14ac:dyDescent="0.25">
      <c r="A204" s="174">
        <v>3435</v>
      </c>
      <c r="B204" s="174">
        <v>0</v>
      </c>
      <c r="C204" t="s">
        <v>1275</v>
      </c>
      <c r="D204" s="795">
        <v>37117</v>
      </c>
      <c r="E204" t="s">
        <v>119</v>
      </c>
      <c r="F204">
        <v>1</v>
      </c>
      <c r="G204" s="128"/>
    </row>
    <row r="205" spans="1:7" x14ac:dyDescent="0.25">
      <c r="A205" s="174">
        <v>2619</v>
      </c>
      <c r="B205" s="174">
        <v>26</v>
      </c>
      <c r="C205" t="s">
        <v>1276</v>
      </c>
      <c r="D205" s="795">
        <v>37115</v>
      </c>
      <c r="E205" t="s">
        <v>1069</v>
      </c>
      <c r="F205">
        <v>1</v>
      </c>
      <c r="G205" s="128"/>
    </row>
    <row r="206" spans="1:7" x14ac:dyDescent="0.25">
      <c r="A206" s="174">
        <v>1963</v>
      </c>
      <c r="B206" s="174">
        <v>65</v>
      </c>
      <c r="C206" t="s">
        <v>1277</v>
      </c>
      <c r="D206" s="795">
        <v>36854</v>
      </c>
      <c r="E206" t="s">
        <v>120</v>
      </c>
      <c r="F206">
        <v>1</v>
      </c>
      <c r="G206" s="128"/>
    </row>
    <row r="207" spans="1:7" x14ac:dyDescent="0.25">
      <c r="A207" s="174">
        <v>1638</v>
      </c>
      <c r="B207" s="174">
        <v>102</v>
      </c>
      <c r="C207" t="s">
        <v>1278</v>
      </c>
      <c r="D207" s="795">
        <v>37267</v>
      </c>
      <c r="E207" t="s">
        <v>1107</v>
      </c>
      <c r="F207">
        <v>1</v>
      </c>
      <c r="G207" s="128"/>
    </row>
    <row r="208" spans="1:7" x14ac:dyDescent="0.25">
      <c r="A208" s="174">
        <v>3533</v>
      </c>
      <c r="B208" s="174">
        <v>0</v>
      </c>
      <c r="C208" t="s">
        <v>2490</v>
      </c>
      <c r="D208" s="795">
        <v>36892</v>
      </c>
      <c r="E208" t="s">
        <v>1143</v>
      </c>
      <c r="F208">
        <v>1</v>
      </c>
      <c r="G208" s="128"/>
    </row>
    <row r="209" spans="1:7" x14ac:dyDescent="0.25">
      <c r="A209" s="174">
        <v>2592</v>
      </c>
      <c r="B209" s="174">
        <v>27</v>
      </c>
      <c r="C209" t="s">
        <v>181</v>
      </c>
      <c r="D209" s="795">
        <v>36697</v>
      </c>
      <c r="E209" t="s">
        <v>110</v>
      </c>
      <c r="F209">
        <v>1</v>
      </c>
      <c r="G209" s="128"/>
    </row>
    <row r="210" spans="1:7" x14ac:dyDescent="0.25">
      <c r="A210" s="174">
        <v>2032</v>
      </c>
      <c r="B210" s="174">
        <v>59</v>
      </c>
      <c r="C210" t="s">
        <v>1280</v>
      </c>
      <c r="D210" s="795">
        <v>36818</v>
      </c>
      <c r="E210" t="s">
        <v>1281</v>
      </c>
      <c r="F210">
        <v>1</v>
      </c>
      <c r="G210" s="128"/>
    </row>
    <row r="211" spans="1:7" x14ac:dyDescent="0.25">
      <c r="A211" s="174">
        <v>2695</v>
      </c>
      <c r="B211" s="174">
        <v>23</v>
      </c>
      <c r="C211" t="s">
        <v>1282</v>
      </c>
      <c r="D211" s="795">
        <v>37091</v>
      </c>
      <c r="E211" t="s">
        <v>138</v>
      </c>
      <c r="F211">
        <v>1</v>
      </c>
      <c r="G211" s="128"/>
    </row>
    <row r="212" spans="1:7" x14ac:dyDescent="0.25">
      <c r="A212" s="174">
        <v>2153</v>
      </c>
      <c r="B212" s="174">
        <v>50</v>
      </c>
      <c r="C212" t="s">
        <v>646</v>
      </c>
      <c r="D212" s="795">
        <v>36777</v>
      </c>
      <c r="E212" t="s">
        <v>164</v>
      </c>
      <c r="F212">
        <v>1</v>
      </c>
      <c r="G212" s="128"/>
    </row>
    <row r="213" spans="1:7" x14ac:dyDescent="0.25">
      <c r="A213" s="174">
        <v>3556</v>
      </c>
      <c r="B213" s="174">
        <v>0</v>
      </c>
      <c r="C213" t="s">
        <v>1283</v>
      </c>
      <c r="D213" s="795">
        <v>36908</v>
      </c>
      <c r="E213" t="s">
        <v>99</v>
      </c>
      <c r="F213">
        <v>1</v>
      </c>
      <c r="G213" s="128"/>
    </row>
    <row r="214" spans="1:7" x14ac:dyDescent="0.25">
      <c r="A214" s="174">
        <v>2549</v>
      </c>
      <c r="B214" s="174">
        <v>30</v>
      </c>
      <c r="C214" t="s">
        <v>1284</v>
      </c>
      <c r="D214" s="795">
        <v>37132</v>
      </c>
      <c r="E214" t="s">
        <v>75</v>
      </c>
      <c r="F214">
        <v>1</v>
      </c>
      <c r="G214" s="128"/>
    </row>
    <row r="215" spans="1:7" x14ac:dyDescent="0.25">
      <c r="A215" s="174">
        <v>3284</v>
      </c>
      <c r="B215" s="174">
        <v>2</v>
      </c>
      <c r="C215" t="s">
        <v>1287</v>
      </c>
      <c r="D215" s="795">
        <v>37498</v>
      </c>
      <c r="E215" t="s">
        <v>128</v>
      </c>
      <c r="F215">
        <v>1</v>
      </c>
      <c r="G215" s="128"/>
    </row>
    <row r="216" spans="1:7" x14ac:dyDescent="0.25">
      <c r="A216" s="174">
        <v>3898</v>
      </c>
      <c r="B216" s="174">
        <v>0</v>
      </c>
      <c r="C216" t="s">
        <v>1288</v>
      </c>
      <c r="D216" s="795">
        <v>36848</v>
      </c>
      <c r="E216" t="s">
        <v>1121</v>
      </c>
      <c r="F216">
        <v>1</v>
      </c>
      <c r="G216" s="128"/>
    </row>
    <row r="217" spans="1:7" x14ac:dyDescent="0.25">
      <c r="A217" s="174">
        <v>1659</v>
      </c>
      <c r="B217" s="174">
        <v>100</v>
      </c>
      <c r="C217" t="s">
        <v>1289</v>
      </c>
      <c r="D217" s="795">
        <v>36678</v>
      </c>
      <c r="E217" t="s">
        <v>179</v>
      </c>
      <c r="F217">
        <v>1</v>
      </c>
      <c r="G217" s="128"/>
    </row>
    <row r="218" spans="1:7" x14ac:dyDescent="0.25">
      <c r="A218" s="174">
        <v>2420</v>
      </c>
      <c r="B218" s="174">
        <v>36</v>
      </c>
      <c r="C218" t="s">
        <v>647</v>
      </c>
      <c r="D218" s="795">
        <v>36992</v>
      </c>
      <c r="E218" t="s">
        <v>74</v>
      </c>
      <c r="F218">
        <v>1</v>
      </c>
      <c r="G218" s="128"/>
    </row>
    <row r="219" spans="1:7" x14ac:dyDescent="0.25">
      <c r="A219" s="174">
        <v>3068</v>
      </c>
      <c r="B219" s="174">
        <v>8</v>
      </c>
      <c r="C219" t="s">
        <v>776</v>
      </c>
      <c r="D219" s="795">
        <v>37305</v>
      </c>
      <c r="E219" t="s">
        <v>290</v>
      </c>
      <c r="F219">
        <v>1</v>
      </c>
      <c r="G219" s="128"/>
    </row>
    <row r="220" spans="1:7" x14ac:dyDescent="0.25">
      <c r="A220" s="174">
        <v>3242</v>
      </c>
      <c r="B220" s="174">
        <v>4</v>
      </c>
      <c r="C220" t="s">
        <v>776</v>
      </c>
      <c r="D220" s="795">
        <v>36965</v>
      </c>
      <c r="E220" t="s">
        <v>163</v>
      </c>
      <c r="F220">
        <v>1</v>
      </c>
      <c r="G220" s="128"/>
    </row>
    <row r="221" spans="1:7" x14ac:dyDescent="0.25">
      <c r="A221" s="174">
        <v>1962</v>
      </c>
      <c r="B221" s="174">
        <v>65</v>
      </c>
      <c r="C221" t="s">
        <v>1290</v>
      </c>
      <c r="D221" s="795">
        <v>37507</v>
      </c>
      <c r="E221" t="s">
        <v>120</v>
      </c>
      <c r="F221">
        <v>1</v>
      </c>
      <c r="G221" s="128"/>
    </row>
    <row r="222" spans="1:7" x14ac:dyDescent="0.25">
      <c r="A222" s="174">
        <v>1880</v>
      </c>
      <c r="B222" s="174">
        <v>74</v>
      </c>
      <c r="C222" t="s">
        <v>777</v>
      </c>
      <c r="D222" s="795">
        <v>37171</v>
      </c>
      <c r="E222" t="s">
        <v>110</v>
      </c>
      <c r="F222">
        <v>1</v>
      </c>
      <c r="G222" s="128"/>
    </row>
    <row r="223" spans="1:7" x14ac:dyDescent="0.25">
      <c r="A223" s="174">
        <v>2331</v>
      </c>
      <c r="B223" s="174">
        <v>40</v>
      </c>
      <c r="C223" t="s">
        <v>450</v>
      </c>
      <c r="D223" s="795">
        <v>36626</v>
      </c>
      <c r="E223" t="s">
        <v>1121</v>
      </c>
      <c r="F223">
        <v>1</v>
      </c>
      <c r="G223" s="128"/>
    </row>
    <row r="224" spans="1:7" x14ac:dyDescent="0.25">
      <c r="A224" s="174">
        <v>3014</v>
      </c>
      <c r="B224" s="174">
        <v>10</v>
      </c>
      <c r="C224" t="s">
        <v>1292</v>
      </c>
      <c r="D224" s="795">
        <v>36714</v>
      </c>
      <c r="E224" t="s">
        <v>1293</v>
      </c>
      <c r="F224">
        <v>1</v>
      </c>
      <c r="G224" s="128"/>
    </row>
    <row r="225" spans="1:7" x14ac:dyDescent="0.25">
      <c r="A225" s="174">
        <v>2238</v>
      </c>
      <c r="B225" s="174">
        <v>45</v>
      </c>
      <c r="C225" t="s">
        <v>451</v>
      </c>
      <c r="D225" s="795">
        <v>36787</v>
      </c>
      <c r="E225" t="s">
        <v>73</v>
      </c>
      <c r="F225">
        <v>1</v>
      </c>
      <c r="G225" s="128"/>
    </row>
    <row r="226" spans="1:7" x14ac:dyDescent="0.25">
      <c r="A226" s="174">
        <v>2922</v>
      </c>
      <c r="B226" s="174">
        <v>13</v>
      </c>
      <c r="C226" t="s">
        <v>1294</v>
      </c>
      <c r="D226" s="795">
        <v>37507</v>
      </c>
      <c r="E226" t="s">
        <v>120</v>
      </c>
      <c r="F226">
        <v>1</v>
      </c>
      <c r="G226" s="128"/>
    </row>
    <row r="227" spans="1:7" x14ac:dyDescent="0.25">
      <c r="A227" s="174">
        <v>2332</v>
      </c>
      <c r="B227" s="174">
        <v>40</v>
      </c>
      <c r="C227" t="s">
        <v>648</v>
      </c>
      <c r="D227" s="795">
        <v>36596</v>
      </c>
      <c r="E227" t="s">
        <v>120</v>
      </c>
      <c r="F227">
        <v>1</v>
      </c>
      <c r="G227" s="128"/>
    </row>
    <row r="228" spans="1:7" x14ac:dyDescent="0.25">
      <c r="A228" s="174">
        <v>3294</v>
      </c>
      <c r="B228" s="174">
        <v>2</v>
      </c>
      <c r="C228" t="s">
        <v>1295</v>
      </c>
      <c r="D228" s="795">
        <v>37650</v>
      </c>
      <c r="E228" t="s">
        <v>1107</v>
      </c>
      <c r="F228">
        <v>1</v>
      </c>
      <c r="G228" s="128"/>
    </row>
    <row r="229" spans="1:7" x14ac:dyDescent="0.25">
      <c r="A229" s="174">
        <v>3254</v>
      </c>
      <c r="B229" s="174">
        <v>3</v>
      </c>
      <c r="C229" t="s">
        <v>1296</v>
      </c>
      <c r="D229" s="795">
        <v>36758</v>
      </c>
      <c r="E229" t="s">
        <v>1107</v>
      </c>
      <c r="F229">
        <v>1</v>
      </c>
      <c r="G229" s="128"/>
    </row>
    <row r="230" spans="1:7" x14ac:dyDescent="0.25">
      <c r="A230" s="174">
        <v>2593</v>
      </c>
      <c r="B230" s="174">
        <v>27</v>
      </c>
      <c r="C230" t="s">
        <v>649</v>
      </c>
      <c r="D230" s="795">
        <v>37026</v>
      </c>
      <c r="E230" t="s">
        <v>105</v>
      </c>
      <c r="F230">
        <v>1</v>
      </c>
      <c r="G230" s="128"/>
    </row>
    <row r="231" spans="1:7" x14ac:dyDescent="0.25">
      <c r="A231" s="174">
        <v>3473</v>
      </c>
      <c r="B231" s="174">
        <v>0</v>
      </c>
      <c r="C231" t="s">
        <v>2491</v>
      </c>
      <c r="D231" s="795">
        <v>36892</v>
      </c>
      <c r="E231" t="s">
        <v>2050</v>
      </c>
      <c r="F231">
        <v>1</v>
      </c>
      <c r="G231" s="128"/>
    </row>
    <row r="232" spans="1:7" x14ac:dyDescent="0.25">
      <c r="A232" s="174">
        <v>2247</v>
      </c>
      <c r="B232" s="174">
        <v>45</v>
      </c>
      <c r="C232" t="s">
        <v>184</v>
      </c>
      <c r="D232" s="795">
        <v>36806</v>
      </c>
      <c r="E232" t="s">
        <v>1143</v>
      </c>
      <c r="F232">
        <v>1</v>
      </c>
      <c r="G232" s="128"/>
    </row>
    <row r="233" spans="1:7" x14ac:dyDescent="0.25">
      <c r="A233" s="174">
        <v>3405</v>
      </c>
      <c r="B233" s="174">
        <v>0</v>
      </c>
      <c r="C233" t="s">
        <v>1297</v>
      </c>
      <c r="D233" s="795">
        <v>37439</v>
      </c>
      <c r="E233" t="s">
        <v>136</v>
      </c>
      <c r="F233">
        <v>1</v>
      </c>
      <c r="G233" s="128"/>
    </row>
    <row r="234" spans="1:7" x14ac:dyDescent="0.25">
      <c r="A234" s="174">
        <v>2451</v>
      </c>
      <c r="B234" s="174">
        <v>34</v>
      </c>
      <c r="C234" t="s">
        <v>1298</v>
      </c>
      <c r="D234" s="795">
        <v>37328</v>
      </c>
      <c r="E234" t="s">
        <v>122</v>
      </c>
      <c r="F234">
        <v>1</v>
      </c>
      <c r="G234" s="128"/>
    </row>
    <row r="235" spans="1:7" x14ac:dyDescent="0.25">
      <c r="A235" s="174">
        <v>1957</v>
      </c>
      <c r="B235" s="174">
        <v>65</v>
      </c>
      <c r="C235" t="s">
        <v>185</v>
      </c>
      <c r="D235" s="795">
        <v>36737</v>
      </c>
      <c r="E235" t="s">
        <v>186</v>
      </c>
      <c r="F235">
        <v>1</v>
      </c>
      <c r="G235" s="128"/>
    </row>
    <row r="236" spans="1:7" x14ac:dyDescent="0.25">
      <c r="A236" s="174">
        <v>3815</v>
      </c>
      <c r="B236" s="174">
        <v>0</v>
      </c>
      <c r="C236" t="s">
        <v>1299</v>
      </c>
      <c r="D236" s="795">
        <v>37028</v>
      </c>
      <c r="E236" t="s">
        <v>173</v>
      </c>
      <c r="F236">
        <v>1</v>
      </c>
      <c r="G236" s="128"/>
    </row>
    <row r="237" spans="1:7" x14ac:dyDescent="0.25">
      <c r="A237" s="174">
        <v>3082</v>
      </c>
      <c r="B237" s="174">
        <v>8</v>
      </c>
      <c r="C237" t="s">
        <v>1300</v>
      </c>
      <c r="D237" s="795">
        <v>37327</v>
      </c>
      <c r="E237" t="s">
        <v>1063</v>
      </c>
      <c r="F237">
        <v>1</v>
      </c>
      <c r="G237" s="128"/>
    </row>
    <row r="238" spans="1:7" x14ac:dyDescent="0.25">
      <c r="A238" s="174">
        <v>2613</v>
      </c>
      <c r="B238" s="174">
        <v>26</v>
      </c>
      <c r="C238" t="s">
        <v>1301</v>
      </c>
      <c r="D238" s="795">
        <v>36526</v>
      </c>
      <c r="E238" t="s">
        <v>1247</v>
      </c>
      <c r="F238">
        <v>1</v>
      </c>
      <c r="G238" s="128"/>
    </row>
    <row r="239" spans="1:7" x14ac:dyDescent="0.25">
      <c r="A239" s="174">
        <v>3137</v>
      </c>
      <c r="B239" s="174">
        <v>6</v>
      </c>
      <c r="C239" t="s">
        <v>1302</v>
      </c>
      <c r="D239" s="795">
        <v>36631</v>
      </c>
      <c r="E239" t="s">
        <v>120</v>
      </c>
      <c r="F239">
        <v>1</v>
      </c>
      <c r="G239" s="128"/>
    </row>
    <row r="240" spans="1:7" x14ac:dyDescent="0.25">
      <c r="A240" s="174">
        <v>1625</v>
      </c>
      <c r="B240" s="174">
        <v>104</v>
      </c>
      <c r="C240" t="s">
        <v>1303</v>
      </c>
      <c r="D240" s="795">
        <v>36969</v>
      </c>
      <c r="E240" t="s">
        <v>105</v>
      </c>
      <c r="F240">
        <v>1</v>
      </c>
      <c r="G240" s="128"/>
    </row>
    <row r="241" spans="1:7" x14ac:dyDescent="0.25">
      <c r="A241" s="174">
        <v>3256</v>
      </c>
      <c r="B241" s="174">
        <v>3</v>
      </c>
      <c r="C241" t="s">
        <v>1304</v>
      </c>
      <c r="D241" s="795">
        <v>37760</v>
      </c>
      <c r="E241" t="s">
        <v>72</v>
      </c>
      <c r="F241">
        <v>1</v>
      </c>
      <c r="G241" s="128"/>
    </row>
    <row r="242" spans="1:7" x14ac:dyDescent="0.25">
      <c r="A242" s="174">
        <v>3652</v>
      </c>
      <c r="B242" s="174">
        <v>0</v>
      </c>
      <c r="C242" t="s">
        <v>1305</v>
      </c>
      <c r="D242" s="795">
        <v>37269</v>
      </c>
      <c r="E242" t="s">
        <v>74</v>
      </c>
      <c r="F242">
        <v>1</v>
      </c>
      <c r="G242" s="128"/>
    </row>
    <row r="243" spans="1:7" x14ac:dyDescent="0.25">
      <c r="A243" s="174">
        <v>1756</v>
      </c>
      <c r="B243" s="174">
        <v>87</v>
      </c>
      <c r="C243" t="s">
        <v>651</v>
      </c>
      <c r="D243" s="795">
        <v>36840</v>
      </c>
      <c r="E243" t="s">
        <v>1189</v>
      </c>
      <c r="F243">
        <v>1</v>
      </c>
      <c r="G243" s="128"/>
    </row>
    <row r="244" spans="1:7" x14ac:dyDescent="0.25">
      <c r="A244" s="174">
        <v>2539</v>
      </c>
      <c r="B244" s="174">
        <v>30</v>
      </c>
      <c r="C244" t="s">
        <v>455</v>
      </c>
      <c r="D244" s="795">
        <v>36735</v>
      </c>
      <c r="E244" t="s">
        <v>73</v>
      </c>
      <c r="F244">
        <v>1</v>
      </c>
      <c r="G244" s="128"/>
    </row>
    <row r="245" spans="1:7" x14ac:dyDescent="0.25">
      <c r="A245" s="174">
        <v>1579</v>
      </c>
      <c r="B245" s="174">
        <v>114</v>
      </c>
      <c r="C245" t="s">
        <v>1308</v>
      </c>
      <c r="D245" s="795">
        <v>37061</v>
      </c>
      <c r="E245" t="s">
        <v>1121</v>
      </c>
      <c r="F245">
        <v>1</v>
      </c>
      <c r="G245" s="128"/>
    </row>
    <row r="246" spans="1:7" x14ac:dyDescent="0.25">
      <c r="A246" s="174">
        <v>3223</v>
      </c>
      <c r="B246" s="174">
        <v>4</v>
      </c>
      <c r="C246" t="s">
        <v>1309</v>
      </c>
      <c r="D246" s="795">
        <v>36542</v>
      </c>
      <c r="E246" t="s">
        <v>200</v>
      </c>
      <c r="F246">
        <v>1</v>
      </c>
      <c r="G246" s="128"/>
    </row>
    <row r="247" spans="1:7" x14ac:dyDescent="0.25">
      <c r="A247" s="174">
        <v>3816</v>
      </c>
      <c r="B247" s="174">
        <v>0</v>
      </c>
      <c r="C247" t="s">
        <v>1310</v>
      </c>
      <c r="D247" s="795">
        <v>36656</v>
      </c>
      <c r="E247" t="s">
        <v>171</v>
      </c>
      <c r="F247">
        <v>1</v>
      </c>
      <c r="G247" s="128"/>
    </row>
    <row r="248" spans="1:7" x14ac:dyDescent="0.25">
      <c r="A248" s="174">
        <v>2225</v>
      </c>
      <c r="B248" s="174">
        <v>46</v>
      </c>
      <c r="C248" t="s">
        <v>1311</v>
      </c>
      <c r="D248" s="795">
        <v>37369</v>
      </c>
      <c r="E248" t="s">
        <v>164</v>
      </c>
      <c r="F248">
        <v>1</v>
      </c>
      <c r="G248" s="128"/>
    </row>
    <row r="249" spans="1:7" x14ac:dyDescent="0.25">
      <c r="A249" s="174">
        <v>3520</v>
      </c>
      <c r="B249" s="174">
        <v>0</v>
      </c>
      <c r="C249" t="s">
        <v>2492</v>
      </c>
      <c r="D249" s="795">
        <v>36837</v>
      </c>
      <c r="E249" t="s">
        <v>99</v>
      </c>
      <c r="F249">
        <v>1</v>
      </c>
      <c r="G249" s="128"/>
    </row>
    <row r="250" spans="1:7" x14ac:dyDescent="0.25">
      <c r="A250" s="174">
        <v>3108</v>
      </c>
      <c r="B250" s="174">
        <v>7</v>
      </c>
      <c r="C250" t="s">
        <v>1312</v>
      </c>
      <c r="D250" s="795">
        <v>36526</v>
      </c>
      <c r="E250" t="s">
        <v>630</v>
      </c>
      <c r="F250">
        <v>1</v>
      </c>
      <c r="G250" s="128"/>
    </row>
    <row r="251" spans="1:7" x14ac:dyDescent="0.25">
      <c r="A251" s="174">
        <v>3306</v>
      </c>
      <c r="B251" s="174">
        <v>2</v>
      </c>
      <c r="C251" t="s">
        <v>1313</v>
      </c>
      <c r="D251" s="795">
        <v>36892</v>
      </c>
      <c r="E251" t="s">
        <v>105</v>
      </c>
      <c r="F251">
        <v>1</v>
      </c>
      <c r="G251" s="128"/>
    </row>
    <row r="252" spans="1:7" x14ac:dyDescent="0.25">
      <c r="A252" s="174">
        <v>3054</v>
      </c>
      <c r="B252" s="174">
        <v>9</v>
      </c>
      <c r="C252" t="s">
        <v>1314</v>
      </c>
      <c r="D252" s="795">
        <v>37034</v>
      </c>
      <c r="E252" t="s">
        <v>1315</v>
      </c>
      <c r="F252">
        <v>1</v>
      </c>
      <c r="G252" s="128"/>
    </row>
    <row r="253" spans="1:7" x14ac:dyDescent="0.25">
      <c r="A253" s="174">
        <v>3101</v>
      </c>
      <c r="B253" s="174">
        <v>7</v>
      </c>
      <c r="C253" t="s">
        <v>1316</v>
      </c>
      <c r="D253" s="795">
        <v>36748</v>
      </c>
      <c r="E253" t="s">
        <v>74</v>
      </c>
      <c r="F253">
        <v>1</v>
      </c>
      <c r="G253" s="128"/>
    </row>
    <row r="254" spans="1:7" x14ac:dyDescent="0.25">
      <c r="A254" s="174">
        <v>3010</v>
      </c>
      <c r="B254" s="174">
        <v>10</v>
      </c>
      <c r="C254" t="s">
        <v>1320</v>
      </c>
      <c r="D254" s="795">
        <v>36976</v>
      </c>
      <c r="E254" t="s">
        <v>1121</v>
      </c>
      <c r="F254">
        <v>1</v>
      </c>
      <c r="G254" s="128"/>
    </row>
    <row r="255" spans="1:7" x14ac:dyDescent="0.25">
      <c r="A255" s="174">
        <v>3671</v>
      </c>
      <c r="B255" s="174">
        <v>0</v>
      </c>
      <c r="C255" t="s">
        <v>1321</v>
      </c>
      <c r="D255" s="795">
        <v>36699</v>
      </c>
      <c r="E255" t="s">
        <v>183</v>
      </c>
      <c r="F255">
        <v>1</v>
      </c>
      <c r="G255" s="128"/>
    </row>
    <row r="256" spans="1:7" x14ac:dyDescent="0.25">
      <c r="A256" s="174">
        <v>3235</v>
      </c>
      <c r="B256" s="174">
        <v>4</v>
      </c>
      <c r="C256" t="s">
        <v>1323</v>
      </c>
      <c r="D256" s="795">
        <v>37120</v>
      </c>
      <c r="E256" t="s">
        <v>290</v>
      </c>
      <c r="F256">
        <v>1</v>
      </c>
      <c r="G256" s="128"/>
    </row>
    <row r="257" spans="1:7" x14ac:dyDescent="0.25">
      <c r="A257" s="174">
        <v>2013</v>
      </c>
      <c r="B257" s="174">
        <v>61</v>
      </c>
      <c r="C257" t="s">
        <v>1324</v>
      </c>
      <c r="D257" s="795">
        <v>36981</v>
      </c>
      <c r="E257" t="s">
        <v>113</v>
      </c>
      <c r="F257">
        <v>1</v>
      </c>
      <c r="G257" s="128"/>
    </row>
    <row r="258" spans="1:7" x14ac:dyDescent="0.25">
      <c r="A258" s="174">
        <v>1849</v>
      </c>
      <c r="B258" s="174">
        <v>76</v>
      </c>
      <c r="C258" t="s">
        <v>189</v>
      </c>
      <c r="D258" s="795">
        <v>36859</v>
      </c>
      <c r="E258" t="s">
        <v>1234</v>
      </c>
      <c r="F258">
        <v>1</v>
      </c>
      <c r="G258" s="128"/>
    </row>
    <row r="259" spans="1:7" x14ac:dyDescent="0.25">
      <c r="A259" s="174">
        <v>2284</v>
      </c>
      <c r="B259" s="174">
        <v>43</v>
      </c>
      <c r="C259" t="s">
        <v>384</v>
      </c>
      <c r="D259" s="795">
        <v>36567</v>
      </c>
      <c r="E259" t="s">
        <v>1326</v>
      </c>
      <c r="F259">
        <v>1</v>
      </c>
      <c r="G259" s="128"/>
    </row>
    <row r="260" spans="1:7" x14ac:dyDescent="0.25">
      <c r="A260" s="174">
        <v>3448</v>
      </c>
      <c r="B260" s="174">
        <v>0</v>
      </c>
      <c r="C260" t="s">
        <v>1327</v>
      </c>
      <c r="D260" s="795">
        <v>36927</v>
      </c>
      <c r="E260" t="s">
        <v>105</v>
      </c>
      <c r="F260">
        <v>1</v>
      </c>
      <c r="G260" s="128"/>
    </row>
    <row r="261" spans="1:7" x14ac:dyDescent="0.25">
      <c r="A261" s="174">
        <v>2604</v>
      </c>
      <c r="B261" s="174">
        <v>27</v>
      </c>
      <c r="C261" t="s">
        <v>778</v>
      </c>
      <c r="D261" s="795">
        <v>37062</v>
      </c>
      <c r="E261" t="s">
        <v>110</v>
      </c>
      <c r="F261">
        <v>1</v>
      </c>
      <c r="G261" s="128"/>
    </row>
    <row r="262" spans="1:7" x14ac:dyDescent="0.25">
      <c r="A262" s="174">
        <v>3654</v>
      </c>
      <c r="B262" s="174">
        <v>0</v>
      </c>
      <c r="C262" t="s">
        <v>1328</v>
      </c>
      <c r="D262" s="795">
        <v>36892</v>
      </c>
      <c r="E262" t="s">
        <v>630</v>
      </c>
      <c r="F262">
        <v>1</v>
      </c>
      <c r="G262" s="128"/>
    </row>
    <row r="263" spans="1:7" x14ac:dyDescent="0.25">
      <c r="A263" s="174">
        <v>2834</v>
      </c>
      <c r="B263" s="174">
        <v>17</v>
      </c>
      <c r="C263" t="s">
        <v>1329</v>
      </c>
      <c r="D263" s="795">
        <v>37111</v>
      </c>
      <c r="E263" t="s">
        <v>1330</v>
      </c>
      <c r="F263">
        <v>1</v>
      </c>
      <c r="G263" s="128"/>
    </row>
    <row r="264" spans="1:7" x14ac:dyDescent="0.25">
      <c r="A264" s="174">
        <v>2413</v>
      </c>
      <c r="B264" s="174">
        <v>36</v>
      </c>
      <c r="C264" t="s">
        <v>456</v>
      </c>
      <c r="D264" s="795">
        <v>37146</v>
      </c>
      <c r="E264" t="s">
        <v>105</v>
      </c>
      <c r="F264">
        <v>1</v>
      </c>
      <c r="G264" s="128"/>
    </row>
    <row r="265" spans="1:7" x14ac:dyDescent="0.25">
      <c r="A265" s="174">
        <v>2352</v>
      </c>
      <c r="B265" s="174">
        <v>39</v>
      </c>
      <c r="C265" t="s">
        <v>457</v>
      </c>
      <c r="D265" s="795">
        <v>36961</v>
      </c>
      <c r="E265" t="s">
        <v>99</v>
      </c>
      <c r="F265">
        <v>1</v>
      </c>
      <c r="G265" s="128"/>
    </row>
    <row r="266" spans="1:7" x14ac:dyDescent="0.25">
      <c r="A266" s="174">
        <v>2530</v>
      </c>
      <c r="B266" s="174">
        <v>31</v>
      </c>
      <c r="C266" t="s">
        <v>1331</v>
      </c>
      <c r="D266" s="795">
        <v>36607</v>
      </c>
      <c r="E266" t="s">
        <v>120</v>
      </c>
      <c r="F266">
        <v>1</v>
      </c>
      <c r="G266" s="128"/>
    </row>
    <row r="267" spans="1:7" x14ac:dyDescent="0.25">
      <c r="A267" s="174">
        <v>1916</v>
      </c>
      <c r="B267" s="174">
        <v>71</v>
      </c>
      <c r="C267" t="s">
        <v>192</v>
      </c>
      <c r="D267" s="795">
        <v>36917</v>
      </c>
      <c r="E267" t="s">
        <v>1171</v>
      </c>
      <c r="F267">
        <v>1</v>
      </c>
      <c r="G267" s="128"/>
    </row>
    <row r="268" spans="1:7" x14ac:dyDescent="0.25">
      <c r="A268" s="174">
        <v>3623</v>
      </c>
      <c r="B268" s="174">
        <v>0</v>
      </c>
      <c r="C268" t="s">
        <v>2433</v>
      </c>
      <c r="D268" s="795">
        <v>37692</v>
      </c>
      <c r="E268" t="s">
        <v>99</v>
      </c>
      <c r="F268">
        <v>1</v>
      </c>
      <c r="G268" s="128"/>
    </row>
    <row r="269" spans="1:7" x14ac:dyDescent="0.25">
      <c r="A269" s="174">
        <v>3521</v>
      </c>
      <c r="B269" s="174">
        <v>0</v>
      </c>
      <c r="C269" t="s">
        <v>2493</v>
      </c>
      <c r="D269" s="795">
        <v>36731</v>
      </c>
      <c r="E269" t="s">
        <v>74</v>
      </c>
      <c r="F269">
        <v>1</v>
      </c>
      <c r="G269" s="128"/>
    </row>
    <row r="270" spans="1:7" x14ac:dyDescent="0.25">
      <c r="A270" s="174">
        <v>1332</v>
      </c>
      <c r="B270" s="174">
        <v>158</v>
      </c>
      <c r="C270" t="s">
        <v>1333</v>
      </c>
      <c r="D270" s="795">
        <v>36600</v>
      </c>
      <c r="E270" t="s">
        <v>1334</v>
      </c>
      <c r="F270">
        <v>1</v>
      </c>
      <c r="G270" s="128"/>
    </row>
    <row r="271" spans="1:7" x14ac:dyDescent="0.25">
      <c r="A271" s="174">
        <v>2707</v>
      </c>
      <c r="B271" s="174">
        <v>22</v>
      </c>
      <c r="C271" t="s">
        <v>1335</v>
      </c>
      <c r="D271" s="795">
        <v>36953</v>
      </c>
      <c r="E271" t="s">
        <v>1336</v>
      </c>
      <c r="F271">
        <v>1</v>
      </c>
      <c r="G271" s="128"/>
    </row>
    <row r="272" spans="1:7" x14ac:dyDescent="0.25">
      <c r="A272" s="174">
        <v>3484</v>
      </c>
      <c r="B272" s="174">
        <v>0</v>
      </c>
      <c r="C272" t="s">
        <v>2434</v>
      </c>
      <c r="D272" s="795">
        <v>36950</v>
      </c>
      <c r="E272" t="s">
        <v>105</v>
      </c>
      <c r="F272">
        <v>1</v>
      </c>
      <c r="G272" s="128"/>
    </row>
    <row r="273" spans="1:7" x14ac:dyDescent="0.25">
      <c r="A273" s="174">
        <v>2512</v>
      </c>
      <c r="B273" s="174">
        <v>32</v>
      </c>
      <c r="C273" t="s">
        <v>779</v>
      </c>
      <c r="D273" s="795">
        <v>37354</v>
      </c>
      <c r="E273" t="s">
        <v>105</v>
      </c>
      <c r="F273">
        <v>1</v>
      </c>
      <c r="G273" s="128"/>
    </row>
    <row r="274" spans="1:7" x14ac:dyDescent="0.25">
      <c r="A274" s="174">
        <v>3464</v>
      </c>
      <c r="B274" s="174">
        <v>0</v>
      </c>
      <c r="C274" t="s">
        <v>2494</v>
      </c>
      <c r="D274" s="795">
        <v>37489</v>
      </c>
      <c r="E274" t="s">
        <v>1105</v>
      </c>
      <c r="F274">
        <v>1</v>
      </c>
      <c r="G274" s="128"/>
    </row>
    <row r="275" spans="1:7" x14ac:dyDescent="0.25">
      <c r="A275" s="174">
        <v>1725</v>
      </c>
      <c r="B275" s="174">
        <v>91</v>
      </c>
      <c r="C275" t="s">
        <v>652</v>
      </c>
      <c r="D275" s="795">
        <v>36569</v>
      </c>
      <c r="E275" t="s">
        <v>105</v>
      </c>
      <c r="F275">
        <v>1</v>
      </c>
      <c r="G275" s="128"/>
    </row>
    <row r="276" spans="1:7" x14ac:dyDescent="0.25">
      <c r="A276" s="174">
        <v>1431</v>
      </c>
      <c r="B276" s="174">
        <v>139</v>
      </c>
      <c r="C276" t="s">
        <v>193</v>
      </c>
      <c r="D276" s="795">
        <v>36695</v>
      </c>
      <c r="E276" t="s">
        <v>1121</v>
      </c>
      <c r="F276">
        <v>1</v>
      </c>
      <c r="G276" s="128"/>
    </row>
    <row r="277" spans="1:7" x14ac:dyDescent="0.25">
      <c r="A277" s="174">
        <v>3091</v>
      </c>
      <c r="B277" s="174">
        <v>7</v>
      </c>
      <c r="C277" t="s">
        <v>1338</v>
      </c>
      <c r="D277" s="795">
        <v>36667</v>
      </c>
      <c r="E277" t="s">
        <v>1143</v>
      </c>
      <c r="F277">
        <v>1</v>
      </c>
      <c r="G277" s="128"/>
    </row>
    <row r="278" spans="1:7" x14ac:dyDescent="0.25">
      <c r="A278" s="174">
        <v>3214</v>
      </c>
      <c r="B278" s="174">
        <v>4</v>
      </c>
      <c r="C278" t="s">
        <v>2435</v>
      </c>
      <c r="D278" s="795">
        <v>37190</v>
      </c>
      <c r="E278" t="s">
        <v>165</v>
      </c>
      <c r="F278">
        <v>1</v>
      </c>
      <c r="G278" s="128"/>
    </row>
    <row r="279" spans="1:7" x14ac:dyDescent="0.25">
      <c r="A279" s="174">
        <v>1655</v>
      </c>
      <c r="B279" s="174">
        <v>100</v>
      </c>
      <c r="C279" t="s">
        <v>194</v>
      </c>
      <c r="D279" s="795">
        <v>36803</v>
      </c>
      <c r="E279" t="s">
        <v>105</v>
      </c>
      <c r="F279">
        <v>1</v>
      </c>
      <c r="G279" s="128"/>
    </row>
    <row r="280" spans="1:7" x14ac:dyDescent="0.25">
      <c r="A280" s="174">
        <v>3324</v>
      </c>
      <c r="B280" s="174">
        <v>1</v>
      </c>
      <c r="C280" t="s">
        <v>1340</v>
      </c>
      <c r="D280" s="795">
        <v>36718</v>
      </c>
      <c r="E280" t="s">
        <v>142</v>
      </c>
      <c r="F280">
        <v>1</v>
      </c>
      <c r="G280" s="128"/>
    </row>
    <row r="281" spans="1:7" x14ac:dyDescent="0.25">
      <c r="A281" s="174">
        <v>2224</v>
      </c>
      <c r="B281" s="174">
        <v>46</v>
      </c>
      <c r="C281" t="s">
        <v>1341</v>
      </c>
      <c r="D281" s="795">
        <v>36907</v>
      </c>
      <c r="E281" t="s">
        <v>1143</v>
      </c>
      <c r="F281">
        <v>1</v>
      </c>
      <c r="G281" s="128"/>
    </row>
    <row r="282" spans="1:7" x14ac:dyDescent="0.25">
      <c r="A282" s="174">
        <v>2841</v>
      </c>
      <c r="B282" s="174">
        <v>16</v>
      </c>
      <c r="C282" t="s">
        <v>2495</v>
      </c>
      <c r="D282" s="795">
        <v>37670</v>
      </c>
      <c r="E282" t="s">
        <v>74</v>
      </c>
      <c r="F282">
        <v>1</v>
      </c>
      <c r="G282" s="128"/>
    </row>
    <row r="283" spans="1:7" x14ac:dyDescent="0.25">
      <c r="A283" s="174">
        <v>3719</v>
      </c>
      <c r="B283" s="174">
        <v>0</v>
      </c>
      <c r="C283" t="s">
        <v>1344</v>
      </c>
      <c r="D283" s="795">
        <v>37257</v>
      </c>
      <c r="E283" t="s">
        <v>74</v>
      </c>
      <c r="F283">
        <v>1</v>
      </c>
      <c r="G283" s="128"/>
    </row>
    <row r="284" spans="1:7" x14ac:dyDescent="0.25">
      <c r="A284" s="174">
        <v>1666</v>
      </c>
      <c r="B284" s="174">
        <v>99</v>
      </c>
      <c r="C284" t="s">
        <v>654</v>
      </c>
      <c r="D284" s="795">
        <v>36946</v>
      </c>
      <c r="E284" t="s">
        <v>74</v>
      </c>
      <c r="F284">
        <v>1</v>
      </c>
      <c r="G284" s="128"/>
    </row>
    <row r="285" spans="1:7" x14ac:dyDescent="0.25">
      <c r="A285" s="174">
        <v>3063</v>
      </c>
      <c r="B285" s="174">
        <v>8</v>
      </c>
      <c r="C285" t="s">
        <v>1345</v>
      </c>
      <c r="D285" s="795">
        <v>37294</v>
      </c>
      <c r="E285" t="s">
        <v>74</v>
      </c>
      <c r="F285">
        <v>1</v>
      </c>
      <c r="G285" s="128"/>
    </row>
    <row r="286" spans="1:7" x14ac:dyDescent="0.25">
      <c r="A286" s="174">
        <v>3138</v>
      </c>
      <c r="B286" s="174">
        <v>6</v>
      </c>
      <c r="C286" t="s">
        <v>1346</v>
      </c>
      <c r="D286" s="795">
        <v>36677</v>
      </c>
      <c r="E286" t="s">
        <v>1121</v>
      </c>
      <c r="F286">
        <v>1</v>
      </c>
      <c r="G286" s="128"/>
    </row>
    <row r="287" spans="1:7" x14ac:dyDescent="0.25">
      <c r="A287" s="174">
        <v>3893</v>
      </c>
      <c r="B287" s="174">
        <v>0</v>
      </c>
      <c r="C287" t="s">
        <v>1347</v>
      </c>
      <c r="D287" s="795">
        <v>37973</v>
      </c>
      <c r="E287" t="s">
        <v>120</v>
      </c>
      <c r="F287">
        <v>1</v>
      </c>
      <c r="G287" s="128"/>
    </row>
    <row r="288" spans="1:7" x14ac:dyDescent="0.25">
      <c r="A288" s="174">
        <v>2049</v>
      </c>
      <c r="B288" s="174">
        <v>58</v>
      </c>
      <c r="C288" t="s">
        <v>780</v>
      </c>
      <c r="D288" s="795">
        <v>36595</v>
      </c>
      <c r="E288" t="s">
        <v>109</v>
      </c>
      <c r="F288">
        <v>1</v>
      </c>
      <c r="G288" s="128"/>
    </row>
    <row r="289" spans="1:7" x14ac:dyDescent="0.25">
      <c r="A289" s="174">
        <v>2037</v>
      </c>
      <c r="B289" s="174">
        <v>58</v>
      </c>
      <c r="C289" t="s">
        <v>195</v>
      </c>
      <c r="D289" s="795">
        <v>36864</v>
      </c>
      <c r="E289" t="s">
        <v>105</v>
      </c>
      <c r="F289">
        <v>1</v>
      </c>
      <c r="G289" s="128"/>
    </row>
    <row r="290" spans="1:7" x14ac:dyDescent="0.25">
      <c r="A290" s="174">
        <v>1994</v>
      </c>
      <c r="B290" s="174">
        <v>62</v>
      </c>
      <c r="C290" t="s">
        <v>458</v>
      </c>
      <c r="D290" s="795">
        <v>37188</v>
      </c>
      <c r="E290" t="s">
        <v>1129</v>
      </c>
      <c r="F290">
        <v>1</v>
      </c>
      <c r="G290" s="128"/>
    </row>
    <row r="291" spans="1:7" x14ac:dyDescent="0.25">
      <c r="A291" s="174">
        <v>2461</v>
      </c>
      <c r="B291" s="174">
        <v>33</v>
      </c>
      <c r="C291" t="s">
        <v>196</v>
      </c>
      <c r="D291" s="795">
        <v>36904</v>
      </c>
      <c r="E291" t="s">
        <v>128</v>
      </c>
      <c r="F291">
        <v>1</v>
      </c>
      <c r="G291" s="128"/>
    </row>
    <row r="292" spans="1:7" x14ac:dyDescent="0.25">
      <c r="A292" s="174">
        <v>3177</v>
      </c>
      <c r="B292" s="174">
        <v>5</v>
      </c>
      <c r="C292" t="s">
        <v>2436</v>
      </c>
      <c r="D292" s="795">
        <v>37167</v>
      </c>
      <c r="E292" t="s">
        <v>165</v>
      </c>
      <c r="F292">
        <v>1</v>
      </c>
      <c r="G292" s="128"/>
    </row>
    <row r="293" spans="1:7" x14ac:dyDescent="0.25">
      <c r="A293" s="174">
        <v>2165</v>
      </c>
      <c r="B293" s="174">
        <v>50</v>
      </c>
      <c r="C293" t="s">
        <v>1348</v>
      </c>
      <c r="D293" s="795">
        <v>36677</v>
      </c>
      <c r="E293" t="s">
        <v>1076</v>
      </c>
      <c r="F293">
        <v>1</v>
      </c>
      <c r="G293" s="128"/>
    </row>
    <row r="294" spans="1:7" x14ac:dyDescent="0.25">
      <c r="A294" s="174">
        <v>2717</v>
      </c>
      <c r="B294" s="174">
        <v>21</v>
      </c>
      <c r="C294" t="s">
        <v>459</v>
      </c>
      <c r="D294" s="795">
        <v>37003</v>
      </c>
      <c r="E294" t="s">
        <v>231</v>
      </c>
      <c r="F294">
        <v>1</v>
      </c>
      <c r="G294" s="128"/>
    </row>
    <row r="295" spans="1:7" x14ac:dyDescent="0.25">
      <c r="A295" s="174">
        <v>2560</v>
      </c>
      <c r="B295" s="174">
        <v>29</v>
      </c>
      <c r="C295" t="s">
        <v>655</v>
      </c>
      <c r="D295" s="795">
        <v>36952</v>
      </c>
      <c r="E295" t="s">
        <v>227</v>
      </c>
      <c r="F295">
        <v>1</v>
      </c>
      <c r="G295" s="128"/>
    </row>
    <row r="296" spans="1:7" x14ac:dyDescent="0.25">
      <c r="A296" s="174">
        <v>3075</v>
      </c>
      <c r="B296" s="174">
        <v>8</v>
      </c>
      <c r="C296" t="s">
        <v>1349</v>
      </c>
      <c r="D296" s="795">
        <v>36742</v>
      </c>
      <c r="E296" t="s">
        <v>127</v>
      </c>
      <c r="F296">
        <v>1</v>
      </c>
      <c r="G296" s="128"/>
    </row>
    <row r="297" spans="1:7" x14ac:dyDescent="0.25">
      <c r="A297" s="174">
        <v>2330</v>
      </c>
      <c r="B297" s="174">
        <v>40</v>
      </c>
      <c r="C297" t="s">
        <v>385</v>
      </c>
      <c r="D297" s="795">
        <v>37261</v>
      </c>
      <c r="E297" t="s">
        <v>1342</v>
      </c>
      <c r="F297">
        <v>1</v>
      </c>
      <c r="G297" s="128"/>
    </row>
    <row r="298" spans="1:7" x14ac:dyDescent="0.25">
      <c r="A298" s="174">
        <v>2716</v>
      </c>
      <c r="B298" s="174">
        <v>22</v>
      </c>
      <c r="C298" t="s">
        <v>1350</v>
      </c>
      <c r="D298" s="795">
        <v>37075</v>
      </c>
      <c r="E298" t="s">
        <v>1155</v>
      </c>
      <c r="F298">
        <v>1</v>
      </c>
      <c r="G298" s="128"/>
    </row>
    <row r="299" spans="1:7" x14ac:dyDescent="0.25">
      <c r="A299" s="174">
        <v>2235</v>
      </c>
      <c r="B299" s="174">
        <v>46</v>
      </c>
      <c r="C299" t="s">
        <v>1352</v>
      </c>
      <c r="D299" s="795">
        <v>36685</v>
      </c>
      <c r="E299" t="s">
        <v>1250</v>
      </c>
      <c r="F299">
        <v>1</v>
      </c>
      <c r="G299" s="128"/>
    </row>
    <row r="300" spans="1:7" x14ac:dyDescent="0.25">
      <c r="A300" s="174">
        <v>2308</v>
      </c>
      <c r="B300" s="174">
        <v>42</v>
      </c>
      <c r="C300" t="s">
        <v>1353</v>
      </c>
      <c r="D300" s="795">
        <v>36680</v>
      </c>
      <c r="E300" t="s">
        <v>1354</v>
      </c>
      <c r="F300">
        <v>1</v>
      </c>
      <c r="G300" s="128"/>
    </row>
    <row r="301" spans="1:7" x14ac:dyDescent="0.25">
      <c r="A301" s="174">
        <v>3837</v>
      </c>
      <c r="B301" s="174">
        <v>0</v>
      </c>
      <c r="C301" t="s">
        <v>1355</v>
      </c>
      <c r="D301" s="795">
        <v>37370</v>
      </c>
      <c r="E301" t="s">
        <v>120</v>
      </c>
      <c r="F301">
        <v>1</v>
      </c>
      <c r="G301" s="128"/>
    </row>
    <row r="302" spans="1:7" x14ac:dyDescent="0.25">
      <c r="A302" s="174">
        <v>3450</v>
      </c>
      <c r="B302" s="174">
        <v>0</v>
      </c>
      <c r="C302" t="s">
        <v>1356</v>
      </c>
      <c r="D302" s="795">
        <v>37755</v>
      </c>
      <c r="E302" t="s">
        <v>105</v>
      </c>
      <c r="F302">
        <v>1</v>
      </c>
      <c r="G302" s="128"/>
    </row>
    <row r="303" spans="1:7" x14ac:dyDescent="0.25">
      <c r="A303" s="174">
        <v>3475</v>
      </c>
      <c r="B303" s="174">
        <v>0</v>
      </c>
      <c r="C303" t="s">
        <v>2496</v>
      </c>
      <c r="D303" s="795">
        <v>36699</v>
      </c>
      <c r="E303" t="s">
        <v>2497</v>
      </c>
      <c r="F303">
        <v>1</v>
      </c>
      <c r="G303" s="128"/>
    </row>
    <row r="304" spans="1:7" x14ac:dyDescent="0.25">
      <c r="A304" s="174">
        <v>3382</v>
      </c>
      <c r="B304" s="174">
        <v>0</v>
      </c>
      <c r="C304" t="s">
        <v>198</v>
      </c>
      <c r="D304" s="795">
        <v>36562</v>
      </c>
      <c r="E304" t="s">
        <v>105</v>
      </c>
      <c r="F304">
        <v>1</v>
      </c>
      <c r="G304" s="128"/>
    </row>
    <row r="305" spans="1:7" x14ac:dyDescent="0.25">
      <c r="A305" s="174">
        <v>3471</v>
      </c>
      <c r="B305" s="174">
        <v>0</v>
      </c>
      <c r="C305" t="s">
        <v>2498</v>
      </c>
      <c r="D305" s="795">
        <v>37185</v>
      </c>
      <c r="E305" t="s">
        <v>128</v>
      </c>
      <c r="F305">
        <v>1</v>
      </c>
      <c r="G305" s="128"/>
    </row>
    <row r="306" spans="1:7" x14ac:dyDescent="0.25">
      <c r="A306" s="174">
        <v>3624</v>
      </c>
      <c r="B306" s="174">
        <v>0</v>
      </c>
      <c r="C306" t="s">
        <v>2437</v>
      </c>
      <c r="D306" s="795">
        <v>37337</v>
      </c>
      <c r="E306" t="s">
        <v>99</v>
      </c>
      <c r="F306">
        <v>1</v>
      </c>
      <c r="G306" s="128"/>
    </row>
    <row r="307" spans="1:7" x14ac:dyDescent="0.25">
      <c r="A307" s="174">
        <v>3660</v>
      </c>
      <c r="B307" s="174">
        <v>0</v>
      </c>
      <c r="C307" t="s">
        <v>1360</v>
      </c>
      <c r="D307" s="795">
        <v>36543</v>
      </c>
      <c r="E307" t="s">
        <v>120</v>
      </c>
      <c r="F307">
        <v>1</v>
      </c>
      <c r="G307" s="128"/>
    </row>
    <row r="308" spans="1:7" x14ac:dyDescent="0.25">
      <c r="A308" s="174">
        <v>1643</v>
      </c>
      <c r="B308" s="174">
        <v>101</v>
      </c>
      <c r="C308" t="s">
        <v>460</v>
      </c>
      <c r="D308" s="795">
        <v>36907</v>
      </c>
      <c r="E308" t="s">
        <v>1089</v>
      </c>
      <c r="F308">
        <v>1</v>
      </c>
      <c r="G308" s="128"/>
    </row>
    <row r="309" spans="1:7" x14ac:dyDescent="0.25">
      <c r="A309" s="174">
        <v>3097</v>
      </c>
      <c r="B309" s="174">
        <v>7</v>
      </c>
      <c r="C309" t="s">
        <v>2499</v>
      </c>
      <c r="D309" s="795">
        <v>37770</v>
      </c>
      <c r="E309" t="s">
        <v>83</v>
      </c>
      <c r="F309">
        <v>1</v>
      </c>
      <c r="G309" s="128"/>
    </row>
    <row r="310" spans="1:7" x14ac:dyDescent="0.25">
      <c r="A310" s="174">
        <v>3935</v>
      </c>
      <c r="B310" s="174">
        <v>0</v>
      </c>
      <c r="C310" t="s">
        <v>1365</v>
      </c>
      <c r="D310" s="795">
        <v>36805</v>
      </c>
      <c r="E310" t="s">
        <v>290</v>
      </c>
      <c r="F310">
        <v>1</v>
      </c>
      <c r="G310" s="128"/>
    </row>
    <row r="311" spans="1:7" x14ac:dyDescent="0.25">
      <c r="A311" s="174">
        <v>2473</v>
      </c>
      <c r="B311" s="174">
        <v>33</v>
      </c>
      <c r="C311" t="s">
        <v>1366</v>
      </c>
      <c r="D311" s="795">
        <v>36946</v>
      </c>
      <c r="E311" t="s">
        <v>1367</v>
      </c>
      <c r="F311">
        <v>1</v>
      </c>
      <c r="G311" s="128"/>
    </row>
    <row r="312" spans="1:7" x14ac:dyDescent="0.25">
      <c r="A312" s="174">
        <v>2507</v>
      </c>
      <c r="B312" s="174">
        <v>32</v>
      </c>
      <c r="C312" t="s">
        <v>1368</v>
      </c>
      <c r="D312" s="795">
        <v>37052</v>
      </c>
      <c r="E312" t="s">
        <v>120</v>
      </c>
      <c r="F312">
        <v>1</v>
      </c>
      <c r="G312" s="128"/>
    </row>
    <row r="313" spans="1:7" x14ac:dyDescent="0.25">
      <c r="A313" s="174">
        <v>1819</v>
      </c>
      <c r="B313" s="174">
        <v>81</v>
      </c>
      <c r="C313" t="s">
        <v>1369</v>
      </c>
      <c r="D313" s="795">
        <v>37125</v>
      </c>
      <c r="E313" t="s">
        <v>99</v>
      </c>
      <c r="F313">
        <v>1</v>
      </c>
      <c r="G313" s="128"/>
    </row>
    <row r="314" spans="1:7" x14ac:dyDescent="0.25">
      <c r="A314" s="174">
        <v>2287</v>
      </c>
      <c r="B314" s="174">
        <v>43</v>
      </c>
      <c r="C314" t="s">
        <v>461</v>
      </c>
      <c r="D314" s="795">
        <v>36569</v>
      </c>
      <c r="E314" t="s">
        <v>290</v>
      </c>
      <c r="F314">
        <v>1</v>
      </c>
      <c r="G314" s="128"/>
    </row>
    <row r="315" spans="1:7" x14ac:dyDescent="0.25">
      <c r="A315" s="174">
        <v>3722</v>
      </c>
      <c r="B315" s="174">
        <v>0</v>
      </c>
      <c r="C315" t="s">
        <v>1370</v>
      </c>
      <c r="D315" s="795">
        <v>37152</v>
      </c>
      <c r="E315" t="s">
        <v>105</v>
      </c>
      <c r="F315">
        <v>1</v>
      </c>
      <c r="G315" s="128"/>
    </row>
    <row r="316" spans="1:7" x14ac:dyDescent="0.25">
      <c r="A316" s="174">
        <v>2625</v>
      </c>
      <c r="B316" s="174">
        <v>26</v>
      </c>
      <c r="C316" t="s">
        <v>1372</v>
      </c>
      <c r="D316" s="795">
        <v>36705</v>
      </c>
      <c r="E316" t="s">
        <v>120</v>
      </c>
      <c r="F316">
        <v>1</v>
      </c>
      <c r="G316" s="128"/>
    </row>
    <row r="317" spans="1:7" x14ac:dyDescent="0.25">
      <c r="A317" s="174">
        <v>2264</v>
      </c>
      <c r="B317" s="174">
        <v>44</v>
      </c>
      <c r="C317" t="s">
        <v>201</v>
      </c>
      <c r="D317" s="795">
        <v>36789</v>
      </c>
      <c r="E317" t="s">
        <v>1367</v>
      </c>
      <c r="F317">
        <v>1</v>
      </c>
      <c r="G317" s="128"/>
    </row>
    <row r="318" spans="1:7" x14ac:dyDescent="0.25">
      <c r="A318" s="174">
        <v>3923</v>
      </c>
      <c r="B318" s="174">
        <v>0</v>
      </c>
      <c r="C318" t="s">
        <v>1373</v>
      </c>
      <c r="D318" s="795">
        <v>37614</v>
      </c>
      <c r="E318" t="s">
        <v>120</v>
      </c>
      <c r="F318">
        <v>1</v>
      </c>
      <c r="G318" s="128"/>
    </row>
    <row r="319" spans="1:7" x14ac:dyDescent="0.25">
      <c r="A319" s="174">
        <v>2358</v>
      </c>
      <c r="B319" s="174">
        <v>39</v>
      </c>
      <c r="C319" t="s">
        <v>656</v>
      </c>
      <c r="D319" s="795">
        <v>36534</v>
      </c>
      <c r="E319" t="s">
        <v>1374</v>
      </c>
      <c r="F319">
        <v>1</v>
      </c>
      <c r="G319" s="128"/>
    </row>
    <row r="320" spans="1:7" x14ac:dyDescent="0.25">
      <c r="A320" s="174">
        <v>3104</v>
      </c>
      <c r="B320" s="174">
        <v>7</v>
      </c>
      <c r="C320" t="s">
        <v>1375</v>
      </c>
      <c r="D320" s="795">
        <v>36904</v>
      </c>
      <c r="E320" t="s">
        <v>113</v>
      </c>
      <c r="F320">
        <v>1</v>
      </c>
      <c r="G320" s="128"/>
    </row>
    <row r="321" spans="1:7" x14ac:dyDescent="0.25">
      <c r="A321" s="174">
        <v>1805</v>
      </c>
      <c r="B321" s="174">
        <v>82</v>
      </c>
      <c r="C321" t="s">
        <v>462</v>
      </c>
      <c r="D321" s="795">
        <v>36748</v>
      </c>
      <c r="E321" t="s">
        <v>99</v>
      </c>
      <c r="F321">
        <v>1</v>
      </c>
      <c r="G321" s="128"/>
    </row>
    <row r="322" spans="1:7" x14ac:dyDescent="0.25">
      <c r="A322" s="174">
        <v>2208</v>
      </c>
      <c r="B322" s="174">
        <v>47</v>
      </c>
      <c r="C322" t="s">
        <v>462</v>
      </c>
      <c r="D322" s="795">
        <v>36937</v>
      </c>
      <c r="E322" t="s">
        <v>105</v>
      </c>
      <c r="F322">
        <v>1</v>
      </c>
      <c r="G322" s="128"/>
    </row>
    <row r="323" spans="1:7" x14ac:dyDescent="0.25">
      <c r="A323" s="174">
        <v>1139</v>
      </c>
      <c r="B323" s="174">
        <v>200</v>
      </c>
      <c r="C323" t="s">
        <v>657</v>
      </c>
      <c r="D323" s="795">
        <v>37265</v>
      </c>
      <c r="E323" t="s">
        <v>186</v>
      </c>
      <c r="F323">
        <v>1</v>
      </c>
      <c r="G323" s="128"/>
    </row>
    <row r="324" spans="1:7" x14ac:dyDescent="0.25">
      <c r="A324" s="174">
        <v>2774</v>
      </c>
      <c r="B324" s="174">
        <v>19</v>
      </c>
      <c r="C324" t="s">
        <v>386</v>
      </c>
      <c r="D324" s="795">
        <v>36674</v>
      </c>
      <c r="E324" t="s">
        <v>99</v>
      </c>
      <c r="F324">
        <v>1</v>
      </c>
      <c r="G324" s="128"/>
    </row>
    <row r="325" spans="1:7" x14ac:dyDescent="0.25">
      <c r="A325" s="174">
        <v>3756</v>
      </c>
      <c r="B325" s="174">
        <v>0</v>
      </c>
      <c r="C325" t="s">
        <v>1376</v>
      </c>
      <c r="D325" s="795">
        <v>37104</v>
      </c>
      <c r="E325" t="s">
        <v>1143</v>
      </c>
      <c r="F325">
        <v>1</v>
      </c>
      <c r="G325" s="128"/>
    </row>
    <row r="326" spans="1:7" x14ac:dyDescent="0.25">
      <c r="A326" s="174">
        <v>3698</v>
      </c>
      <c r="B326" s="174">
        <v>0</v>
      </c>
      <c r="C326" t="s">
        <v>1377</v>
      </c>
      <c r="D326" s="795">
        <v>37355</v>
      </c>
      <c r="E326" t="s">
        <v>183</v>
      </c>
      <c r="F326">
        <v>1</v>
      </c>
      <c r="G326" s="128"/>
    </row>
    <row r="327" spans="1:7" x14ac:dyDescent="0.25">
      <c r="A327" s="174">
        <v>3302</v>
      </c>
      <c r="B327" s="174">
        <v>2</v>
      </c>
      <c r="C327" t="s">
        <v>1378</v>
      </c>
      <c r="D327" s="795">
        <v>37269</v>
      </c>
      <c r="E327" t="s">
        <v>227</v>
      </c>
      <c r="F327">
        <v>1</v>
      </c>
      <c r="G327" s="128"/>
    </row>
    <row r="328" spans="1:7" x14ac:dyDescent="0.25">
      <c r="A328" s="174">
        <v>3896</v>
      </c>
      <c r="B328" s="174">
        <v>0</v>
      </c>
      <c r="C328" t="s">
        <v>1379</v>
      </c>
      <c r="D328" s="795">
        <v>36615</v>
      </c>
      <c r="E328" t="s">
        <v>120</v>
      </c>
      <c r="F328">
        <v>1</v>
      </c>
      <c r="G328" s="128"/>
    </row>
    <row r="329" spans="1:7" x14ac:dyDescent="0.25">
      <c r="A329" s="174">
        <v>3146</v>
      </c>
      <c r="B329" s="174">
        <v>6</v>
      </c>
      <c r="C329" t="s">
        <v>1380</v>
      </c>
      <c r="D329" s="795">
        <v>37539</v>
      </c>
      <c r="E329" t="s">
        <v>120</v>
      </c>
      <c r="F329">
        <v>1</v>
      </c>
      <c r="G329" s="128"/>
    </row>
    <row r="330" spans="1:7" x14ac:dyDescent="0.25">
      <c r="A330" s="174">
        <v>2325</v>
      </c>
      <c r="B330" s="174">
        <v>41</v>
      </c>
      <c r="C330" t="s">
        <v>1381</v>
      </c>
      <c r="D330" s="795">
        <v>37077</v>
      </c>
      <c r="E330" t="s">
        <v>120</v>
      </c>
      <c r="F330">
        <v>1</v>
      </c>
      <c r="G330" s="128"/>
    </row>
    <row r="331" spans="1:7" x14ac:dyDescent="0.25">
      <c r="A331" s="174">
        <v>3330</v>
      </c>
      <c r="B331" s="174">
        <v>1</v>
      </c>
      <c r="C331" t="s">
        <v>1383</v>
      </c>
      <c r="D331" s="795">
        <v>37071</v>
      </c>
      <c r="E331" t="s">
        <v>105</v>
      </c>
      <c r="F331">
        <v>1</v>
      </c>
      <c r="G331" s="128"/>
    </row>
    <row r="332" spans="1:7" x14ac:dyDescent="0.25">
      <c r="A332" s="174">
        <v>3555</v>
      </c>
      <c r="B332" s="174">
        <v>0</v>
      </c>
      <c r="C332" t="s">
        <v>1384</v>
      </c>
      <c r="D332" s="795">
        <v>36771</v>
      </c>
      <c r="E332" t="s">
        <v>183</v>
      </c>
      <c r="F332">
        <v>1</v>
      </c>
      <c r="G332" s="128"/>
    </row>
    <row r="333" spans="1:7" x14ac:dyDescent="0.25">
      <c r="A333" s="174">
        <v>3613</v>
      </c>
      <c r="B333" s="174">
        <v>0</v>
      </c>
      <c r="C333" t="s">
        <v>1385</v>
      </c>
      <c r="D333" s="795">
        <v>37393</v>
      </c>
      <c r="E333" t="s">
        <v>107</v>
      </c>
      <c r="F333">
        <v>1</v>
      </c>
      <c r="G333" s="128"/>
    </row>
    <row r="334" spans="1:7" x14ac:dyDescent="0.25">
      <c r="A334" s="174">
        <v>3940</v>
      </c>
      <c r="B334" s="174">
        <v>0</v>
      </c>
      <c r="C334" t="s">
        <v>1386</v>
      </c>
      <c r="D334" s="795">
        <v>37344</v>
      </c>
      <c r="E334" t="s">
        <v>1069</v>
      </c>
      <c r="F334">
        <v>1</v>
      </c>
      <c r="G334" s="128"/>
    </row>
    <row r="335" spans="1:7" x14ac:dyDescent="0.25">
      <c r="A335" s="174">
        <v>3134</v>
      </c>
      <c r="B335" s="174">
        <v>6</v>
      </c>
      <c r="C335" t="s">
        <v>85</v>
      </c>
      <c r="D335" s="795">
        <v>37250</v>
      </c>
      <c r="E335" t="s">
        <v>105</v>
      </c>
      <c r="F335">
        <v>1</v>
      </c>
      <c r="G335" s="128"/>
    </row>
    <row r="336" spans="1:7" x14ac:dyDescent="0.25">
      <c r="A336" s="174">
        <v>3367</v>
      </c>
      <c r="B336" s="174">
        <v>1</v>
      </c>
      <c r="C336" t="s">
        <v>1387</v>
      </c>
      <c r="D336" s="795">
        <v>36905</v>
      </c>
      <c r="E336" t="s">
        <v>99</v>
      </c>
      <c r="F336">
        <v>1</v>
      </c>
      <c r="G336" s="128"/>
    </row>
    <row r="337" spans="1:7" x14ac:dyDescent="0.25">
      <c r="A337" s="174">
        <v>3915</v>
      </c>
      <c r="B337" s="174">
        <v>0</v>
      </c>
      <c r="C337" t="s">
        <v>1392</v>
      </c>
      <c r="D337" s="795">
        <v>37371</v>
      </c>
      <c r="E337" t="s">
        <v>117</v>
      </c>
      <c r="F337">
        <v>1</v>
      </c>
      <c r="G337" s="128"/>
    </row>
    <row r="338" spans="1:7" x14ac:dyDescent="0.25">
      <c r="A338" s="174">
        <v>2742</v>
      </c>
      <c r="B338" s="174">
        <v>20</v>
      </c>
      <c r="C338" t="s">
        <v>463</v>
      </c>
      <c r="D338" s="795">
        <v>36583</v>
      </c>
      <c r="E338" t="s">
        <v>112</v>
      </c>
      <c r="F338">
        <v>1</v>
      </c>
      <c r="G338" s="128"/>
    </row>
    <row r="339" spans="1:7" x14ac:dyDescent="0.25">
      <c r="A339" s="174">
        <v>3916</v>
      </c>
      <c r="B339" s="174">
        <v>0</v>
      </c>
      <c r="C339" t="s">
        <v>1393</v>
      </c>
      <c r="D339" s="795">
        <v>36578</v>
      </c>
      <c r="E339" t="s">
        <v>1394</v>
      </c>
      <c r="F339">
        <v>1</v>
      </c>
      <c r="G339" s="128"/>
    </row>
    <row r="340" spans="1:7" x14ac:dyDescent="0.25">
      <c r="A340" s="174">
        <v>2093</v>
      </c>
      <c r="B340" s="174">
        <v>54</v>
      </c>
      <c r="C340" t="s">
        <v>204</v>
      </c>
      <c r="D340" s="795">
        <v>36892</v>
      </c>
      <c r="E340" t="s">
        <v>163</v>
      </c>
      <c r="F340">
        <v>1</v>
      </c>
      <c r="G340" s="128"/>
    </row>
    <row r="341" spans="1:7" x14ac:dyDescent="0.25">
      <c r="A341" s="174">
        <v>2465</v>
      </c>
      <c r="B341" s="174">
        <v>33</v>
      </c>
      <c r="C341" t="s">
        <v>464</v>
      </c>
      <c r="D341" s="795">
        <v>37060</v>
      </c>
      <c r="E341" t="s">
        <v>165</v>
      </c>
      <c r="F341">
        <v>1</v>
      </c>
      <c r="G341" s="128"/>
    </row>
    <row r="342" spans="1:7" x14ac:dyDescent="0.25">
      <c r="A342" s="174">
        <v>3691</v>
      </c>
      <c r="B342" s="174">
        <v>0</v>
      </c>
      <c r="C342" t="s">
        <v>1396</v>
      </c>
      <c r="D342" s="795">
        <v>37159</v>
      </c>
      <c r="E342" t="s">
        <v>365</v>
      </c>
      <c r="F342">
        <v>1</v>
      </c>
      <c r="G342" s="128"/>
    </row>
    <row r="343" spans="1:7" x14ac:dyDescent="0.25">
      <c r="A343" s="174">
        <v>3546</v>
      </c>
      <c r="B343" s="174">
        <v>0</v>
      </c>
      <c r="C343" t="s">
        <v>2500</v>
      </c>
      <c r="D343" s="795">
        <v>36892</v>
      </c>
      <c r="E343" t="s">
        <v>1390</v>
      </c>
      <c r="F343">
        <v>1</v>
      </c>
      <c r="G343" s="128"/>
    </row>
    <row r="344" spans="1:7" x14ac:dyDescent="0.25">
      <c r="A344" s="174">
        <v>3876</v>
      </c>
      <c r="B344" s="174">
        <v>0</v>
      </c>
      <c r="C344" t="s">
        <v>1399</v>
      </c>
      <c r="D344" s="795">
        <v>37276</v>
      </c>
      <c r="E344" t="s">
        <v>165</v>
      </c>
      <c r="F344">
        <v>1</v>
      </c>
      <c r="G344" s="128"/>
    </row>
    <row r="345" spans="1:7" x14ac:dyDescent="0.25">
      <c r="A345" s="174">
        <v>3191</v>
      </c>
      <c r="B345" s="174">
        <v>5</v>
      </c>
      <c r="C345" t="s">
        <v>1402</v>
      </c>
      <c r="D345" s="795">
        <v>37488</v>
      </c>
      <c r="E345" t="s">
        <v>120</v>
      </c>
      <c r="F345">
        <v>1</v>
      </c>
      <c r="G345" s="128"/>
    </row>
    <row r="346" spans="1:7" x14ac:dyDescent="0.25">
      <c r="A346" s="174">
        <v>2297</v>
      </c>
      <c r="B346" s="174">
        <v>43</v>
      </c>
      <c r="C346" t="s">
        <v>782</v>
      </c>
      <c r="D346" s="795">
        <v>36543</v>
      </c>
      <c r="E346" t="s">
        <v>1367</v>
      </c>
      <c r="F346">
        <v>1</v>
      </c>
      <c r="G346" s="128"/>
    </row>
    <row r="347" spans="1:7" x14ac:dyDescent="0.25">
      <c r="A347" s="174">
        <v>3757</v>
      </c>
      <c r="B347" s="174">
        <v>0</v>
      </c>
      <c r="C347" t="s">
        <v>1403</v>
      </c>
      <c r="D347" s="795">
        <v>36651</v>
      </c>
      <c r="E347" t="s">
        <v>165</v>
      </c>
      <c r="F347">
        <v>1</v>
      </c>
      <c r="G347" s="128"/>
    </row>
    <row r="348" spans="1:7" x14ac:dyDescent="0.25">
      <c r="A348" s="174">
        <v>3314</v>
      </c>
      <c r="B348" s="174">
        <v>2</v>
      </c>
      <c r="C348" t="s">
        <v>1404</v>
      </c>
      <c r="D348" s="795">
        <v>37009</v>
      </c>
      <c r="E348" t="s">
        <v>120</v>
      </c>
      <c r="F348">
        <v>1</v>
      </c>
      <c r="G348" s="128"/>
    </row>
    <row r="349" spans="1:7" x14ac:dyDescent="0.25">
      <c r="A349" s="174">
        <v>2868</v>
      </c>
      <c r="B349" s="174">
        <v>15</v>
      </c>
      <c r="C349" t="s">
        <v>205</v>
      </c>
      <c r="D349" s="795">
        <v>36849</v>
      </c>
      <c r="E349" t="s">
        <v>1143</v>
      </c>
      <c r="F349">
        <v>1</v>
      </c>
      <c r="G349" s="128"/>
    </row>
    <row r="350" spans="1:7" x14ac:dyDescent="0.25">
      <c r="A350" s="174">
        <v>3917</v>
      </c>
      <c r="B350" s="174">
        <v>0</v>
      </c>
      <c r="C350" t="s">
        <v>1406</v>
      </c>
      <c r="D350" s="795">
        <v>37715</v>
      </c>
      <c r="E350" t="s">
        <v>117</v>
      </c>
      <c r="F350">
        <v>1</v>
      </c>
      <c r="G350" s="128"/>
    </row>
    <row r="351" spans="1:7" x14ac:dyDescent="0.25">
      <c r="A351" s="174">
        <v>2213</v>
      </c>
      <c r="B351" s="174">
        <v>47</v>
      </c>
      <c r="C351" t="s">
        <v>783</v>
      </c>
      <c r="D351" s="795">
        <v>37390</v>
      </c>
      <c r="E351" t="s">
        <v>179</v>
      </c>
      <c r="F351">
        <v>1</v>
      </c>
      <c r="G351" s="128"/>
    </row>
    <row r="352" spans="1:7" x14ac:dyDescent="0.25">
      <c r="A352" s="174">
        <v>2065</v>
      </c>
      <c r="B352" s="174">
        <v>56</v>
      </c>
      <c r="C352" t="s">
        <v>1407</v>
      </c>
      <c r="D352" s="795">
        <v>36854</v>
      </c>
      <c r="E352" t="s">
        <v>122</v>
      </c>
      <c r="F352">
        <v>1</v>
      </c>
      <c r="G352" s="128"/>
    </row>
    <row r="353" spans="1:7" x14ac:dyDescent="0.25">
      <c r="A353" s="174">
        <v>3783</v>
      </c>
      <c r="B353" s="174">
        <v>0</v>
      </c>
      <c r="C353" t="s">
        <v>1408</v>
      </c>
      <c r="D353" s="795">
        <v>36800</v>
      </c>
      <c r="E353" t="s">
        <v>133</v>
      </c>
      <c r="F353">
        <v>1</v>
      </c>
      <c r="G353" s="128"/>
    </row>
    <row r="354" spans="1:7" x14ac:dyDescent="0.25">
      <c r="A354" s="174">
        <v>3918</v>
      </c>
      <c r="B354" s="174">
        <v>0</v>
      </c>
      <c r="C354" t="s">
        <v>1409</v>
      </c>
      <c r="D354" s="795">
        <v>37380</v>
      </c>
      <c r="E354" t="s">
        <v>117</v>
      </c>
      <c r="F354">
        <v>1</v>
      </c>
      <c r="G354" s="128"/>
    </row>
    <row r="355" spans="1:7" x14ac:dyDescent="0.25">
      <c r="A355" s="174">
        <v>3534</v>
      </c>
      <c r="B355" s="174">
        <v>0</v>
      </c>
      <c r="C355" t="s">
        <v>2501</v>
      </c>
      <c r="D355" s="795">
        <v>37543</v>
      </c>
      <c r="E355" t="s">
        <v>103</v>
      </c>
      <c r="F355">
        <v>1</v>
      </c>
      <c r="G355" s="128"/>
    </row>
    <row r="356" spans="1:7" x14ac:dyDescent="0.25">
      <c r="A356" s="174">
        <v>3678</v>
      </c>
      <c r="B356" s="174">
        <v>0</v>
      </c>
      <c r="C356" t="s">
        <v>1411</v>
      </c>
      <c r="D356" s="795">
        <v>36786</v>
      </c>
      <c r="E356" t="s">
        <v>1089</v>
      </c>
      <c r="F356">
        <v>1</v>
      </c>
      <c r="G356" s="128"/>
    </row>
    <row r="357" spans="1:7" x14ac:dyDescent="0.25">
      <c r="A357" s="174">
        <v>3515</v>
      </c>
      <c r="B357" s="174">
        <v>0</v>
      </c>
      <c r="C357" t="s">
        <v>2502</v>
      </c>
      <c r="D357" s="795">
        <v>36893</v>
      </c>
      <c r="E357" t="s">
        <v>74</v>
      </c>
      <c r="F357">
        <v>1</v>
      </c>
      <c r="G357" s="128"/>
    </row>
    <row r="358" spans="1:7" x14ac:dyDescent="0.25">
      <c r="A358" s="174">
        <v>2853</v>
      </c>
      <c r="B358" s="174">
        <v>16</v>
      </c>
      <c r="C358" t="s">
        <v>1412</v>
      </c>
      <c r="D358" s="795">
        <v>37094</v>
      </c>
      <c r="E358" t="s">
        <v>1214</v>
      </c>
      <c r="F358">
        <v>1</v>
      </c>
      <c r="G358" s="128"/>
    </row>
    <row r="359" spans="1:7" x14ac:dyDescent="0.25">
      <c r="A359" s="174">
        <v>3877</v>
      </c>
      <c r="B359" s="174">
        <v>0</v>
      </c>
      <c r="C359" t="s">
        <v>1413</v>
      </c>
      <c r="D359" s="795">
        <v>37341</v>
      </c>
      <c r="E359" t="s">
        <v>165</v>
      </c>
      <c r="F359">
        <v>1</v>
      </c>
      <c r="G359" s="128"/>
    </row>
    <row r="360" spans="1:7" x14ac:dyDescent="0.25">
      <c r="A360" s="174">
        <v>2976</v>
      </c>
      <c r="B360" s="174">
        <v>11</v>
      </c>
      <c r="C360" t="s">
        <v>1416</v>
      </c>
      <c r="D360" s="795">
        <v>36716</v>
      </c>
      <c r="E360" t="s">
        <v>1178</v>
      </c>
      <c r="F360">
        <v>1</v>
      </c>
      <c r="G360" s="128"/>
    </row>
    <row r="361" spans="1:7" x14ac:dyDescent="0.25">
      <c r="A361" s="174">
        <v>3219</v>
      </c>
      <c r="B361" s="174">
        <v>4</v>
      </c>
      <c r="C361" t="s">
        <v>1417</v>
      </c>
      <c r="D361" s="795">
        <v>37470</v>
      </c>
      <c r="E361" t="s">
        <v>165</v>
      </c>
      <c r="F361">
        <v>1</v>
      </c>
      <c r="G361" s="128"/>
    </row>
    <row r="362" spans="1:7" x14ac:dyDescent="0.25">
      <c r="A362" s="174">
        <v>2471</v>
      </c>
      <c r="B362" s="174">
        <v>33</v>
      </c>
      <c r="C362" t="s">
        <v>1418</v>
      </c>
      <c r="D362" s="795">
        <v>36593</v>
      </c>
      <c r="E362" t="s">
        <v>1419</v>
      </c>
      <c r="F362">
        <v>1</v>
      </c>
      <c r="G362" s="128"/>
    </row>
    <row r="363" spans="1:7" x14ac:dyDescent="0.25">
      <c r="A363" s="174">
        <v>526</v>
      </c>
      <c r="B363" s="174">
        <v>483</v>
      </c>
      <c r="C363" t="s">
        <v>207</v>
      </c>
      <c r="D363" s="795">
        <v>36561</v>
      </c>
      <c r="E363" t="s">
        <v>832</v>
      </c>
      <c r="F363">
        <v>1</v>
      </c>
      <c r="G363" s="128"/>
    </row>
    <row r="364" spans="1:7" x14ac:dyDescent="0.25">
      <c r="A364" s="174">
        <v>3713</v>
      </c>
      <c r="B364" s="174">
        <v>0</v>
      </c>
      <c r="C364" t="s">
        <v>1421</v>
      </c>
      <c r="D364" s="795">
        <v>36640</v>
      </c>
      <c r="E364" t="s">
        <v>105</v>
      </c>
      <c r="F364">
        <v>1</v>
      </c>
      <c r="G364" s="128"/>
    </row>
    <row r="365" spans="1:7" x14ac:dyDescent="0.25">
      <c r="A365" s="174">
        <v>3649</v>
      </c>
      <c r="B365" s="174">
        <v>0</v>
      </c>
      <c r="C365" t="s">
        <v>1422</v>
      </c>
      <c r="D365" s="795">
        <v>36526</v>
      </c>
      <c r="E365" t="s">
        <v>105</v>
      </c>
      <c r="F365">
        <v>1</v>
      </c>
      <c r="G365" s="128"/>
    </row>
    <row r="366" spans="1:7" x14ac:dyDescent="0.25">
      <c r="A366" s="174">
        <v>3183</v>
      </c>
      <c r="B366" s="174">
        <v>5</v>
      </c>
      <c r="C366" t="s">
        <v>2438</v>
      </c>
      <c r="D366" s="795">
        <v>37257</v>
      </c>
      <c r="E366" t="s">
        <v>136</v>
      </c>
      <c r="F366">
        <v>1</v>
      </c>
      <c r="G366" s="128"/>
    </row>
    <row r="367" spans="1:7" x14ac:dyDescent="0.25">
      <c r="A367" s="174">
        <v>2357</v>
      </c>
      <c r="B367" s="174">
        <v>39</v>
      </c>
      <c r="C367" t="s">
        <v>1423</v>
      </c>
      <c r="D367" s="795">
        <v>36724</v>
      </c>
      <c r="E367" t="s">
        <v>103</v>
      </c>
      <c r="F367">
        <v>1</v>
      </c>
      <c r="G367" s="128"/>
    </row>
    <row r="368" spans="1:7" x14ac:dyDescent="0.25">
      <c r="A368" s="174">
        <v>1970</v>
      </c>
      <c r="B368" s="174">
        <v>65</v>
      </c>
      <c r="C368" t="s">
        <v>1424</v>
      </c>
      <c r="D368" s="795">
        <v>36563</v>
      </c>
      <c r="E368" t="s">
        <v>147</v>
      </c>
      <c r="F368">
        <v>1</v>
      </c>
      <c r="G368" s="128"/>
    </row>
    <row r="369" spans="1:7" x14ac:dyDescent="0.25">
      <c r="A369" s="174">
        <v>2142</v>
      </c>
      <c r="B369" s="174">
        <v>51</v>
      </c>
      <c r="C369" t="s">
        <v>1425</v>
      </c>
      <c r="D369" s="795">
        <v>36638</v>
      </c>
      <c r="E369" t="s">
        <v>128</v>
      </c>
      <c r="F369">
        <v>1</v>
      </c>
      <c r="G369" s="128"/>
    </row>
    <row r="370" spans="1:7" x14ac:dyDescent="0.25">
      <c r="A370" s="174">
        <v>3692</v>
      </c>
      <c r="B370" s="174">
        <v>0</v>
      </c>
      <c r="C370" t="s">
        <v>1426</v>
      </c>
      <c r="D370" s="795">
        <v>37070</v>
      </c>
      <c r="E370" t="s">
        <v>179</v>
      </c>
      <c r="F370">
        <v>1</v>
      </c>
      <c r="G370" s="128"/>
    </row>
    <row r="371" spans="1:7" x14ac:dyDescent="0.25">
      <c r="A371" s="174">
        <v>2401</v>
      </c>
      <c r="B371" s="174">
        <v>37</v>
      </c>
      <c r="C371" t="s">
        <v>1427</v>
      </c>
      <c r="D371" s="795">
        <v>36892</v>
      </c>
      <c r="E371" t="s">
        <v>1075</v>
      </c>
      <c r="F371">
        <v>1</v>
      </c>
      <c r="G371" s="128"/>
    </row>
    <row r="372" spans="1:7" x14ac:dyDescent="0.25">
      <c r="A372" s="174">
        <v>2919</v>
      </c>
      <c r="B372" s="174">
        <v>13</v>
      </c>
      <c r="C372" t="s">
        <v>1430</v>
      </c>
      <c r="D372" s="795">
        <v>37303</v>
      </c>
      <c r="E372" t="s">
        <v>113</v>
      </c>
      <c r="F372">
        <v>1</v>
      </c>
      <c r="G372" s="128"/>
    </row>
    <row r="373" spans="1:7" x14ac:dyDescent="0.25">
      <c r="A373" s="174">
        <v>1971</v>
      </c>
      <c r="B373" s="174">
        <v>64</v>
      </c>
      <c r="C373" t="s">
        <v>209</v>
      </c>
      <c r="D373" s="795">
        <v>37023</v>
      </c>
      <c r="E373" t="s">
        <v>105</v>
      </c>
      <c r="F373">
        <v>1</v>
      </c>
      <c r="G373" s="128"/>
    </row>
    <row r="374" spans="1:7" x14ac:dyDescent="0.25">
      <c r="A374" s="174">
        <v>1621</v>
      </c>
      <c r="B374" s="174">
        <v>105</v>
      </c>
      <c r="C374" t="s">
        <v>387</v>
      </c>
      <c r="D374" s="795">
        <v>36563</v>
      </c>
      <c r="E374" t="s">
        <v>120</v>
      </c>
      <c r="F374">
        <v>1</v>
      </c>
      <c r="G374" s="128"/>
    </row>
    <row r="375" spans="1:7" x14ac:dyDescent="0.25">
      <c r="A375" s="174">
        <v>1768</v>
      </c>
      <c r="B375" s="174">
        <v>86</v>
      </c>
      <c r="C375" t="s">
        <v>210</v>
      </c>
      <c r="D375" s="795">
        <v>36563</v>
      </c>
      <c r="E375" t="s">
        <v>105</v>
      </c>
      <c r="F375">
        <v>1</v>
      </c>
      <c r="G375" s="128"/>
    </row>
    <row r="376" spans="1:7" x14ac:dyDescent="0.25">
      <c r="A376" s="174">
        <v>3377</v>
      </c>
      <c r="B376" s="174">
        <v>0</v>
      </c>
      <c r="C376" t="s">
        <v>211</v>
      </c>
      <c r="D376" s="795">
        <v>36629</v>
      </c>
      <c r="E376" t="s">
        <v>110</v>
      </c>
      <c r="F376">
        <v>1</v>
      </c>
      <c r="G376" s="128"/>
    </row>
    <row r="377" spans="1:7" x14ac:dyDescent="0.25">
      <c r="A377" s="174">
        <v>3037</v>
      </c>
      <c r="B377" s="174">
        <v>9</v>
      </c>
      <c r="C377" t="s">
        <v>1432</v>
      </c>
      <c r="D377" s="795">
        <v>37111</v>
      </c>
      <c r="E377" t="s">
        <v>105</v>
      </c>
      <c r="F377">
        <v>1</v>
      </c>
      <c r="G377" s="128"/>
    </row>
    <row r="378" spans="1:7" x14ac:dyDescent="0.25">
      <c r="A378" s="174">
        <v>1691</v>
      </c>
      <c r="B378" s="174">
        <v>95</v>
      </c>
      <c r="C378" t="s">
        <v>658</v>
      </c>
      <c r="D378" s="795">
        <v>37407</v>
      </c>
      <c r="E378" t="s">
        <v>105</v>
      </c>
      <c r="F378">
        <v>1</v>
      </c>
      <c r="G378" s="128"/>
    </row>
    <row r="379" spans="1:7" x14ac:dyDescent="0.25">
      <c r="A379" s="174">
        <v>2226</v>
      </c>
      <c r="B379" s="174">
        <v>46</v>
      </c>
      <c r="C379" t="s">
        <v>1434</v>
      </c>
      <c r="D379" s="795">
        <v>36916</v>
      </c>
      <c r="E379" t="s">
        <v>1121</v>
      </c>
      <c r="F379">
        <v>1</v>
      </c>
      <c r="G379" s="128"/>
    </row>
    <row r="380" spans="1:7" x14ac:dyDescent="0.25">
      <c r="A380" s="174">
        <v>2650</v>
      </c>
      <c r="B380" s="174">
        <v>25</v>
      </c>
      <c r="C380" t="s">
        <v>1436</v>
      </c>
      <c r="D380" s="795">
        <v>36526</v>
      </c>
      <c r="E380" t="s">
        <v>137</v>
      </c>
      <c r="F380">
        <v>1</v>
      </c>
      <c r="G380" s="128"/>
    </row>
    <row r="381" spans="1:7" x14ac:dyDescent="0.25">
      <c r="A381" s="174">
        <v>2459</v>
      </c>
      <c r="B381" s="174">
        <v>33</v>
      </c>
      <c r="C381" t="s">
        <v>465</v>
      </c>
      <c r="D381" s="795">
        <v>36934</v>
      </c>
      <c r="E381" t="s">
        <v>105</v>
      </c>
      <c r="F381">
        <v>1</v>
      </c>
      <c r="G381" s="128"/>
    </row>
    <row r="382" spans="1:7" x14ac:dyDescent="0.25">
      <c r="A382" s="174">
        <v>2162</v>
      </c>
      <c r="B382" s="174">
        <v>50</v>
      </c>
      <c r="C382" t="s">
        <v>1439</v>
      </c>
      <c r="D382" s="795">
        <v>36589</v>
      </c>
      <c r="E382" t="s">
        <v>257</v>
      </c>
      <c r="F382">
        <v>1</v>
      </c>
      <c r="G382" s="128"/>
    </row>
    <row r="383" spans="1:7" x14ac:dyDescent="0.25">
      <c r="A383" s="174">
        <v>3614</v>
      </c>
      <c r="B383" s="174">
        <v>0</v>
      </c>
      <c r="C383" t="s">
        <v>1440</v>
      </c>
      <c r="D383" s="795">
        <v>37173</v>
      </c>
      <c r="E383" t="s">
        <v>145</v>
      </c>
      <c r="F383">
        <v>1</v>
      </c>
      <c r="G383" s="128"/>
    </row>
    <row r="384" spans="1:7" x14ac:dyDescent="0.25">
      <c r="A384" s="174">
        <v>2971</v>
      </c>
      <c r="B384" s="174">
        <v>11</v>
      </c>
      <c r="C384" t="s">
        <v>1441</v>
      </c>
      <c r="D384" s="795">
        <v>37608</v>
      </c>
      <c r="E384" t="s">
        <v>105</v>
      </c>
      <c r="F384">
        <v>1</v>
      </c>
      <c r="G384" s="128"/>
    </row>
    <row r="385" spans="1:7" x14ac:dyDescent="0.25">
      <c r="A385" s="174">
        <v>2176</v>
      </c>
      <c r="B385" s="174">
        <v>49</v>
      </c>
      <c r="C385" t="s">
        <v>1442</v>
      </c>
      <c r="D385" s="795">
        <v>36729</v>
      </c>
      <c r="E385" t="s">
        <v>1129</v>
      </c>
      <c r="F385">
        <v>1</v>
      </c>
      <c r="G385" s="128"/>
    </row>
    <row r="386" spans="1:7" x14ac:dyDescent="0.25">
      <c r="A386" s="174">
        <v>2620</v>
      </c>
      <c r="B386" s="174">
        <v>26</v>
      </c>
      <c r="C386" t="s">
        <v>1443</v>
      </c>
      <c r="D386" s="795">
        <v>37066</v>
      </c>
      <c r="E386" t="s">
        <v>1129</v>
      </c>
      <c r="F386">
        <v>1</v>
      </c>
      <c r="G386" s="128"/>
    </row>
    <row r="387" spans="1:7" x14ac:dyDescent="0.25">
      <c r="A387" s="174">
        <v>3575</v>
      </c>
      <c r="B387" s="174">
        <v>0</v>
      </c>
      <c r="C387" t="s">
        <v>1444</v>
      </c>
      <c r="D387" s="795">
        <v>37163</v>
      </c>
      <c r="E387" t="s">
        <v>72</v>
      </c>
      <c r="F387">
        <v>1</v>
      </c>
      <c r="G387" s="128"/>
    </row>
    <row r="388" spans="1:7" x14ac:dyDescent="0.25">
      <c r="A388" s="174">
        <v>1982</v>
      </c>
      <c r="B388" s="174">
        <v>63</v>
      </c>
      <c r="C388" t="s">
        <v>1445</v>
      </c>
      <c r="D388" s="795">
        <v>36676</v>
      </c>
      <c r="E388" t="s">
        <v>120</v>
      </c>
      <c r="F388">
        <v>1</v>
      </c>
      <c r="G388" s="128"/>
    </row>
    <row r="389" spans="1:7" x14ac:dyDescent="0.25">
      <c r="A389" s="174">
        <v>2051</v>
      </c>
      <c r="B389" s="174">
        <v>58</v>
      </c>
      <c r="C389" t="s">
        <v>1446</v>
      </c>
      <c r="D389" s="795">
        <v>37035</v>
      </c>
      <c r="E389" t="s">
        <v>176</v>
      </c>
      <c r="F389">
        <v>1</v>
      </c>
      <c r="G389" s="128"/>
    </row>
    <row r="390" spans="1:7" x14ac:dyDescent="0.25">
      <c r="A390" s="174">
        <v>2259</v>
      </c>
      <c r="B390" s="174">
        <v>44</v>
      </c>
      <c r="C390" t="s">
        <v>466</v>
      </c>
      <c r="D390" s="795">
        <v>36542</v>
      </c>
      <c r="E390" t="s">
        <v>1184</v>
      </c>
      <c r="F390">
        <v>1</v>
      </c>
      <c r="G390" s="128"/>
    </row>
    <row r="391" spans="1:7" x14ac:dyDescent="0.25">
      <c r="A391" s="174">
        <v>3941</v>
      </c>
      <c r="B391" s="174">
        <v>0</v>
      </c>
      <c r="C391" t="s">
        <v>1447</v>
      </c>
      <c r="D391" s="795">
        <v>37391</v>
      </c>
      <c r="E391" t="s">
        <v>99</v>
      </c>
      <c r="F391">
        <v>1</v>
      </c>
      <c r="G391" s="128"/>
    </row>
    <row r="392" spans="1:7" x14ac:dyDescent="0.25">
      <c r="A392" s="174">
        <v>3942</v>
      </c>
      <c r="B392" s="174">
        <v>0</v>
      </c>
      <c r="C392" t="s">
        <v>1448</v>
      </c>
      <c r="D392" s="795">
        <v>37391</v>
      </c>
      <c r="E392" t="s">
        <v>99</v>
      </c>
      <c r="F392">
        <v>1</v>
      </c>
      <c r="G392" s="128"/>
    </row>
    <row r="393" spans="1:7" x14ac:dyDescent="0.25">
      <c r="A393" s="174">
        <v>1387</v>
      </c>
      <c r="B393" s="174">
        <v>146</v>
      </c>
      <c r="C393" t="s">
        <v>1449</v>
      </c>
      <c r="D393" s="795">
        <v>36627</v>
      </c>
      <c r="E393" t="s">
        <v>1334</v>
      </c>
      <c r="F393">
        <v>1</v>
      </c>
      <c r="G393" s="128"/>
    </row>
    <row r="394" spans="1:7" x14ac:dyDescent="0.25">
      <c r="A394" s="174">
        <v>1764</v>
      </c>
      <c r="B394" s="174">
        <v>87</v>
      </c>
      <c r="C394" t="s">
        <v>1450</v>
      </c>
      <c r="D394" s="795">
        <v>36839</v>
      </c>
      <c r="E394" t="s">
        <v>1451</v>
      </c>
      <c r="F394">
        <v>1</v>
      </c>
      <c r="G394" s="128"/>
    </row>
    <row r="395" spans="1:7" x14ac:dyDescent="0.25">
      <c r="A395" s="174">
        <v>1270</v>
      </c>
      <c r="B395" s="174">
        <v>170</v>
      </c>
      <c r="C395" t="s">
        <v>214</v>
      </c>
      <c r="D395" s="795">
        <v>36708</v>
      </c>
      <c r="E395" t="s">
        <v>1069</v>
      </c>
      <c r="F395">
        <v>1</v>
      </c>
      <c r="G395" s="128"/>
    </row>
    <row r="396" spans="1:7" x14ac:dyDescent="0.25">
      <c r="A396" s="174">
        <v>3442</v>
      </c>
      <c r="B396" s="174">
        <v>0</v>
      </c>
      <c r="C396" t="s">
        <v>1453</v>
      </c>
      <c r="D396" s="795">
        <v>36661</v>
      </c>
      <c r="E396" t="s">
        <v>175</v>
      </c>
      <c r="F396">
        <v>1</v>
      </c>
      <c r="G396" s="128"/>
    </row>
    <row r="397" spans="1:7" x14ac:dyDescent="0.25">
      <c r="A397" s="174">
        <v>1442</v>
      </c>
      <c r="B397" s="174">
        <v>137</v>
      </c>
      <c r="C397" t="s">
        <v>467</v>
      </c>
      <c r="D397" s="795">
        <v>36693</v>
      </c>
      <c r="E397" t="s">
        <v>74</v>
      </c>
      <c r="F397">
        <v>1</v>
      </c>
      <c r="G397" s="128"/>
    </row>
    <row r="398" spans="1:7" x14ac:dyDescent="0.25">
      <c r="A398" s="174">
        <v>3943</v>
      </c>
      <c r="B398" s="174">
        <v>0</v>
      </c>
      <c r="C398" t="s">
        <v>1454</v>
      </c>
      <c r="D398" s="795">
        <v>37095</v>
      </c>
      <c r="E398" t="s">
        <v>99</v>
      </c>
      <c r="F398">
        <v>1</v>
      </c>
      <c r="G398" s="128"/>
    </row>
    <row r="399" spans="1:7" x14ac:dyDescent="0.25">
      <c r="A399" s="174">
        <v>3944</v>
      </c>
      <c r="B399" s="174">
        <v>0</v>
      </c>
      <c r="C399" t="s">
        <v>1455</v>
      </c>
      <c r="D399" s="795">
        <v>37506</v>
      </c>
      <c r="E399" t="s">
        <v>99</v>
      </c>
      <c r="F399">
        <v>1</v>
      </c>
      <c r="G399" s="128"/>
    </row>
    <row r="400" spans="1:7" x14ac:dyDescent="0.25">
      <c r="A400" s="174">
        <v>3281</v>
      </c>
      <c r="B400" s="174">
        <v>3</v>
      </c>
      <c r="C400" t="s">
        <v>1456</v>
      </c>
      <c r="D400" s="795">
        <v>37041</v>
      </c>
      <c r="E400" t="s">
        <v>120</v>
      </c>
      <c r="F400">
        <v>1</v>
      </c>
      <c r="G400" s="128"/>
    </row>
    <row r="401" spans="1:7" x14ac:dyDescent="0.25">
      <c r="A401" s="174">
        <v>2254</v>
      </c>
      <c r="B401" s="174">
        <v>45</v>
      </c>
      <c r="C401" t="s">
        <v>1457</v>
      </c>
      <c r="D401" s="795">
        <v>37696</v>
      </c>
      <c r="E401" t="s">
        <v>105</v>
      </c>
      <c r="F401">
        <v>1</v>
      </c>
      <c r="G401" s="128"/>
    </row>
    <row r="402" spans="1:7" x14ac:dyDescent="0.25">
      <c r="A402" s="174">
        <v>3362</v>
      </c>
      <c r="B402" s="174">
        <v>1</v>
      </c>
      <c r="C402" t="s">
        <v>1458</v>
      </c>
      <c r="D402" s="795">
        <v>37458</v>
      </c>
      <c r="E402" t="s">
        <v>139</v>
      </c>
      <c r="F402">
        <v>1</v>
      </c>
      <c r="G402" s="128"/>
    </row>
    <row r="403" spans="1:7" x14ac:dyDescent="0.25">
      <c r="A403" s="174">
        <v>3365</v>
      </c>
      <c r="B403" s="174">
        <v>1</v>
      </c>
      <c r="C403" t="s">
        <v>2439</v>
      </c>
      <c r="D403" s="795">
        <v>37267</v>
      </c>
      <c r="E403" t="s">
        <v>165</v>
      </c>
      <c r="F403">
        <v>1</v>
      </c>
      <c r="G403" s="128"/>
    </row>
    <row r="404" spans="1:7" x14ac:dyDescent="0.25">
      <c r="A404" s="174">
        <v>2575</v>
      </c>
      <c r="B404" s="174">
        <v>28</v>
      </c>
      <c r="C404" t="s">
        <v>468</v>
      </c>
      <c r="D404" s="795">
        <v>36674</v>
      </c>
      <c r="E404" t="s">
        <v>105</v>
      </c>
      <c r="F404">
        <v>1</v>
      </c>
      <c r="G404" s="128"/>
    </row>
    <row r="405" spans="1:7" x14ac:dyDescent="0.25">
      <c r="A405" s="174">
        <v>2988</v>
      </c>
      <c r="B405" s="174">
        <v>10</v>
      </c>
      <c r="C405" t="s">
        <v>1459</v>
      </c>
      <c r="D405" s="795">
        <v>36861</v>
      </c>
      <c r="E405" t="s">
        <v>170</v>
      </c>
      <c r="F405">
        <v>1</v>
      </c>
      <c r="G405" s="128"/>
    </row>
    <row r="406" spans="1:7" x14ac:dyDescent="0.25">
      <c r="A406" s="174">
        <v>2824</v>
      </c>
      <c r="B406" s="174">
        <v>17</v>
      </c>
      <c r="C406" t="s">
        <v>1460</v>
      </c>
      <c r="D406" s="795">
        <v>37345</v>
      </c>
      <c r="E406" t="s">
        <v>1186</v>
      </c>
      <c r="F406">
        <v>1</v>
      </c>
      <c r="G406" s="128"/>
    </row>
    <row r="407" spans="1:7" x14ac:dyDescent="0.25">
      <c r="A407" s="174">
        <v>2493</v>
      </c>
      <c r="B407" s="174">
        <v>32</v>
      </c>
      <c r="C407" t="s">
        <v>1461</v>
      </c>
      <c r="D407" s="795">
        <v>36952</v>
      </c>
      <c r="E407" t="s">
        <v>115</v>
      </c>
      <c r="F407">
        <v>1</v>
      </c>
      <c r="G407" s="128"/>
    </row>
    <row r="408" spans="1:7" x14ac:dyDescent="0.25">
      <c r="A408" s="174">
        <v>3460</v>
      </c>
      <c r="B408" s="174">
        <v>0</v>
      </c>
      <c r="C408" t="s">
        <v>1462</v>
      </c>
      <c r="D408" s="795">
        <v>37566</v>
      </c>
      <c r="E408" t="s">
        <v>1143</v>
      </c>
      <c r="F408">
        <v>1</v>
      </c>
      <c r="G408" s="128"/>
    </row>
    <row r="409" spans="1:7" x14ac:dyDescent="0.25">
      <c r="A409" s="174">
        <v>3609</v>
      </c>
      <c r="B409" s="174">
        <v>0</v>
      </c>
      <c r="C409" t="s">
        <v>2440</v>
      </c>
      <c r="D409" s="795">
        <v>37257</v>
      </c>
      <c r="E409" t="s">
        <v>165</v>
      </c>
      <c r="F409">
        <v>1</v>
      </c>
      <c r="G409" s="128"/>
    </row>
    <row r="410" spans="1:7" x14ac:dyDescent="0.25">
      <c r="A410" s="174">
        <v>3319</v>
      </c>
      <c r="B410" s="174">
        <v>1</v>
      </c>
      <c r="C410" t="s">
        <v>1463</v>
      </c>
      <c r="D410" s="795">
        <v>37552</v>
      </c>
      <c r="E410" t="s">
        <v>105</v>
      </c>
      <c r="F410">
        <v>1</v>
      </c>
      <c r="G410" s="128"/>
    </row>
    <row r="411" spans="1:7" x14ac:dyDescent="0.25">
      <c r="A411" s="174">
        <v>2363</v>
      </c>
      <c r="B411" s="174">
        <v>39</v>
      </c>
      <c r="C411" t="s">
        <v>1464</v>
      </c>
      <c r="D411" s="795">
        <v>37562</v>
      </c>
      <c r="E411" t="s">
        <v>1069</v>
      </c>
      <c r="F411">
        <v>1</v>
      </c>
      <c r="G411" s="128"/>
    </row>
    <row r="412" spans="1:7" x14ac:dyDescent="0.25">
      <c r="A412" s="174">
        <v>2407</v>
      </c>
      <c r="B412" s="174">
        <v>37</v>
      </c>
      <c r="C412" t="s">
        <v>660</v>
      </c>
      <c r="D412" s="795">
        <v>36580</v>
      </c>
      <c r="E412" t="s">
        <v>1374</v>
      </c>
      <c r="F412">
        <v>1</v>
      </c>
      <c r="G412" s="128"/>
    </row>
    <row r="413" spans="1:7" x14ac:dyDescent="0.25">
      <c r="A413" s="174">
        <v>3709</v>
      </c>
      <c r="B413" s="174">
        <v>0</v>
      </c>
      <c r="C413" t="s">
        <v>1465</v>
      </c>
      <c r="D413" s="795">
        <v>36921</v>
      </c>
      <c r="E413" t="s">
        <v>119</v>
      </c>
      <c r="F413">
        <v>1</v>
      </c>
      <c r="G413" s="128"/>
    </row>
    <row r="414" spans="1:7" x14ac:dyDescent="0.25">
      <c r="A414" s="174">
        <v>1911</v>
      </c>
      <c r="B414" s="174">
        <v>72</v>
      </c>
      <c r="C414" t="s">
        <v>1466</v>
      </c>
      <c r="D414" s="795">
        <v>36589</v>
      </c>
      <c r="E414" t="s">
        <v>160</v>
      </c>
      <c r="F414">
        <v>1</v>
      </c>
      <c r="G414" s="128"/>
    </row>
    <row r="415" spans="1:7" x14ac:dyDescent="0.25">
      <c r="A415" s="174">
        <v>2309</v>
      </c>
      <c r="B415" s="174">
        <v>42</v>
      </c>
      <c r="C415" t="s">
        <v>1466</v>
      </c>
      <c r="D415" s="795">
        <v>37629</v>
      </c>
      <c r="E415" t="s">
        <v>109</v>
      </c>
      <c r="F415">
        <v>1</v>
      </c>
      <c r="G415" s="128"/>
    </row>
    <row r="416" spans="1:7" x14ac:dyDescent="0.25">
      <c r="A416" s="174">
        <v>2737</v>
      </c>
      <c r="B416" s="174">
        <v>21</v>
      </c>
      <c r="C416" t="s">
        <v>2503</v>
      </c>
      <c r="D416" s="795">
        <v>38130</v>
      </c>
      <c r="E416" t="s">
        <v>73</v>
      </c>
      <c r="F416">
        <v>1</v>
      </c>
      <c r="G416" s="128"/>
    </row>
    <row r="417" spans="1:7" x14ac:dyDescent="0.25">
      <c r="A417" s="174">
        <v>2386</v>
      </c>
      <c r="B417" s="174">
        <v>38</v>
      </c>
      <c r="C417" t="s">
        <v>661</v>
      </c>
      <c r="D417" s="795">
        <v>36801</v>
      </c>
      <c r="E417" t="s">
        <v>1374</v>
      </c>
      <c r="F417">
        <v>1</v>
      </c>
      <c r="G417" s="128"/>
    </row>
    <row r="418" spans="1:7" x14ac:dyDescent="0.25">
      <c r="A418" s="174">
        <v>3317</v>
      </c>
      <c r="B418" s="174">
        <v>2</v>
      </c>
      <c r="C418" t="s">
        <v>2441</v>
      </c>
      <c r="D418" s="795">
        <v>37702</v>
      </c>
      <c r="E418" t="s">
        <v>1192</v>
      </c>
      <c r="F418">
        <v>1</v>
      </c>
      <c r="G418" s="128"/>
    </row>
    <row r="419" spans="1:7" x14ac:dyDescent="0.25">
      <c r="A419" s="174">
        <v>3897</v>
      </c>
      <c r="B419" s="174">
        <v>0</v>
      </c>
      <c r="C419" t="s">
        <v>1467</v>
      </c>
      <c r="D419" s="795">
        <v>37040</v>
      </c>
      <c r="E419" t="s">
        <v>120</v>
      </c>
      <c r="F419">
        <v>1</v>
      </c>
      <c r="G419" s="128"/>
    </row>
    <row r="420" spans="1:7" x14ac:dyDescent="0.25">
      <c r="A420" s="174">
        <v>2232</v>
      </c>
      <c r="B420" s="174">
        <v>46</v>
      </c>
      <c r="C420" t="s">
        <v>1468</v>
      </c>
      <c r="D420" s="795">
        <v>37215</v>
      </c>
      <c r="E420" t="s">
        <v>120</v>
      </c>
      <c r="F420">
        <v>1</v>
      </c>
      <c r="G420" s="128"/>
    </row>
    <row r="421" spans="1:7" x14ac:dyDescent="0.25">
      <c r="A421" s="174">
        <v>1783</v>
      </c>
      <c r="B421" s="174">
        <v>85</v>
      </c>
      <c r="C421" t="s">
        <v>1469</v>
      </c>
      <c r="D421" s="795">
        <v>37213</v>
      </c>
      <c r="E421" t="s">
        <v>120</v>
      </c>
      <c r="F421">
        <v>1</v>
      </c>
      <c r="G421" s="128"/>
    </row>
    <row r="422" spans="1:7" x14ac:dyDescent="0.25">
      <c r="A422" s="174">
        <v>3201</v>
      </c>
      <c r="B422" s="174">
        <v>4</v>
      </c>
      <c r="C422" t="s">
        <v>1470</v>
      </c>
      <c r="D422" s="795">
        <v>37189</v>
      </c>
      <c r="E422" t="s">
        <v>1139</v>
      </c>
      <c r="F422">
        <v>1</v>
      </c>
      <c r="G422" s="128"/>
    </row>
    <row r="423" spans="1:7" x14ac:dyDescent="0.25">
      <c r="A423" s="174">
        <v>1138</v>
      </c>
      <c r="B423" s="174">
        <v>200</v>
      </c>
      <c r="C423" t="s">
        <v>217</v>
      </c>
      <c r="D423" s="795">
        <v>36796</v>
      </c>
      <c r="E423" t="s">
        <v>105</v>
      </c>
      <c r="F423">
        <v>1</v>
      </c>
      <c r="G423" s="128"/>
    </row>
    <row r="424" spans="1:7" x14ac:dyDescent="0.25">
      <c r="A424" s="174">
        <v>3924</v>
      </c>
      <c r="B424" s="174">
        <v>0</v>
      </c>
      <c r="C424" t="s">
        <v>1471</v>
      </c>
      <c r="D424" s="795">
        <v>37426</v>
      </c>
      <c r="E424" t="s">
        <v>120</v>
      </c>
      <c r="F424">
        <v>1</v>
      </c>
      <c r="G424" s="128"/>
    </row>
    <row r="425" spans="1:7" x14ac:dyDescent="0.25">
      <c r="A425" s="174">
        <v>1722</v>
      </c>
      <c r="B425" s="174">
        <v>92</v>
      </c>
      <c r="C425" t="s">
        <v>784</v>
      </c>
      <c r="D425" s="795">
        <v>37191</v>
      </c>
      <c r="E425" t="s">
        <v>1367</v>
      </c>
      <c r="F425">
        <v>1</v>
      </c>
      <c r="G425" s="128"/>
    </row>
    <row r="426" spans="1:7" x14ac:dyDescent="0.25">
      <c r="A426" s="174">
        <v>2081</v>
      </c>
      <c r="B426" s="174">
        <v>55</v>
      </c>
      <c r="C426" t="s">
        <v>470</v>
      </c>
      <c r="D426" s="795">
        <v>36610</v>
      </c>
      <c r="E426" t="s">
        <v>105</v>
      </c>
      <c r="F426">
        <v>1</v>
      </c>
      <c r="G426" s="128"/>
    </row>
    <row r="427" spans="1:7" x14ac:dyDescent="0.25">
      <c r="A427" s="174">
        <v>2256</v>
      </c>
      <c r="B427" s="174">
        <v>45</v>
      </c>
      <c r="C427" t="s">
        <v>1472</v>
      </c>
      <c r="D427" s="795">
        <v>36826</v>
      </c>
      <c r="E427" t="s">
        <v>113</v>
      </c>
      <c r="F427">
        <v>1</v>
      </c>
      <c r="G427" s="128"/>
    </row>
    <row r="428" spans="1:7" x14ac:dyDescent="0.25">
      <c r="A428" s="174">
        <v>2505</v>
      </c>
      <c r="B428" s="174">
        <v>32</v>
      </c>
      <c r="C428" t="s">
        <v>1473</v>
      </c>
      <c r="D428" s="795">
        <v>36526</v>
      </c>
      <c r="E428" t="s">
        <v>251</v>
      </c>
      <c r="F428">
        <v>1</v>
      </c>
      <c r="G428" s="128"/>
    </row>
    <row r="429" spans="1:7" x14ac:dyDescent="0.25">
      <c r="A429" s="174">
        <v>2744</v>
      </c>
      <c r="B429" s="174">
        <v>20</v>
      </c>
      <c r="C429" t="s">
        <v>471</v>
      </c>
      <c r="D429" s="795">
        <v>36526</v>
      </c>
      <c r="E429" t="s">
        <v>1099</v>
      </c>
      <c r="F429">
        <v>1</v>
      </c>
      <c r="G429" s="128"/>
    </row>
    <row r="430" spans="1:7" x14ac:dyDescent="0.25">
      <c r="A430" s="174">
        <v>3111</v>
      </c>
      <c r="B430" s="174">
        <v>7</v>
      </c>
      <c r="C430" t="s">
        <v>471</v>
      </c>
      <c r="D430" s="795">
        <v>37444</v>
      </c>
      <c r="E430" t="s">
        <v>1107</v>
      </c>
      <c r="F430">
        <v>1</v>
      </c>
      <c r="G430" s="128"/>
    </row>
    <row r="431" spans="1:7" x14ac:dyDescent="0.25">
      <c r="A431" s="174">
        <v>1959</v>
      </c>
      <c r="B431" s="174">
        <v>65</v>
      </c>
      <c r="C431" t="s">
        <v>472</v>
      </c>
      <c r="D431" s="795">
        <v>36604</v>
      </c>
      <c r="E431" t="s">
        <v>110</v>
      </c>
      <c r="F431">
        <v>1</v>
      </c>
      <c r="G431" s="128"/>
    </row>
    <row r="432" spans="1:7" x14ac:dyDescent="0.25">
      <c r="A432" s="174">
        <v>2643</v>
      </c>
      <c r="B432" s="174">
        <v>25</v>
      </c>
      <c r="C432" t="s">
        <v>662</v>
      </c>
      <c r="D432" s="795">
        <v>37291</v>
      </c>
      <c r="E432" t="s">
        <v>1374</v>
      </c>
      <c r="F432">
        <v>1</v>
      </c>
      <c r="G432" s="128"/>
    </row>
    <row r="433" spans="1:7" x14ac:dyDescent="0.25">
      <c r="A433" s="174">
        <v>2508</v>
      </c>
      <c r="B433" s="174">
        <v>32</v>
      </c>
      <c r="C433" t="s">
        <v>1474</v>
      </c>
      <c r="D433" s="795">
        <v>37272</v>
      </c>
      <c r="E433" t="s">
        <v>1330</v>
      </c>
      <c r="F433">
        <v>1</v>
      </c>
      <c r="G433" s="128"/>
    </row>
    <row r="434" spans="1:7" x14ac:dyDescent="0.25">
      <c r="A434" s="174">
        <v>2091</v>
      </c>
      <c r="B434" s="174">
        <v>55</v>
      </c>
      <c r="C434" t="s">
        <v>1475</v>
      </c>
      <c r="D434" s="795">
        <v>37040</v>
      </c>
      <c r="E434" t="s">
        <v>120</v>
      </c>
      <c r="F434">
        <v>1</v>
      </c>
      <c r="G434" s="128"/>
    </row>
    <row r="435" spans="1:7" x14ac:dyDescent="0.25">
      <c r="A435" s="174">
        <v>3456</v>
      </c>
      <c r="B435" s="174">
        <v>0</v>
      </c>
      <c r="C435" t="s">
        <v>1476</v>
      </c>
      <c r="D435" s="795">
        <v>37226</v>
      </c>
      <c r="E435" t="s">
        <v>105</v>
      </c>
      <c r="F435">
        <v>1</v>
      </c>
      <c r="G435" s="128"/>
    </row>
    <row r="436" spans="1:7" x14ac:dyDescent="0.25">
      <c r="A436" s="174">
        <v>2494</v>
      </c>
      <c r="B436" s="174">
        <v>32</v>
      </c>
      <c r="C436" t="s">
        <v>1477</v>
      </c>
      <c r="D436" s="795">
        <v>37307</v>
      </c>
      <c r="E436" t="s">
        <v>1078</v>
      </c>
      <c r="F436">
        <v>1</v>
      </c>
      <c r="G436" s="128"/>
    </row>
    <row r="437" spans="1:7" x14ac:dyDescent="0.25">
      <c r="A437" s="174">
        <v>3476</v>
      </c>
      <c r="B437" s="174">
        <v>0</v>
      </c>
      <c r="C437" t="s">
        <v>2504</v>
      </c>
      <c r="D437" s="795">
        <v>36526</v>
      </c>
      <c r="E437" t="s">
        <v>122</v>
      </c>
      <c r="F437">
        <v>1</v>
      </c>
      <c r="G437" s="128"/>
    </row>
    <row r="438" spans="1:7" x14ac:dyDescent="0.25">
      <c r="A438" s="174">
        <v>3547</v>
      </c>
      <c r="B438" s="174">
        <v>0</v>
      </c>
      <c r="C438" t="s">
        <v>2505</v>
      </c>
      <c r="D438" s="795">
        <v>37622</v>
      </c>
      <c r="E438" t="s">
        <v>1143</v>
      </c>
      <c r="F438">
        <v>1</v>
      </c>
      <c r="G438" s="128"/>
    </row>
    <row r="439" spans="1:7" x14ac:dyDescent="0.25">
      <c r="A439" s="174">
        <v>3481</v>
      </c>
      <c r="B439" s="174">
        <v>0</v>
      </c>
      <c r="C439" t="s">
        <v>2506</v>
      </c>
      <c r="D439" s="795">
        <v>37691</v>
      </c>
      <c r="E439" t="s">
        <v>73</v>
      </c>
      <c r="F439">
        <v>1</v>
      </c>
      <c r="G439" s="128"/>
    </row>
    <row r="440" spans="1:7" x14ac:dyDescent="0.25">
      <c r="A440" s="174">
        <v>3688</v>
      </c>
      <c r="B440" s="174">
        <v>0</v>
      </c>
      <c r="C440" t="s">
        <v>1478</v>
      </c>
      <c r="D440" s="795">
        <v>36586</v>
      </c>
      <c r="E440" t="s">
        <v>105</v>
      </c>
      <c r="F440">
        <v>1</v>
      </c>
      <c r="G440" s="128"/>
    </row>
    <row r="441" spans="1:7" x14ac:dyDescent="0.25">
      <c r="A441" s="174">
        <v>2993</v>
      </c>
      <c r="B441" s="174">
        <v>10</v>
      </c>
      <c r="C441" t="s">
        <v>1479</v>
      </c>
      <c r="D441" s="795">
        <v>36869</v>
      </c>
      <c r="E441" t="s">
        <v>111</v>
      </c>
      <c r="F441">
        <v>1</v>
      </c>
      <c r="G441" s="128"/>
    </row>
    <row r="442" spans="1:7" x14ac:dyDescent="0.25">
      <c r="A442" s="174">
        <v>2866</v>
      </c>
      <c r="B442" s="174">
        <v>15</v>
      </c>
      <c r="C442" t="s">
        <v>389</v>
      </c>
      <c r="D442" s="795">
        <v>37474</v>
      </c>
      <c r="E442" t="s">
        <v>1143</v>
      </c>
      <c r="F442">
        <v>1</v>
      </c>
      <c r="G442" s="128"/>
    </row>
    <row r="443" spans="1:7" x14ac:dyDescent="0.25">
      <c r="A443" s="174">
        <v>3126</v>
      </c>
      <c r="B443" s="174">
        <v>6</v>
      </c>
      <c r="C443" t="s">
        <v>2507</v>
      </c>
      <c r="D443" s="795">
        <v>36863</v>
      </c>
      <c r="E443" t="s">
        <v>105</v>
      </c>
      <c r="F443">
        <v>1</v>
      </c>
      <c r="G443" s="128"/>
    </row>
    <row r="444" spans="1:7" x14ac:dyDescent="0.25">
      <c r="A444" s="174">
        <v>2522</v>
      </c>
      <c r="B444" s="174">
        <v>31</v>
      </c>
      <c r="C444" t="s">
        <v>1480</v>
      </c>
      <c r="D444" s="795">
        <v>36863</v>
      </c>
      <c r="E444" t="s">
        <v>105</v>
      </c>
      <c r="F444">
        <v>1</v>
      </c>
      <c r="G444" s="128"/>
    </row>
    <row r="445" spans="1:7" x14ac:dyDescent="0.25">
      <c r="A445" s="174">
        <v>2566</v>
      </c>
      <c r="B445" s="174">
        <v>29</v>
      </c>
      <c r="C445" t="s">
        <v>1481</v>
      </c>
      <c r="D445" s="795">
        <v>37011</v>
      </c>
      <c r="E445" t="s">
        <v>227</v>
      </c>
      <c r="F445">
        <v>1</v>
      </c>
      <c r="G445" s="128"/>
    </row>
    <row r="446" spans="1:7" x14ac:dyDescent="0.25">
      <c r="A446" s="174">
        <v>1776</v>
      </c>
      <c r="B446" s="174">
        <v>86</v>
      </c>
      <c r="C446" t="s">
        <v>1482</v>
      </c>
      <c r="D446" s="795">
        <v>36813</v>
      </c>
      <c r="E446" t="s">
        <v>227</v>
      </c>
      <c r="F446">
        <v>1</v>
      </c>
      <c r="G446" s="128"/>
    </row>
    <row r="447" spans="1:7" x14ac:dyDescent="0.25">
      <c r="A447" s="174">
        <v>2348</v>
      </c>
      <c r="B447" s="174">
        <v>40</v>
      </c>
      <c r="C447" t="s">
        <v>1483</v>
      </c>
      <c r="D447" s="795">
        <v>36651</v>
      </c>
      <c r="E447" t="s">
        <v>105</v>
      </c>
      <c r="F447">
        <v>1</v>
      </c>
      <c r="G447" s="128"/>
    </row>
    <row r="448" spans="1:7" x14ac:dyDescent="0.25">
      <c r="A448" s="174">
        <v>2699</v>
      </c>
      <c r="B448" s="174">
        <v>22</v>
      </c>
      <c r="C448" t="s">
        <v>219</v>
      </c>
      <c r="D448" s="795">
        <v>36833</v>
      </c>
      <c r="E448" t="s">
        <v>128</v>
      </c>
      <c r="F448">
        <v>1</v>
      </c>
      <c r="G448" s="128"/>
    </row>
    <row r="449" spans="1:7" x14ac:dyDescent="0.25">
      <c r="A449" s="174">
        <v>2679</v>
      </c>
      <c r="B449" s="174">
        <v>23</v>
      </c>
      <c r="C449" t="s">
        <v>221</v>
      </c>
      <c r="D449" s="795">
        <v>36566</v>
      </c>
      <c r="E449" t="s">
        <v>120</v>
      </c>
      <c r="F449">
        <v>1</v>
      </c>
      <c r="G449" s="128"/>
    </row>
    <row r="450" spans="1:7" x14ac:dyDescent="0.25">
      <c r="A450" s="174">
        <v>3171</v>
      </c>
      <c r="B450" s="174">
        <v>5</v>
      </c>
      <c r="C450" t="s">
        <v>1484</v>
      </c>
      <c r="D450" s="795">
        <v>37107</v>
      </c>
      <c r="E450" t="s">
        <v>1485</v>
      </c>
      <c r="F450">
        <v>1</v>
      </c>
      <c r="G450" s="128"/>
    </row>
    <row r="451" spans="1:7" x14ac:dyDescent="0.25">
      <c r="A451" s="174">
        <v>2384</v>
      </c>
      <c r="B451" s="174">
        <v>38</v>
      </c>
      <c r="C451" t="s">
        <v>1486</v>
      </c>
      <c r="D451" s="795">
        <v>37529</v>
      </c>
      <c r="E451" t="s">
        <v>104</v>
      </c>
      <c r="F451">
        <v>1</v>
      </c>
      <c r="G451" s="128"/>
    </row>
    <row r="452" spans="1:7" x14ac:dyDescent="0.25">
      <c r="A452" s="174">
        <v>3656</v>
      </c>
      <c r="B452" s="174">
        <v>0</v>
      </c>
      <c r="C452" t="s">
        <v>1487</v>
      </c>
      <c r="D452" s="795">
        <v>37257</v>
      </c>
      <c r="E452" t="s">
        <v>74</v>
      </c>
      <c r="F452">
        <v>1</v>
      </c>
      <c r="G452" s="128"/>
    </row>
    <row r="453" spans="1:7" x14ac:dyDescent="0.25">
      <c r="A453" s="174">
        <v>2940</v>
      </c>
      <c r="B453" s="174">
        <v>12</v>
      </c>
      <c r="C453" t="s">
        <v>225</v>
      </c>
      <c r="D453" s="795">
        <v>36833</v>
      </c>
      <c r="E453" t="s">
        <v>128</v>
      </c>
      <c r="F453">
        <v>1</v>
      </c>
      <c r="G453" s="128"/>
    </row>
    <row r="454" spans="1:7" x14ac:dyDescent="0.25">
      <c r="A454" s="174">
        <v>2424</v>
      </c>
      <c r="B454" s="174">
        <v>36</v>
      </c>
      <c r="C454" t="s">
        <v>1488</v>
      </c>
      <c r="D454" s="795">
        <v>37140</v>
      </c>
      <c r="E454" t="s">
        <v>1218</v>
      </c>
      <c r="F454">
        <v>1</v>
      </c>
      <c r="G454" s="128"/>
    </row>
    <row r="455" spans="1:7" x14ac:dyDescent="0.25">
      <c r="A455" s="174">
        <v>1501</v>
      </c>
      <c r="B455" s="174">
        <v>128</v>
      </c>
      <c r="C455" t="s">
        <v>473</v>
      </c>
      <c r="D455" s="795">
        <v>36538</v>
      </c>
      <c r="E455" t="s">
        <v>113</v>
      </c>
      <c r="F455">
        <v>1</v>
      </c>
      <c r="G455" s="128"/>
    </row>
    <row r="456" spans="1:7" x14ac:dyDescent="0.25">
      <c r="A456" s="174">
        <v>2873</v>
      </c>
      <c r="B456" s="174">
        <v>15</v>
      </c>
      <c r="C456" t="s">
        <v>1489</v>
      </c>
      <c r="D456" s="795">
        <v>37279</v>
      </c>
      <c r="E456" t="s">
        <v>183</v>
      </c>
      <c r="F456">
        <v>1</v>
      </c>
      <c r="G456" s="128"/>
    </row>
    <row r="457" spans="1:7" x14ac:dyDescent="0.25">
      <c r="A457" s="174">
        <v>2796</v>
      </c>
      <c r="B457" s="174">
        <v>19</v>
      </c>
      <c r="C457" t="s">
        <v>1492</v>
      </c>
      <c r="D457" s="795">
        <v>37056</v>
      </c>
      <c r="E457" t="s">
        <v>1239</v>
      </c>
      <c r="F457">
        <v>1</v>
      </c>
      <c r="G457" s="128"/>
    </row>
    <row r="458" spans="1:7" x14ac:dyDescent="0.25">
      <c r="A458" s="174">
        <v>2898</v>
      </c>
      <c r="B458" s="174">
        <v>14</v>
      </c>
      <c r="C458" t="s">
        <v>1493</v>
      </c>
      <c r="D458" s="795">
        <v>36729</v>
      </c>
      <c r="E458" t="s">
        <v>1494</v>
      </c>
      <c r="F458">
        <v>1</v>
      </c>
      <c r="G458" s="128"/>
    </row>
    <row r="459" spans="1:7" x14ac:dyDescent="0.25">
      <c r="A459" s="174">
        <v>2305</v>
      </c>
      <c r="B459" s="174">
        <v>42</v>
      </c>
      <c r="C459" t="s">
        <v>474</v>
      </c>
      <c r="D459" s="795">
        <v>36567</v>
      </c>
      <c r="E459" t="s">
        <v>1069</v>
      </c>
      <c r="F459">
        <v>1</v>
      </c>
      <c r="G459" s="128"/>
    </row>
    <row r="460" spans="1:7" x14ac:dyDescent="0.25">
      <c r="A460" s="174">
        <v>2138</v>
      </c>
      <c r="B460" s="174">
        <v>51</v>
      </c>
      <c r="C460" t="s">
        <v>475</v>
      </c>
      <c r="D460" s="795">
        <v>36722</v>
      </c>
      <c r="E460" t="s">
        <v>1121</v>
      </c>
      <c r="F460">
        <v>1</v>
      </c>
      <c r="G460" s="128"/>
    </row>
    <row r="461" spans="1:7" x14ac:dyDescent="0.25">
      <c r="A461" s="174">
        <v>2667</v>
      </c>
      <c r="B461" s="174">
        <v>24</v>
      </c>
      <c r="C461" t="s">
        <v>1495</v>
      </c>
      <c r="D461" s="795">
        <v>36734</v>
      </c>
      <c r="E461" t="s">
        <v>1148</v>
      </c>
      <c r="F461">
        <v>1</v>
      </c>
      <c r="G461" s="128"/>
    </row>
    <row r="462" spans="1:7" x14ac:dyDescent="0.25">
      <c r="A462" s="174">
        <v>2598</v>
      </c>
      <c r="B462" s="174">
        <v>27</v>
      </c>
      <c r="C462" t="s">
        <v>1496</v>
      </c>
      <c r="D462" s="795">
        <v>36526</v>
      </c>
      <c r="E462" t="s">
        <v>1497</v>
      </c>
      <c r="F462">
        <v>1</v>
      </c>
      <c r="G462" s="128"/>
    </row>
    <row r="463" spans="1:7" x14ac:dyDescent="0.25">
      <c r="A463" s="174">
        <v>3426</v>
      </c>
      <c r="B463" s="174">
        <v>0</v>
      </c>
      <c r="C463" t="s">
        <v>1498</v>
      </c>
      <c r="D463" s="795">
        <v>37415</v>
      </c>
      <c r="E463" t="s">
        <v>105</v>
      </c>
      <c r="F463">
        <v>1</v>
      </c>
      <c r="G463" s="128"/>
    </row>
    <row r="464" spans="1:7" x14ac:dyDescent="0.25">
      <c r="A464" s="174">
        <v>3635</v>
      </c>
      <c r="B464" s="174">
        <v>0</v>
      </c>
      <c r="C464" t="s">
        <v>1499</v>
      </c>
      <c r="D464" s="795">
        <v>37011</v>
      </c>
      <c r="E464" t="s">
        <v>105</v>
      </c>
      <c r="F464">
        <v>1</v>
      </c>
      <c r="G464" s="128"/>
    </row>
    <row r="465" spans="1:7" x14ac:dyDescent="0.25">
      <c r="A465" s="174">
        <v>3310</v>
      </c>
      <c r="B465" s="174">
        <v>2</v>
      </c>
      <c r="C465" t="s">
        <v>1500</v>
      </c>
      <c r="D465" s="795">
        <v>37185</v>
      </c>
      <c r="E465" t="s">
        <v>165</v>
      </c>
      <c r="F465">
        <v>1</v>
      </c>
      <c r="G465" s="128"/>
    </row>
    <row r="466" spans="1:7" x14ac:dyDescent="0.25">
      <c r="A466" s="174">
        <v>3805</v>
      </c>
      <c r="B466" s="174">
        <v>0</v>
      </c>
      <c r="C466" t="s">
        <v>1501</v>
      </c>
      <c r="D466" s="795">
        <v>37436</v>
      </c>
      <c r="E466" t="s">
        <v>1502</v>
      </c>
      <c r="F466">
        <v>1</v>
      </c>
      <c r="G466" s="128"/>
    </row>
    <row r="467" spans="1:7" x14ac:dyDescent="0.25">
      <c r="A467" s="174">
        <v>3781</v>
      </c>
      <c r="B467" s="174">
        <v>0</v>
      </c>
      <c r="C467" t="s">
        <v>1503</v>
      </c>
      <c r="D467" s="795">
        <v>37021</v>
      </c>
      <c r="E467" t="s">
        <v>133</v>
      </c>
      <c r="F467">
        <v>1</v>
      </c>
      <c r="G467" s="128"/>
    </row>
    <row r="468" spans="1:7" x14ac:dyDescent="0.25">
      <c r="A468" s="174">
        <v>3838</v>
      </c>
      <c r="B468" s="174">
        <v>0</v>
      </c>
      <c r="C468" t="s">
        <v>1504</v>
      </c>
      <c r="D468" s="795">
        <v>36653</v>
      </c>
      <c r="E468" t="s">
        <v>120</v>
      </c>
      <c r="F468">
        <v>1</v>
      </c>
      <c r="G468" s="128"/>
    </row>
    <row r="469" spans="1:7" x14ac:dyDescent="0.25">
      <c r="A469" s="174">
        <v>2698</v>
      </c>
      <c r="B469" s="174">
        <v>23</v>
      </c>
      <c r="C469" t="s">
        <v>1505</v>
      </c>
      <c r="D469" s="795">
        <v>37209</v>
      </c>
      <c r="E469" t="s">
        <v>1506</v>
      </c>
      <c r="F469">
        <v>1</v>
      </c>
      <c r="G469" s="128"/>
    </row>
    <row r="470" spans="1:7" x14ac:dyDescent="0.25">
      <c r="A470" s="174">
        <v>2395</v>
      </c>
      <c r="B470" s="174">
        <v>37</v>
      </c>
      <c r="C470" t="s">
        <v>476</v>
      </c>
      <c r="D470" s="795">
        <v>36882</v>
      </c>
      <c r="E470" t="s">
        <v>105</v>
      </c>
      <c r="F470">
        <v>1</v>
      </c>
      <c r="G470" s="128"/>
    </row>
    <row r="471" spans="1:7" x14ac:dyDescent="0.25">
      <c r="A471" s="174">
        <v>2808</v>
      </c>
      <c r="B471" s="174">
        <v>18</v>
      </c>
      <c r="C471" t="s">
        <v>1508</v>
      </c>
      <c r="D471" s="795">
        <v>36615</v>
      </c>
      <c r="E471" t="s">
        <v>138</v>
      </c>
      <c r="F471">
        <v>1</v>
      </c>
      <c r="G471" s="128"/>
    </row>
    <row r="472" spans="1:7" x14ac:dyDescent="0.25">
      <c r="A472" s="174">
        <v>2240</v>
      </c>
      <c r="B472" s="174">
        <v>45</v>
      </c>
      <c r="C472" t="s">
        <v>228</v>
      </c>
      <c r="D472" s="795">
        <v>36540</v>
      </c>
      <c r="E472" t="s">
        <v>183</v>
      </c>
      <c r="F472">
        <v>1</v>
      </c>
      <c r="G472" s="128"/>
    </row>
    <row r="473" spans="1:7" x14ac:dyDescent="0.25">
      <c r="A473" s="174">
        <v>2924</v>
      </c>
      <c r="B473" s="174">
        <v>13</v>
      </c>
      <c r="C473" t="s">
        <v>1511</v>
      </c>
      <c r="D473" s="795">
        <v>36607</v>
      </c>
      <c r="E473" t="s">
        <v>105</v>
      </c>
      <c r="F473">
        <v>1</v>
      </c>
      <c r="G473" s="128"/>
    </row>
    <row r="474" spans="1:7" x14ac:dyDescent="0.25">
      <c r="A474" s="174">
        <v>3730</v>
      </c>
      <c r="B474" s="174">
        <v>0</v>
      </c>
      <c r="C474" t="s">
        <v>1513</v>
      </c>
      <c r="D474" s="795">
        <v>36526</v>
      </c>
      <c r="E474" t="s">
        <v>128</v>
      </c>
      <c r="F474">
        <v>1</v>
      </c>
      <c r="G474" s="128"/>
    </row>
    <row r="475" spans="1:7" x14ac:dyDescent="0.25">
      <c r="A475" s="174">
        <v>3123</v>
      </c>
      <c r="B475" s="174">
        <v>6</v>
      </c>
      <c r="C475" t="s">
        <v>1517</v>
      </c>
      <c r="D475" s="795">
        <v>37562</v>
      </c>
      <c r="E475" t="s">
        <v>1186</v>
      </c>
      <c r="F475">
        <v>1</v>
      </c>
      <c r="G475" s="128"/>
    </row>
    <row r="476" spans="1:7" x14ac:dyDescent="0.25">
      <c r="A476" s="174">
        <v>2199</v>
      </c>
      <c r="B476" s="174">
        <v>48</v>
      </c>
      <c r="C476" t="s">
        <v>785</v>
      </c>
      <c r="D476" s="795">
        <v>36854</v>
      </c>
      <c r="E476" t="s">
        <v>110</v>
      </c>
      <c r="F476">
        <v>1</v>
      </c>
      <c r="G476" s="128"/>
    </row>
    <row r="477" spans="1:7" x14ac:dyDescent="0.25">
      <c r="A477" s="174">
        <v>3536</v>
      </c>
      <c r="B477" s="174">
        <v>0</v>
      </c>
      <c r="C477" t="s">
        <v>2508</v>
      </c>
      <c r="D477" s="795">
        <v>36932</v>
      </c>
      <c r="E477" t="s">
        <v>1155</v>
      </c>
      <c r="F477">
        <v>1</v>
      </c>
      <c r="G477" s="128"/>
    </row>
    <row r="478" spans="1:7" x14ac:dyDescent="0.25">
      <c r="A478" s="174">
        <v>3457</v>
      </c>
      <c r="B478" s="174">
        <v>0</v>
      </c>
      <c r="C478" t="s">
        <v>1518</v>
      </c>
      <c r="D478" s="795">
        <v>37087</v>
      </c>
      <c r="E478" t="s">
        <v>1155</v>
      </c>
      <c r="F478">
        <v>1</v>
      </c>
      <c r="G478" s="128"/>
    </row>
    <row r="479" spans="1:7" x14ac:dyDescent="0.25">
      <c r="A479" s="174">
        <v>1998</v>
      </c>
      <c r="B479" s="174">
        <v>61</v>
      </c>
      <c r="C479" t="s">
        <v>390</v>
      </c>
      <c r="D479" s="795">
        <v>36582</v>
      </c>
      <c r="E479" t="s">
        <v>1107</v>
      </c>
      <c r="F479">
        <v>1</v>
      </c>
      <c r="G479" s="128"/>
    </row>
    <row r="480" spans="1:7" x14ac:dyDescent="0.25">
      <c r="A480" s="174">
        <v>2133</v>
      </c>
      <c r="B480" s="174">
        <v>52</v>
      </c>
      <c r="C480" t="s">
        <v>786</v>
      </c>
      <c r="D480" s="795">
        <v>36696</v>
      </c>
      <c r="E480" t="s">
        <v>118</v>
      </c>
      <c r="F480">
        <v>1</v>
      </c>
      <c r="G480" s="128"/>
    </row>
    <row r="481" spans="1:7" x14ac:dyDescent="0.25">
      <c r="A481" s="174">
        <v>1213</v>
      </c>
      <c r="B481" s="174">
        <v>183</v>
      </c>
      <c r="C481" t="s">
        <v>230</v>
      </c>
      <c r="D481" s="795">
        <v>36709</v>
      </c>
      <c r="E481" t="s">
        <v>231</v>
      </c>
      <c r="F481">
        <v>1</v>
      </c>
      <c r="G481" s="128"/>
    </row>
    <row r="482" spans="1:7" x14ac:dyDescent="0.25">
      <c r="A482" s="174">
        <v>2728</v>
      </c>
      <c r="B482" s="174">
        <v>21</v>
      </c>
      <c r="C482" t="s">
        <v>663</v>
      </c>
      <c r="D482" s="795">
        <v>36908</v>
      </c>
      <c r="E482" t="s">
        <v>1374</v>
      </c>
      <c r="F482">
        <v>1</v>
      </c>
      <c r="G482" s="128"/>
    </row>
    <row r="483" spans="1:7" x14ac:dyDescent="0.25">
      <c r="A483" s="174">
        <v>2370</v>
      </c>
      <c r="B483" s="174">
        <v>38</v>
      </c>
      <c r="C483" t="s">
        <v>477</v>
      </c>
      <c r="D483" s="795">
        <v>36551</v>
      </c>
      <c r="E483" t="s">
        <v>73</v>
      </c>
      <c r="F483">
        <v>1</v>
      </c>
      <c r="G483" s="128"/>
    </row>
    <row r="484" spans="1:7" x14ac:dyDescent="0.25">
      <c r="A484" s="174">
        <v>2500</v>
      </c>
      <c r="B484" s="174">
        <v>32</v>
      </c>
      <c r="C484" t="s">
        <v>664</v>
      </c>
      <c r="D484" s="795">
        <v>36954</v>
      </c>
      <c r="E484" t="s">
        <v>241</v>
      </c>
      <c r="F484">
        <v>1</v>
      </c>
      <c r="G484" s="128"/>
    </row>
    <row r="485" spans="1:7" x14ac:dyDescent="0.25">
      <c r="A485" s="174">
        <v>3804</v>
      </c>
      <c r="B485" s="174">
        <v>0</v>
      </c>
      <c r="C485" t="s">
        <v>1521</v>
      </c>
      <c r="D485" s="795">
        <v>36950</v>
      </c>
      <c r="E485" t="s">
        <v>133</v>
      </c>
      <c r="F485">
        <v>1</v>
      </c>
      <c r="G485" s="128"/>
    </row>
    <row r="486" spans="1:7" x14ac:dyDescent="0.25">
      <c r="A486" s="174">
        <v>2285</v>
      </c>
      <c r="B486" s="174">
        <v>43</v>
      </c>
      <c r="C486" t="s">
        <v>478</v>
      </c>
      <c r="D486" s="795">
        <v>37257</v>
      </c>
      <c r="E486" t="s">
        <v>120</v>
      </c>
      <c r="F486">
        <v>1</v>
      </c>
      <c r="G486" s="128"/>
    </row>
    <row r="487" spans="1:7" x14ac:dyDescent="0.25">
      <c r="A487" s="174">
        <v>3227</v>
      </c>
      <c r="B487" s="174">
        <v>4</v>
      </c>
      <c r="C487" t="s">
        <v>1522</v>
      </c>
      <c r="D487" s="795">
        <v>36711</v>
      </c>
      <c r="E487" t="s">
        <v>1091</v>
      </c>
      <c r="F487">
        <v>1</v>
      </c>
      <c r="G487" s="128"/>
    </row>
    <row r="488" spans="1:7" x14ac:dyDescent="0.25">
      <c r="A488" s="174">
        <v>1495</v>
      </c>
      <c r="B488" s="174">
        <v>129</v>
      </c>
      <c r="C488" t="s">
        <v>787</v>
      </c>
      <c r="D488" s="795">
        <v>36660</v>
      </c>
      <c r="E488" t="s">
        <v>365</v>
      </c>
      <c r="F488">
        <v>1</v>
      </c>
      <c r="G488" s="128"/>
    </row>
    <row r="489" spans="1:7" x14ac:dyDescent="0.25">
      <c r="A489" s="174">
        <v>3011</v>
      </c>
      <c r="B489" s="174">
        <v>10</v>
      </c>
      <c r="C489" t="s">
        <v>1523</v>
      </c>
      <c r="D489" s="795">
        <v>37043</v>
      </c>
      <c r="E489" t="s">
        <v>365</v>
      </c>
      <c r="F489">
        <v>1</v>
      </c>
      <c r="G489" s="128"/>
    </row>
    <row r="490" spans="1:7" x14ac:dyDescent="0.25">
      <c r="A490" s="174">
        <v>3544</v>
      </c>
      <c r="B490" s="174">
        <v>0</v>
      </c>
      <c r="C490" t="s">
        <v>2509</v>
      </c>
      <c r="D490" s="795">
        <v>37115</v>
      </c>
      <c r="E490" t="s">
        <v>110</v>
      </c>
      <c r="F490">
        <v>1</v>
      </c>
      <c r="G490" s="128"/>
    </row>
    <row r="491" spans="1:7" x14ac:dyDescent="0.25">
      <c r="A491" s="174">
        <v>3562</v>
      </c>
      <c r="B491" s="174">
        <v>0</v>
      </c>
      <c r="C491" t="s">
        <v>1524</v>
      </c>
      <c r="D491" s="795">
        <v>38010</v>
      </c>
      <c r="E491" t="s">
        <v>469</v>
      </c>
      <c r="F491">
        <v>1</v>
      </c>
      <c r="G491" s="128"/>
    </row>
    <row r="492" spans="1:7" x14ac:dyDescent="0.25">
      <c r="A492" s="174">
        <v>3667</v>
      </c>
      <c r="B492" s="174">
        <v>0</v>
      </c>
      <c r="C492" t="s">
        <v>1526</v>
      </c>
      <c r="D492" s="795">
        <v>36760</v>
      </c>
      <c r="E492" t="s">
        <v>105</v>
      </c>
      <c r="F492">
        <v>1</v>
      </c>
      <c r="G492" s="128"/>
    </row>
    <row r="493" spans="1:7" x14ac:dyDescent="0.25">
      <c r="A493" s="174">
        <v>3525</v>
      </c>
      <c r="B493" s="174">
        <v>0</v>
      </c>
      <c r="C493" t="s">
        <v>2510</v>
      </c>
      <c r="D493" s="795">
        <v>37544</v>
      </c>
      <c r="E493" t="s">
        <v>103</v>
      </c>
      <c r="F493">
        <v>1</v>
      </c>
      <c r="G493" s="128"/>
    </row>
    <row r="494" spans="1:7" x14ac:dyDescent="0.25">
      <c r="A494" s="174">
        <v>2412</v>
      </c>
      <c r="B494" s="174">
        <v>36</v>
      </c>
      <c r="C494" t="s">
        <v>232</v>
      </c>
      <c r="D494" s="795">
        <v>36650</v>
      </c>
      <c r="E494" t="s">
        <v>105</v>
      </c>
      <c r="F494">
        <v>1</v>
      </c>
      <c r="G494" s="128"/>
    </row>
    <row r="495" spans="1:7" x14ac:dyDescent="0.25">
      <c r="A495" s="174">
        <v>2713</v>
      </c>
      <c r="B495" s="174">
        <v>22</v>
      </c>
      <c r="C495" t="s">
        <v>665</v>
      </c>
      <c r="D495" s="795">
        <v>37309</v>
      </c>
      <c r="E495" t="s">
        <v>1193</v>
      </c>
      <c r="F495">
        <v>1</v>
      </c>
      <c r="G495" s="128"/>
    </row>
    <row r="496" spans="1:7" x14ac:dyDescent="0.25">
      <c r="A496" s="174">
        <v>3161</v>
      </c>
      <c r="B496" s="174">
        <v>5</v>
      </c>
      <c r="C496" t="s">
        <v>1527</v>
      </c>
      <c r="D496" s="795">
        <v>36892</v>
      </c>
      <c r="E496" t="s">
        <v>1485</v>
      </c>
      <c r="F496">
        <v>1</v>
      </c>
      <c r="G496" s="128"/>
    </row>
    <row r="497" spans="1:7" x14ac:dyDescent="0.25">
      <c r="A497" s="174">
        <v>3706</v>
      </c>
      <c r="B497" s="174">
        <v>0</v>
      </c>
      <c r="C497" t="s">
        <v>1528</v>
      </c>
      <c r="D497" s="795">
        <v>37158</v>
      </c>
      <c r="E497" t="s">
        <v>200</v>
      </c>
      <c r="F497">
        <v>1</v>
      </c>
      <c r="G497" s="128"/>
    </row>
    <row r="498" spans="1:7" x14ac:dyDescent="0.25">
      <c r="A498" s="174">
        <v>2179</v>
      </c>
      <c r="B498" s="174">
        <v>49</v>
      </c>
      <c r="C498" t="s">
        <v>788</v>
      </c>
      <c r="D498" s="795">
        <v>36587</v>
      </c>
      <c r="E498" t="s">
        <v>132</v>
      </c>
      <c r="F498">
        <v>1</v>
      </c>
      <c r="G498" s="128"/>
    </row>
    <row r="499" spans="1:7" x14ac:dyDescent="0.25">
      <c r="A499" s="174">
        <v>3220</v>
      </c>
      <c r="B499" s="174">
        <v>4</v>
      </c>
      <c r="C499" t="s">
        <v>1529</v>
      </c>
      <c r="D499" s="795">
        <v>36588</v>
      </c>
      <c r="E499" t="s">
        <v>74</v>
      </c>
      <c r="F499">
        <v>1</v>
      </c>
      <c r="G499" s="128"/>
    </row>
    <row r="500" spans="1:7" x14ac:dyDescent="0.25">
      <c r="A500" s="174">
        <v>1209</v>
      </c>
      <c r="B500" s="174">
        <v>184</v>
      </c>
      <c r="C500" t="s">
        <v>233</v>
      </c>
      <c r="D500" s="795">
        <v>36732</v>
      </c>
      <c r="E500" t="s">
        <v>99</v>
      </c>
      <c r="F500">
        <v>1</v>
      </c>
      <c r="G500" s="128"/>
    </row>
    <row r="501" spans="1:7" x14ac:dyDescent="0.25">
      <c r="A501" s="174">
        <v>2732</v>
      </c>
      <c r="B501" s="174">
        <v>21</v>
      </c>
      <c r="C501" t="s">
        <v>1530</v>
      </c>
      <c r="D501" s="795">
        <v>36846</v>
      </c>
      <c r="E501" t="s">
        <v>105</v>
      </c>
      <c r="F501">
        <v>1</v>
      </c>
      <c r="G501" s="128"/>
    </row>
    <row r="502" spans="1:7" x14ac:dyDescent="0.25">
      <c r="A502" s="174">
        <v>2889</v>
      </c>
      <c r="B502" s="174">
        <v>14</v>
      </c>
      <c r="C502" t="s">
        <v>1531</v>
      </c>
      <c r="D502" s="795">
        <v>36720</v>
      </c>
      <c r="E502" t="s">
        <v>105</v>
      </c>
      <c r="F502">
        <v>1</v>
      </c>
      <c r="G502" s="128"/>
    </row>
    <row r="503" spans="1:7" x14ac:dyDescent="0.25">
      <c r="A503" s="174">
        <v>1542</v>
      </c>
      <c r="B503" s="174">
        <v>120</v>
      </c>
      <c r="C503" t="s">
        <v>480</v>
      </c>
      <c r="D503" s="795">
        <v>36749</v>
      </c>
      <c r="E503" t="s">
        <v>120</v>
      </c>
      <c r="F503">
        <v>1</v>
      </c>
      <c r="G503" s="128"/>
    </row>
    <row r="504" spans="1:7" x14ac:dyDescent="0.25">
      <c r="A504" s="174">
        <v>2517</v>
      </c>
      <c r="B504" s="174">
        <v>31</v>
      </c>
      <c r="C504" t="s">
        <v>234</v>
      </c>
      <c r="D504" s="795">
        <v>36707</v>
      </c>
      <c r="E504" t="s">
        <v>105</v>
      </c>
      <c r="F504">
        <v>1</v>
      </c>
      <c r="G504" s="128"/>
    </row>
    <row r="505" spans="1:7" x14ac:dyDescent="0.25">
      <c r="A505" s="174">
        <v>2464</v>
      </c>
      <c r="B505" s="174">
        <v>33</v>
      </c>
      <c r="C505" t="s">
        <v>666</v>
      </c>
      <c r="D505" s="795">
        <v>36940</v>
      </c>
      <c r="E505" t="s">
        <v>120</v>
      </c>
      <c r="F505">
        <v>1</v>
      </c>
      <c r="G505" s="128"/>
    </row>
    <row r="506" spans="1:7" x14ac:dyDescent="0.25">
      <c r="A506" s="174">
        <v>1433</v>
      </c>
      <c r="B506" s="174">
        <v>138</v>
      </c>
      <c r="C506" t="s">
        <v>481</v>
      </c>
      <c r="D506" s="795">
        <v>36694</v>
      </c>
      <c r="E506" t="s">
        <v>74</v>
      </c>
      <c r="F506">
        <v>1</v>
      </c>
      <c r="G506" s="128"/>
    </row>
    <row r="507" spans="1:7" x14ac:dyDescent="0.25">
      <c r="A507" s="174">
        <v>1572</v>
      </c>
      <c r="B507" s="174">
        <v>114</v>
      </c>
      <c r="C507" t="s">
        <v>235</v>
      </c>
      <c r="D507" s="795">
        <v>36779</v>
      </c>
      <c r="E507" t="s">
        <v>74</v>
      </c>
      <c r="F507">
        <v>1</v>
      </c>
      <c r="G507" s="128"/>
    </row>
    <row r="508" spans="1:7" x14ac:dyDescent="0.25">
      <c r="A508" s="174">
        <v>3266</v>
      </c>
      <c r="B508" s="174">
        <v>3</v>
      </c>
      <c r="C508" t="s">
        <v>1532</v>
      </c>
      <c r="D508" s="795">
        <v>36549</v>
      </c>
      <c r="E508" t="s">
        <v>1494</v>
      </c>
      <c r="F508">
        <v>1</v>
      </c>
      <c r="G508" s="128"/>
    </row>
    <row r="509" spans="1:7" x14ac:dyDescent="0.25">
      <c r="A509" s="174">
        <v>3233</v>
      </c>
      <c r="B509" s="174">
        <v>4</v>
      </c>
      <c r="C509" t="s">
        <v>1533</v>
      </c>
      <c r="D509" s="795">
        <v>36595</v>
      </c>
      <c r="E509" t="s">
        <v>1263</v>
      </c>
      <c r="F509">
        <v>1</v>
      </c>
      <c r="G509" s="128"/>
    </row>
    <row r="510" spans="1:7" x14ac:dyDescent="0.25">
      <c r="A510" s="174">
        <v>3477</v>
      </c>
      <c r="B510" s="174">
        <v>0</v>
      </c>
      <c r="C510" t="s">
        <v>2511</v>
      </c>
      <c r="D510" s="795">
        <v>36892</v>
      </c>
      <c r="E510" t="s">
        <v>2512</v>
      </c>
      <c r="F510">
        <v>1</v>
      </c>
      <c r="G510" s="128"/>
    </row>
    <row r="511" spans="1:7" x14ac:dyDescent="0.25">
      <c r="A511" s="174">
        <v>2388</v>
      </c>
      <c r="B511" s="174">
        <v>38</v>
      </c>
      <c r="C511" t="s">
        <v>1534</v>
      </c>
      <c r="D511" s="795">
        <v>36851</v>
      </c>
      <c r="E511" t="s">
        <v>1121</v>
      </c>
      <c r="F511">
        <v>1</v>
      </c>
      <c r="G511" s="128"/>
    </row>
    <row r="512" spans="1:7" x14ac:dyDescent="0.25">
      <c r="A512" s="174">
        <v>2557</v>
      </c>
      <c r="B512" s="174">
        <v>29</v>
      </c>
      <c r="C512" t="s">
        <v>667</v>
      </c>
      <c r="D512" s="795">
        <v>37026</v>
      </c>
      <c r="E512" t="s">
        <v>105</v>
      </c>
      <c r="F512">
        <v>1</v>
      </c>
      <c r="G512" s="128"/>
    </row>
    <row r="513" spans="1:7" x14ac:dyDescent="0.25">
      <c r="A513" s="174">
        <v>3276</v>
      </c>
      <c r="B513" s="174">
        <v>3</v>
      </c>
      <c r="C513" t="s">
        <v>667</v>
      </c>
      <c r="D513" s="795">
        <v>36614</v>
      </c>
      <c r="E513" t="s">
        <v>1535</v>
      </c>
      <c r="F513">
        <v>1</v>
      </c>
      <c r="G513" s="128"/>
    </row>
    <row r="514" spans="1:7" x14ac:dyDescent="0.25">
      <c r="A514" s="174">
        <v>3449</v>
      </c>
      <c r="B514" s="174">
        <v>0</v>
      </c>
      <c r="C514" t="s">
        <v>1536</v>
      </c>
      <c r="D514" s="795">
        <v>37501</v>
      </c>
      <c r="E514" t="s">
        <v>1143</v>
      </c>
      <c r="F514">
        <v>1</v>
      </c>
      <c r="G514" s="128"/>
    </row>
    <row r="515" spans="1:7" x14ac:dyDescent="0.25">
      <c r="A515" s="174">
        <v>3647</v>
      </c>
      <c r="B515" s="174">
        <v>0</v>
      </c>
      <c r="C515" t="s">
        <v>1537</v>
      </c>
      <c r="D515" s="795">
        <v>36859</v>
      </c>
      <c r="E515" t="s">
        <v>99</v>
      </c>
      <c r="F515">
        <v>1</v>
      </c>
      <c r="G515" s="128"/>
    </row>
    <row r="516" spans="1:7" x14ac:dyDescent="0.25">
      <c r="A516" s="174">
        <v>2209</v>
      </c>
      <c r="B516" s="174">
        <v>47</v>
      </c>
      <c r="C516" t="s">
        <v>1538</v>
      </c>
      <c r="D516" s="795">
        <v>36749</v>
      </c>
      <c r="E516" t="s">
        <v>111</v>
      </c>
      <c r="F516">
        <v>1</v>
      </c>
      <c r="G516" s="128"/>
    </row>
    <row r="517" spans="1:7" x14ac:dyDescent="0.25">
      <c r="A517" s="174">
        <v>3204</v>
      </c>
      <c r="B517" s="174">
        <v>4</v>
      </c>
      <c r="C517" t="s">
        <v>1539</v>
      </c>
      <c r="D517" s="795">
        <v>37224</v>
      </c>
      <c r="E517" t="s">
        <v>1089</v>
      </c>
      <c r="F517">
        <v>1</v>
      </c>
      <c r="G517" s="128"/>
    </row>
    <row r="518" spans="1:7" x14ac:dyDescent="0.25">
      <c r="A518" s="174">
        <v>3830</v>
      </c>
      <c r="B518" s="174">
        <v>0</v>
      </c>
      <c r="C518" t="s">
        <v>1540</v>
      </c>
      <c r="D518" s="795">
        <v>36543</v>
      </c>
      <c r="E518" t="s">
        <v>105</v>
      </c>
      <c r="F518">
        <v>1</v>
      </c>
      <c r="G518" s="128"/>
    </row>
    <row r="519" spans="1:7" x14ac:dyDescent="0.25">
      <c r="A519" s="174">
        <v>2963</v>
      </c>
      <c r="B519" s="174">
        <v>12</v>
      </c>
      <c r="C519" t="s">
        <v>1541</v>
      </c>
      <c r="D519" s="795">
        <v>37538</v>
      </c>
      <c r="E519" t="s">
        <v>166</v>
      </c>
      <c r="F519">
        <v>1</v>
      </c>
      <c r="G519" s="128"/>
    </row>
    <row r="520" spans="1:7" x14ac:dyDescent="0.25">
      <c r="A520" s="174">
        <v>3513</v>
      </c>
      <c r="B520" s="174">
        <v>0</v>
      </c>
      <c r="C520" t="s">
        <v>2513</v>
      </c>
      <c r="D520" s="795">
        <v>37019</v>
      </c>
      <c r="E520" t="s">
        <v>2514</v>
      </c>
      <c r="F520">
        <v>1</v>
      </c>
      <c r="G520" s="128"/>
    </row>
    <row r="521" spans="1:7" x14ac:dyDescent="0.25">
      <c r="A521" s="174">
        <v>2773</v>
      </c>
      <c r="B521" s="174">
        <v>19</v>
      </c>
      <c r="C521" t="s">
        <v>237</v>
      </c>
      <c r="D521" s="795">
        <v>36768</v>
      </c>
      <c r="E521" t="s">
        <v>163</v>
      </c>
      <c r="F521">
        <v>1</v>
      </c>
      <c r="G521" s="128"/>
    </row>
    <row r="522" spans="1:7" x14ac:dyDescent="0.25">
      <c r="A522" s="174">
        <v>2878</v>
      </c>
      <c r="B522" s="174">
        <v>15</v>
      </c>
      <c r="C522" t="s">
        <v>1543</v>
      </c>
      <c r="D522" s="795">
        <v>36734</v>
      </c>
      <c r="E522" t="s">
        <v>105</v>
      </c>
      <c r="F522">
        <v>1</v>
      </c>
      <c r="G522" s="128"/>
    </row>
    <row r="523" spans="1:7" x14ac:dyDescent="0.25">
      <c r="A523" s="174">
        <v>3218</v>
      </c>
      <c r="B523" s="174">
        <v>4</v>
      </c>
      <c r="C523" t="s">
        <v>239</v>
      </c>
      <c r="D523" s="795">
        <v>37158</v>
      </c>
      <c r="E523" t="s">
        <v>122</v>
      </c>
      <c r="F523">
        <v>1</v>
      </c>
      <c r="G523" s="128"/>
    </row>
    <row r="524" spans="1:7" x14ac:dyDescent="0.25">
      <c r="A524" s="174">
        <v>3693</v>
      </c>
      <c r="B524" s="174">
        <v>0</v>
      </c>
      <c r="C524" t="s">
        <v>1544</v>
      </c>
      <c r="D524" s="795">
        <v>36578</v>
      </c>
      <c r="E524" t="s">
        <v>1545</v>
      </c>
      <c r="F524">
        <v>1</v>
      </c>
      <c r="G524" s="128"/>
    </row>
    <row r="525" spans="1:7" x14ac:dyDescent="0.25">
      <c r="A525" s="174">
        <v>3452</v>
      </c>
      <c r="B525" s="174">
        <v>0</v>
      </c>
      <c r="C525" t="s">
        <v>1546</v>
      </c>
      <c r="D525" s="795">
        <v>36527</v>
      </c>
      <c r="E525" t="s">
        <v>154</v>
      </c>
      <c r="F525">
        <v>1</v>
      </c>
      <c r="G525" s="128"/>
    </row>
    <row r="526" spans="1:7" x14ac:dyDescent="0.25">
      <c r="A526" s="174">
        <v>2704</v>
      </c>
      <c r="B526" s="174">
        <v>22</v>
      </c>
      <c r="C526" t="s">
        <v>240</v>
      </c>
      <c r="D526" s="795">
        <v>36539</v>
      </c>
      <c r="E526" t="s">
        <v>128</v>
      </c>
      <c r="F526">
        <v>1</v>
      </c>
      <c r="G526" s="128"/>
    </row>
    <row r="527" spans="1:7" x14ac:dyDescent="0.25">
      <c r="A527" s="174">
        <v>3036</v>
      </c>
      <c r="B527" s="174">
        <v>9</v>
      </c>
      <c r="C527" t="s">
        <v>1547</v>
      </c>
      <c r="D527" s="795">
        <v>36903</v>
      </c>
      <c r="E527" t="s">
        <v>105</v>
      </c>
      <c r="F527">
        <v>1</v>
      </c>
      <c r="G527" s="128"/>
    </row>
    <row r="528" spans="1:7" x14ac:dyDescent="0.25">
      <c r="A528" s="174">
        <v>2487</v>
      </c>
      <c r="B528" s="174">
        <v>32</v>
      </c>
      <c r="C528" t="s">
        <v>391</v>
      </c>
      <c r="D528" s="795">
        <v>36855</v>
      </c>
      <c r="E528" t="s">
        <v>105</v>
      </c>
      <c r="F528">
        <v>1</v>
      </c>
      <c r="G528" s="128"/>
    </row>
    <row r="529" spans="1:7" x14ac:dyDescent="0.25">
      <c r="A529" s="174">
        <v>2933</v>
      </c>
      <c r="B529" s="174">
        <v>13</v>
      </c>
      <c r="C529" t="s">
        <v>1550</v>
      </c>
      <c r="D529" s="795">
        <v>36687</v>
      </c>
      <c r="E529" t="s">
        <v>170</v>
      </c>
      <c r="F529">
        <v>1</v>
      </c>
      <c r="G529" s="128"/>
    </row>
    <row r="530" spans="1:7" x14ac:dyDescent="0.25">
      <c r="A530" s="174">
        <v>1368</v>
      </c>
      <c r="B530" s="174">
        <v>149</v>
      </c>
      <c r="C530" t="s">
        <v>482</v>
      </c>
      <c r="D530" s="795">
        <v>36700</v>
      </c>
      <c r="E530" t="s">
        <v>83</v>
      </c>
      <c r="F530">
        <v>1</v>
      </c>
      <c r="G530" s="128"/>
    </row>
    <row r="531" spans="1:7" x14ac:dyDescent="0.25">
      <c r="A531" s="174">
        <v>3224</v>
      </c>
      <c r="B531" s="174">
        <v>4</v>
      </c>
      <c r="C531" t="s">
        <v>668</v>
      </c>
      <c r="D531" s="795">
        <v>37350</v>
      </c>
      <c r="E531" t="s">
        <v>120</v>
      </c>
      <c r="F531">
        <v>1</v>
      </c>
      <c r="G531" s="128"/>
    </row>
    <row r="532" spans="1:7" x14ac:dyDescent="0.25">
      <c r="A532" s="174">
        <v>3625</v>
      </c>
      <c r="B532" s="174">
        <v>0</v>
      </c>
      <c r="C532" t="s">
        <v>2442</v>
      </c>
      <c r="D532" s="795">
        <v>37210</v>
      </c>
      <c r="E532" t="s">
        <v>99</v>
      </c>
      <c r="F532">
        <v>1</v>
      </c>
      <c r="G532" s="128"/>
    </row>
    <row r="533" spans="1:7" x14ac:dyDescent="0.25">
      <c r="A533" s="174">
        <v>3025</v>
      </c>
      <c r="B533" s="174">
        <v>9</v>
      </c>
      <c r="C533" t="s">
        <v>1552</v>
      </c>
      <c r="D533" s="795">
        <v>37302</v>
      </c>
      <c r="E533" t="s">
        <v>1143</v>
      </c>
      <c r="F533">
        <v>1</v>
      </c>
      <c r="G533" s="128"/>
    </row>
    <row r="534" spans="1:7" x14ac:dyDescent="0.25">
      <c r="A534" s="174">
        <v>3919</v>
      </c>
      <c r="B534" s="174">
        <v>0</v>
      </c>
      <c r="C534" t="s">
        <v>1553</v>
      </c>
      <c r="D534" s="795">
        <v>37213</v>
      </c>
      <c r="E534" t="s">
        <v>117</v>
      </c>
      <c r="F534">
        <v>1</v>
      </c>
      <c r="G534" s="128"/>
    </row>
    <row r="535" spans="1:7" x14ac:dyDescent="0.25">
      <c r="A535" s="174">
        <v>2055</v>
      </c>
      <c r="B535" s="174">
        <v>57</v>
      </c>
      <c r="C535" t="s">
        <v>1554</v>
      </c>
      <c r="D535" s="795">
        <v>37508</v>
      </c>
      <c r="E535" t="s">
        <v>251</v>
      </c>
      <c r="F535">
        <v>1</v>
      </c>
      <c r="G535" s="128"/>
    </row>
    <row r="536" spans="1:7" x14ac:dyDescent="0.25">
      <c r="A536" s="174">
        <v>3033</v>
      </c>
      <c r="B536" s="174">
        <v>9</v>
      </c>
      <c r="C536" t="s">
        <v>1555</v>
      </c>
      <c r="D536" s="795">
        <v>37844</v>
      </c>
      <c r="E536" t="s">
        <v>105</v>
      </c>
      <c r="F536">
        <v>1</v>
      </c>
      <c r="G536" s="128"/>
    </row>
    <row r="537" spans="1:7" x14ac:dyDescent="0.25">
      <c r="A537" s="174">
        <v>2953</v>
      </c>
      <c r="B537" s="174">
        <v>12</v>
      </c>
      <c r="C537" t="s">
        <v>1556</v>
      </c>
      <c r="D537" s="795">
        <v>36555</v>
      </c>
      <c r="E537" t="s">
        <v>1121</v>
      </c>
      <c r="F537">
        <v>1</v>
      </c>
      <c r="G537" s="128"/>
    </row>
    <row r="538" spans="1:7" x14ac:dyDescent="0.25">
      <c r="A538" s="174">
        <v>2730</v>
      </c>
      <c r="B538" s="174">
        <v>21</v>
      </c>
      <c r="C538" t="s">
        <v>1557</v>
      </c>
      <c r="D538" s="795">
        <v>36641</v>
      </c>
      <c r="E538" t="s">
        <v>164</v>
      </c>
      <c r="F538">
        <v>1</v>
      </c>
      <c r="G538" s="128"/>
    </row>
    <row r="539" spans="1:7" x14ac:dyDescent="0.25">
      <c r="A539" s="174">
        <v>1876</v>
      </c>
      <c r="B539" s="174">
        <v>74</v>
      </c>
      <c r="C539" t="s">
        <v>1558</v>
      </c>
      <c r="D539" s="795">
        <v>37464</v>
      </c>
      <c r="E539" t="s">
        <v>1107</v>
      </c>
      <c r="F539">
        <v>1</v>
      </c>
      <c r="G539" s="128"/>
    </row>
    <row r="540" spans="1:7" x14ac:dyDescent="0.25">
      <c r="A540" s="174">
        <v>3103</v>
      </c>
      <c r="B540" s="174">
        <v>7</v>
      </c>
      <c r="C540" t="s">
        <v>1559</v>
      </c>
      <c r="D540" s="795">
        <v>37177</v>
      </c>
      <c r="E540" t="s">
        <v>145</v>
      </c>
      <c r="F540">
        <v>1</v>
      </c>
      <c r="G540" s="128"/>
    </row>
    <row r="541" spans="1:7" x14ac:dyDescent="0.25">
      <c r="A541" s="174">
        <v>2941</v>
      </c>
      <c r="B541" s="174">
        <v>12</v>
      </c>
      <c r="C541" t="s">
        <v>483</v>
      </c>
      <c r="D541" s="795">
        <v>37215</v>
      </c>
      <c r="E541" t="s">
        <v>1143</v>
      </c>
      <c r="F541">
        <v>1</v>
      </c>
      <c r="G541" s="128"/>
    </row>
    <row r="542" spans="1:7" x14ac:dyDescent="0.25">
      <c r="A542" s="174">
        <v>2446</v>
      </c>
      <c r="B542" s="174">
        <v>34</v>
      </c>
      <c r="C542" t="s">
        <v>485</v>
      </c>
      <c r="D542" s="795">
        <v>36559</v>
      </c>
      <c r="E542" t="s">
        <v>105</v>
      </c>
      <c r="F542">
        <v>1</v>
      </c>
      <c r="G542" s="128"/>
    </row>
    <row r="543" spans="1:7" x14ac:dyDescent="0.25">
      <c r="A543" s="174">
        <v>3165</v>
      </c>
      <c r="B543" s="174">
        <v>5</v>
      </c>
      <c r="C543" t="s">
        <v>1563</v>
      </c>
      <c r="D543" s="795">
        <v>36900</v>
      </c>
      <c r="E543" t="s">
        <v>105</v>
      </c>
      <c r="F543">
        <v>1</v>
      </c>
      <c r="G543" s="128"/>
    </row>
    <row r="544" spans="1:7" x14ac:dyDescent="0.25">
      <c r="A544" s="174">
        <v>2751</v>
      </c>
      <c r="B544" s="174">
        <v>20</v>
      </c>
      <c r="C544" t="s">
        <v>1564</v>
      </c>
      <c r="D544" s="795">
        <v>36526</v>
      </c>
      <c r="E544" t="s">
        <v>1497</v>
      </c>
      <c r="F544">
        <v>1</v>
      </c>
      <c r="G544" s="128"/>
    </row>
    <row r="545" spans="1:7" x14ac:dyDescent="0.25">
      <c r="A545" s="174">
        <v>3355</v>
      </c>
      <c r="B545" s="174">
        <v>1</v>
      </c>
      <c r="C545" t="s">
        <v>1565</v>
      </c>
      <c r="D545" s="795">
        <v>36697</v>
      </c>
      <c r="E545" t="s">
        <v>118</v>
      </c>
      <c r="F545">
        <v>1</v>
      </c>
      <c r="G545" s="128"/>
    </row>
    <row r="546" spans="1:7" x14ac:dyDescent="0.25">
      <c r="A546" s="174">
        <v>2276</v>
      </c>
      <c r="B546" s="174">
        <v>44</v>
      </c>
      <c r="C546" t="s">
        <v>789</v>
      </c>
      <c r="D546" s="795">
        <v>36574</v>
      </c>
      <c r="E546" t="s">
        <v>105</v>
      </c>
      <c r="F546">
        <v>1</v>
      </c>
      <c r="G546" s="128"/>
    </row>
    <row r="547" spans="1:7" x14ac:dyDescent="0.25">
      <c r="A547" s="174">
        <v>2390</v>
      </c>
      <c r="B547" s="174">
        <v>37</v>
      </c>
      <c r="C547" t="s">
        <v>392</v>
      </c>
      <c r="D547" s="795">
        <v>37239</v>
      </c>
      <c r="E547" t="s">
        <v>1566</v>
      </c>
      <c r="F547">
        <v>1</v>
      </c>
      <c r="G547" s="128"/>
    </row>
    <row r="548" spans="1:7" x14ac:dyDescent="0.25">
      <c r="A548" s="174">
        <v>3657</v>
      </c>
      <c r="B548" s="174">
        <v>0</v>
      </c>
      <c r="C548" t="s">
        <v>1567</v>
      </c>
      <c r="D548" s="795">
        <v>37321</v>
      </c>
      <c r="E548" t="s">
        <v>74</v>
      </c>
      <c r="F548">
        <v>1</v>
      </c>
      <c r="G548" s="128"/>
    </row>
    <row r="549" spans="1:7" x14ac:dyDescent="0.25">
      <c r="A549" s="174">
        <v>2989</v>
      </c>
      <c r="B549" s="174">
        <v>10</v>
      </c>
      <c r="C549" t="s">
        <v>1568</v>
      </c>
      <c r="D549" s="795">
        <v>37461</v>
      </c>
      <c r="E549" t="s">
        <v>74</v>
      </c>
      <c r="F549">
        <v>1</v>
      </c>
      <c r="G549" s="128"/>
    </row>
    <row r="550" spans="1:7" x14ac:dyDescent="0.25">
      <c r="A550" s="174">
        <v>2956</v>
      </c>
      <c r="B550" s="174">
        <v>12</v>
      </c>
      <c r="C550" t="s">
        <v>1569</v>
      </c>
      <c r="D550" s="795">
        <v>36673</v>
      </c>
      <c r="E550" t="s">
        <v>74</v>
      </c>
      <c r="F550">
        <v>1</v>
      </c>
      <c r="G550" s="128"/>
    </row>
    <row r="551" spans="1:7" x14ac:dyDescent="0.25">
      <c r="A551" s="174">
        <v>2043</v>
      </c>
      <c r="B551" s="174">
        <v>58</v>
      </c>
      <c r="C551" t="s">
        <v>487</v>
      </c>
      <c r="D551" s="795">
        <v>36575</v>
      </c>
      <c r="E551" t="s">
        <v>160</v>
      </c>
      <c r="F551">
        <v>1</v>
      </c>
      <c r="G551" s="128"/>
    </row>
    <row r="552" spans="1:7" x14ac:dyDescent="0.25">
      <c r="A552" s="174">
        <v>3071</v>
      </c>
      <c r="B552" s="174">
        <v>8</v>
      </c>
      <c r="C552" t="s">
        <v>1570</v>
      </c>
      <c r="D552" s="795">
        <v>36903</v>
      </c>
      <c r="E552" t="s">
        <v>120</v>
      </c>
      <c r="F552">
        <v>1</v>
      </c>
      <c r="G552" s="128"/>
    </row>
    <row r="553" spans="1:7" x14ac:dyDescent="0.25">
      <c r="A553" s="174">
        <v>2647</v>
      </c>
      <c r="B553" s="174">
        <v>25</v>
      </c>
      <c r="C553" t="s">
        <v>1571</v>
      </c>
      <c r="D553" s="795">
        <v>36553</v>
      </c>
      <c r="E553" t="s">
        <v>103</v>
      </c>
      <c r="F553">
        <v>1</v>
      </c>
      <c r="G553" s="128"/>
    </row>
    <row r="554" spans="1:7" x14ac:dyDescent="0.25">
      <c r="A554" s="174">
        <v>2158</v>
      </c>
      <c r="B554" s="174">
        <v>50</v>
      </c>
      <c r="C554" t="s">
        <v>1572</v>
      </c>
      <c r="D554" s="795">
        <v>37713</v>
      </c>
      <c r="E554" t="s">
        <v>73</v>
      </c>
      <c r="F554">
        <v>1</v>
      </c>
      <c r="G554" s="128"/>
    </row>
    <row r="555" spans="1:7" x14ac:dyDescent="0.25">
      <c r="A555" s="174">
        <v>2263</v>
      </c>
      <c r="B555" s="174">
        <v>44</v>
      </c>
      <c r="C555" t="s">
        <v>488</v>
      </c>
      <c r="D555" s="795">
        <v>36526</v>
      </c>
      <c r="E555" t="s">
        <v>137</v>
      </c>
      <c r="F555">
        <v>1</v>
      </c>
      <c r="G555" s="128"/>
    </row>
    <row r="556" spans="1:7" x14ac:dyDescent="0.25">
      <c r="A556" s="174">
        <v>2712</v>
      </c>
      <c r="B556" s="174">
        <v>22</v>
      </c>
      <c r="C556" t="s">
        <v>1573</v>
      </c>
      <c r="D556" s="795">
        <v>36572</v>
      </c>
      <c r="E556" t="s">
        <v>1286</v>
      </c>
      <c r="F556">
        <v>1</v>
      </c>
      <c r="G556" s="128"/>
    </row>
    <row r="557" spans="1:7" x14ac:dyDescent="0.25">
      <c r="A557" s="174">
        <v>2578</v>
      </c>
      <c r="B557" s="174">
        <v>28</v>
      </c>
      <c r="C557" t="s">
        <v>1574</v>
      </c>
      <c r="D557" s="795">
        <v>36895</v>
      </c>
      <c r="E557" t="s">
        <v>1332</v>
      </c>
      <c r="F557">
        <v>1</v>
      </c>
      <c r="G557" s="128"/>
    </row>
    <row r="558" spans="1:7" x14ac:dyDescent="0.25">
      <c r="A558" s="174">
        <v>3920</v>
      </c>
      <c r="B558" s="174">
        <v>0</v>
      </c>
      <c r="C558" t="s">
        <v>1575</v>
      </c>
      <c r="D558" s="795">
        <v>38078</v>
      </c>
      <c r="E558" t="s">
        <v>1491</v>
      </c>
      <c r="F558">
        <v>1</v>
      </c>
      <c r="G558" s="128"/>
    </row>
    <row r="559" spans="1:7" x14ac:dyDescent="0.25">
      <c r="A559" s="174">
        <v>1871</v>
      </c>
      <c r="B559" s="174">
        <v>74</v>
      </c>
      <c r="C559" t="s">
        <v>490</v>
      </c>
      <c r="D559" s="795">
        <v>36561</v>
      </c>
      <c r="E559" t="s">
        <v>115</v>
      </c>
      <c r="F559">
        <v>1</v>
      </c>
      <c r="G559" s="128"/>
    </row>
    <row r="560" spans="1:7" x14ac:dyDescent="0.25">
      <c r="A560" s="174">
        <v>3694</v>
      </c>
      <c r="B560" s="174">
        <v>0</v>
      </c>
      <c r="C560" t="s">
        <v>1576</v>
      </c>
      <c r="D560" s="795">
        <v>37624</v>
      </c>
      <c r="E560" t="s">
        <v>115</v>
      </c>
      <c r="F560">
        <v>1</v>
      </c>
      <c r="G560" s="128"/>
    </row>
    <row r="561" spans="1:7" x14ac:dyDescent="0.25">
      <c r="A561" s="174">
        <v>3557</v>
      </c>
      <c r="B561" s="174">
        <v>0</v>
      </c>
      <c r="C561" t="s">
        <v>1577</v>
      </c>
      <c r="D561" s="795">
        <v>36580</v>
      </c>
      <c r="E561" t="s">
        <v>99</v>
      </c>
      <c r="F561">
        <v>1</v>
      </c>
      <c r="G561" s="128"/>
    </row>
    <row r="562" spans="1:7" x14ac:dyDescent="0.25">
      <c r="A562" s="174">
        <v>2396</v>
      </c>
      <c r="B562" s="174">
        <v>37</v>
      </c>
      <c r="C562" t="s">
        <v>491</v>
      </c>
      <c r="D562" s="795">
        <v>37090</v>
      </c>
      <c r="E562" t="s">
        <v>105</v>
      </c>
      <c r="F562">
        <v>1</v>
      </c>
      <c r="G562" s="128"/>
    </row>
    <row r="563" spans="1:7" x14ac:dyDescent="0.25">
      <c r="A563" s="174">
        <v>3292</v>
      </c>
      <c r="B563" s="174">
        <v>2</v>
      </c>
      <c r="C563" t="s">
        <v>1579</v>
      </c>
      <c r="D563" s="795">
        <v>36892</v>
      </c>
      <c r="E563" t="s">
        <v>105</v>
      </c>
      <c r="F563">
        <v>1</v>
      </c>
      <c r="G563" s="128"/>
    </row>
    <row r="564" spans="1:7" x14ac:dyDescent="0.25">
      <c r="A564" s="174">
        <v>3627</v>
      </c>
      <c r="B564" s="174">
        <v>0</v>
      </c>
      <c r="C564" t="s">
        <v>2443</v>
      </c>
      <c r="D564" s="795">
        <v>37453</v>
      </c>
      <c r="E564" t="s">
        <v>186</v>
      </c>
      <c r="F564">
        <v>1</v>
      </c>
      <c r="G564" s="128"/>
    </row>
    <row r="565" spans="1:7" x14ac:dyDescent="0.25">
      <c r="A565" s="174">
        <v>2968</v>
      </c>
      <c r="B565" s="174">
        <v>11</v>
      </c>
      <c r="C565" t="s">
        <v>1581</v>
      </c>
      <c r="D565" s="795">
        <v>38063</v>
      </c>
      <c r="E565" t="s">
        <v>1582</v>
      </c>
      <c r="F565">
        <v>1</v>
      </c>
      <c r="G565" s="128"/>
    </row>
    <row r="566" spans="1:7" x14ac:dyDescent="0.25">
      <c r="A566" s="174">
        <v>2793</v>
      </c>
      <c r="B566" s="174">
        <v>19</v>
      </c>
      <c r="C566" t="s">
        <v>1583</v>
      </c>
      <c r="D566" s="795">
        <v>37615</v>
      </c>
      <c r="E566" t="s">
        <v>105</v>
      </c>
      <c r="F566">
        <v>1</v>
      </c>
      <c r="G566" s="128"/>
    </row>
    <row r="567" spans="1:7" x14ac:dyDescent="0.25">
      <c r="A567" s="174">
        <v>3829</v>
      </c>
      <c r="B567" s="174">
        <v>0</v>
      </c>
      <c r="C567" t="s">
        <v>1584</v>
      </c>
      <c r="D567" s="795">
        <v>37730</v>
      </c>
      <c r="E567" t="s">
        <v>105</v>
      </c>
      <c r="F567">
        <v>1</v>
      </c>
      <c r="G567" s="128"/>
    </row>
    <row r="568" spans="1:7" x14ac:dyDescent="0.25">
      <c r="A568" s="174">
        <v>3299</v>
      </c>
      <c r="B568" s="174">
        <v>2</v>
      </c>
      <c r="C568" t="s">
        <v>2515</v>
      </c>
      <c r="D568" s="795">
        <v>37169</v>
      </c>
      <c r="E568" t="s">
        <v>251</v>
      </c>
      <c r="F568">
        <v>1</v>
      </c>
      <c r="G568" s="128"/>
    </row>
    <row r="569" spans="1:7" x14ac:dyDescent="0.25">
      <c r="A569" s="174">
        <v>2249</v>
      </c>
      <c r="B569" s="174">
        <v>45</v>
      </c>
      <c r="C569" t="s">
        <v>1585</v>
      </c>
      <c r="D569" s="795">
        <v>36844</v>
      </c>
      <c r="E569" t="s">
        <v>99</v>
      </c>
      <c r="F569">
        <v>1</v>
      </c>
      <c r="G569" s="128"/>
    </row>
    <row r="570" spans="1:7" x14ac:dyDescent="0.25">
      <c r="A570" s="174">
        <v>3052</v>
      </c>
      <c r="B570" s="174">
        <v>9</v>
      </c>
      <c r="C570" t="s">
        <v>1587</v>
      </c>
      <c r="D570" s="795">
        <v>37348</v>
      </c>
      <c r="E570" t="s">
        <v>1089</v>
      </c>
      <c r="F570">
        <v>1</v>
      </c>
      <c r="G570" s="128"/>
    </row>
    <row r="571" spans="1:7" x14ac:dyDescent="0.25">
      <c r="A571" s="174">
        <v>2747</v>
      </c>
      <c r="B571" s="174">
        <v>20</v>
      </c>
      <c r="C571" t="s">
        <v>1589</v>
      </c>
      <c r="D571" s="795">
        <v>37221</v>
      </c>
      <c r="E571" t="s">
        <v>1128</v>
      </c>
      <c r="F571">
        <v>1</v>
      </c>
      <c r="G571" s="128"/>
    </row>
    <row r="572" spans="1:7" x14ac:dyDescent="0.25">
      <c r="A572" s="174">
        <v>3755</v>
      </c>
      <c r="B572" s="174">
        <v>0</v>
      </c>
      <c r="C572" t="s">
        <v>2444</v>
      </c>
      <c r="D572" s="795">
        <v>36915</v>
      </c>
      <c r="E572" t="s">
        <v>165</v>
      </c>
      <c r="F572">
        <v>1</v>
      </c>
      <c r="G572" s="128"/>
    </row>
    <row r="573" spans="1:7" x14ac:dyDescent="0.25">
      <c r="A573" s="174">
        <v>2958</v>
      </c>
      <c r="B573" s="174">
        <v>12</v>
      </c>
      <c r="C573" t="s">
        <v>1592</v>
      </c>
      <c r="D573" s="795">
        <v>36973</v>
      </c>
      <c r="E573" t="s">
        <v>200</v>
      </c>
      <c r="F573">
        <v>1</v>
      </c>
      <c r="G573" s="128"/>
    </row>
    <row r="574" spans="1:7" x14ac:dyDescent="0.25">
      <c r="A574" s="174">
        <v>1983</v>
      </c>
      <c r="B574" s="174">
        <v>63</v>
      </c>
      <c r="C574" t="s">
        <v>1593</v>
      </c>
      <c r="D574" s="795">
        <v>36956</v>
      </c>
      <c r="E574" t="s">
        <v>138</v>
      </c>
      <c r="F574">
        <v>1</v>
      </c>
      <c r="G574" s="128"/>
    </row>
    <row r="575" spans="1:7" x14ac:dyDescent="0.25">
      <c r="A575" s="174">
        <v>2230</v>
      </c>
      <c r="B575" s="174">
        <v>46</v>
      </c>
      <c r="C575" t="s">
        <v>1594</v>
      </c>
      <c r="D575" s="795">
        <v>37388</v>
      </c>
      <c r="E575" t="s">
        <v>138</v>
      </c>
      <c r="F575">
        <v>1</v>
      </c>
      <c r="G575" s="128"/>
    </row>
    <row r="576" spans="1:7" x14ac:dyDescent="0.25">
      <c r="A576" s="174">
        <v>1135</v>
      </c>
      <c r="B576" s="174">
        <v>201</v>
      </c>
      <c r="C576" t="s">
        <v>492</v>
      </c>
      <c r="D576" s="795">
        <v>37057</v>
      </c>
      <c r="E576" t="s">
        <v>99</v>
      </c>
      <c r="F576">
        <v>1</v>
      </c>
      <c r="G576" s="128"/>
    </row>
    <row r="577" spans="1:7" x14ac:dyDescent="0.25">
      <c r="A577" s="174">
        <v>3753</v>
      </c>
      <c r="B577" s="174">
        <v>0</v>
      </c>
      <c r="C577" t="s">
        <v>1595</v>
      </c>
      <c r="D577" s="795">
        <v>37067</v>
      </c>
      <c r="E577" t="s">
        <v>120</v>
      </c>
      <c r="F577">
        <v>1</v>
      </c>
      <c r="G577" s="128"/>
    </row>
    <row r="578" spans="1:7" x14ac:dyDescent="0.25">
      <c r="A578" s="174">
        <v>2436</v>
      </c>
      <c r="B578" s="174">
        <v>35</v>
      </c>
      <c r="C578" t="s">
        <v>1596</v>
      </c>
      <c r="D578" s="795">
        <v>36720</v>
      </c>
      <c r="E578" t="s">
        <v>105</v>
      </c>
      <c r="F578">
        <v>1</v>
      </c>
      <c r="G578" s="128"/>
    </row>
    <row r="579" spans="1:7" x14ac:dyDescent="0.25">
      <c r="A579" s="174">
        <v>3538</v>
      </c>
      <c r="B579" s="174">
        <v>0</v>
      </c>
      <c r="C579" t="s">
        <v>2516</v>
      </c>
      <c r="D579" s="795">
        <v>37866</v>
      </c>
      <c r="E579" t="s">
        <v>1189</v>
      </c>
      <c r="F579">
        <v>1</v>
      </c>
      <c r="G579" s="128"/>
    </row>
    <row r="580" spans="1:7" x14ac:dyDescent="0.25">
      <c r="A580" s="174">
        <v>3130</v>
      </c>
      <c r="B580" s="174">
        <v>6</v>
      </c>
      <c r="C580" t="s">
        <v>2445</v>
      </c>
      <c r="D580" s="795">
        <v>37024</v>
      </c>
      <c r="E580" t="s">
        <v>165</v>
      </c>
      <c r="F580">
        <v>1</v>
      </c>
      <c r="G580" s="128"/>
    </row>
    <row r="581" spans="1:7" x14ac:dyDescent="0.25">
      <c r="A581" s="174">
        <v>1800</v>
      </c>
      <c r="B581" s="174">
        <v>83</v>
      </c>
      <c r="C581" t="s">
        <v>1598</v>
      </c>
      <c r="D581" s="795">
        <v>37098</v>
      </c>
      <c r="E581" t="s">
        <v>1334</v>
      </c>
      <c r="F581">
        <v>1</v>
      </c>
      <c r="G581" s="128"/>
    </row>
    <row r="582" spans="1:7" x14ac:dyDescent="0.25">
      <c r="A582" s="174">
        <v>2145</v>
      </c>
      <c r="B582" s="174">
        <v>51</v>
      </c>
      <c r="C582" t="s">
        <v>792</v>
      </c>
      <c r="D582" s="795">
        <v>36744</v>
      </c>
      <c r="E582" t="s">
        <v>175</v>
      </c>
      <c r="F582">
        <v>1</v>
      </c>
      <c r="G582" s="128"/>
    </row>
    <row r="583" spans="1:7" x14ac:dyDescent="0.25">
      <c r="A583" s="174">
        <v>3465</v>
      </c>
      <c r="B583" s="174">
        <v>0</v>
      </c>
      <c r="C583" t="s">
        <v>2517</v>
      </c>
      <c r="D583" s="795">
        <v>37447</v>
      </c>
      <c r="E583" t="s">
        <v>109</v>
      </c>
      <c r="F583">
        <v>1</v>
      </c>
      <c r="G583" s="128"/>
    </row>
    <row r="584" spans="1:7" x14ac:dyDescent="0.25">
      <c r="A584" s="174">
        <v>2892</v>
      </c>
      <c r="B584" s="174">
        <v>14</v>
      </c>
      <c r="C584" t="s">
        <v>1601</v>
      </c>
      <c r="D584" s="795">
        <v>36699</v>
      </c>
      <c r="E584" t="s">
        <v>231</v>
      </c>
      <c r="F584">
        <v>1</v>
      </c>
      <c r="G584" s="128"/>
    </row>
    <row r="585" spans="1:7" x14ac:dyDescent="0.25">
      <c r="A585" s="174">
        <v>3393</v>
      </c>
      <c r="B585" s="174">
        <v>0</v>
      </c>
      <c r="C585" t="s">
        <v>1602</v>
      </c>
      <c r="D585" s="795">
        <v>37371</v>
      </c>
      <c r="E585" t="s">
        <v>1603</v>
      </c>
      <c r="F585">
        <v>1</v>
      </c>
      <c r="G585" s="128"/>
    </row>
    <row r="586" spans="1:7" x14ac:dyDescent="0.25">
      <c r="A586" s="174">
        <v>3229</v>
      </c>
      <c r="B586" s="174">
        <v>4</v>
      </c>
      <c r="C586" t="s">
        <v>1604</v>
      </c>
      <c r="D586" s="795">
        <v>36690</v>
      </c>
      <c r="E586" t="s">
        <v>105</v>
      </c>
      <c r="F586">
        <v>1</v>
      </c>
      <c r="G586" s="128"/>
    </row>
    <row r="587" spans="1:7" x14ac:dyDescent="0.25">
      <c r="A587" s="174">
        <v>1928</v>
      </c>
      <c r="B587" s="174">
        <v>70</v>
      </c>
      <c r="C587" t="s">
        <v>1605</v>
      </c>
      <c r="D587" s="795">
        <v>36981</v>
      </c>
      <c r="E587" t="s">
        <v>121</v>
      </c>
      <c r="F587">
        <v>1</v>
      </c>
      <c r="G587" s="128"/>
    </row>
    <row r="588" spans="1:7" x14ac:dyDescent="0.25">
      <c r="A588" s="174">
        <v>2318</v>
      </c>
      <c r="B588" s="174">
        <v>41</v>
      </c>
      <c r="C588" t="s">
        <v>393</v>
      </c>
      <c r="D588" s="795">
        <v>36547</v>
      </c>
      <c r="E588" t="s">
        <v>120</v>
      </c>
      <c r="F588">
        <v>1</v>
      </c>
      <c r="G588" s="128"/>
    </row>
    <row r="589" spans="1:7" x14ac:dyDescent="0.25">
      <c r="A589" s="174">
        <v>3743</v>
      </c>
      <c r="B589" s="174">
        <v>0</v>
      </c>
      <c r="C589" t="s">
        <v>1606</v>
      </c>
      <c r="D589" s="795">
        <v>36922</v>
      </c>
      <c r="E589" t="s">
        <v>1607</v>
      </c>
      <c r="F589">
        <v>1</v>
      </c>
      <c r="G589" s="128"/>
    </row>
    <row r="590" spans="1:7" x14ac:dyDescent="0.25">
      <c r="A590" s="174">
        <v>3496</v>
      </c>
      <c r="B590" s="174">
        <v>0</v>
      </c>
      <c r="C590" t="s">
        <v>2518</v>
      </c>
      <c r="D590" s="795">
        <v>37801</v>
      </c>
      <c r="E590" t="s">
        <v>1063</v>
      </c>
      <c r="F590">
        <v>1</v>
      </c>
      <c r="G590" s="128"/>
    </row>
    <row r="591" spans="1:7" x14ac:dyDescent="0.25">
      <c r="A591" s="174">
        <v>1342</v>
      </c>
      <c r="B591" s="174">
        <v>155</v>
      </c>
      <c r="C591" t="s">
        <v>248</v>
      </c>
      <c r="D591" s="795">
        <v>36762</v>
      </c>
      <c r="E591" t="s">
        <v>120</v>
      </c>
      <c r="F591">
        <v>1</v>
      </c>
      <c r="G591" s="128"/>
    </row>
    <row r="592" spans="1:7" x14ac:dyDescent="0.25">
      <c r="A592" s="174">
        <v>3591</v>
      </c>
      <c r="B592" s="174">
        <v>0</v>
      </c>
      <c r="C592" t="s">
        <v>1608</v>
      </c>
      <c r="D592" s="795">
        <v>37075</v>
      </c>
      <c r="E592" t="s">
        <v>1609</v>
      </c>
      <c r="F592">
        <v>1</v>
      </c>
      <c r="G592" s="128"/>
    </row>
    <row r="593" spans="1:7" x14ac:dyDescent="0.25">
      <c r="A593" s="174">
        <v>2666</v>
      </c>
      <c r="B593" s="174">
        <v>24</v>
      </c>
      <c r="C593" t="s">
        <v>793</v>
      </c>
      <c r="D593" s="795">
        <v>37119</v>
      </c>
      <c r="E593" t="s">
        <v>163</v>
      </c>
      <c r="F593">
        <v>1</v>
      </c>
      <c r="G593" s="128"/>
    </row>
    <row r="594" spans="1:7" x14ac:dyDescent="0.25">
      <c r="A594" s="174">
        <v>2005</v>
      </c>
      <c r="B594" s="174">
        <v>61</v>
      </c>
      <c r="C594" t="s">
        <v>394</v>
      </c>
      <c r="D594" s="795">
        <v>36565</v>
      </c>
      <c r="E594" t="s">
        <v>120</v>
      </c>
      <c r="F594">
        <v>1</v>
      </c>
      <c r="G594" s="128"/>
    </row>
    <row r="595" spans="1:7" x14ac:dyDescent="0.25">
      <c r="A595" s="174">
        <v>2080</v>
      </c>
      <c r="B595" s="174">
        <v>55</v>
      </c>
      <c r="C595" t="s">
        <v>494</v>
      </c>
      <c r="D595" s="795">
        <v>36916</v>
      </c>
      <c r="E595" t="s">
        <v>120</v>
      </c>
      <c r="F595">
        <v>1</v>
      </c>
      <c r="G595" s="128"/>
    </row>
    <row r="596" spans="1:7" x14ac:dyDescent="0.25">
      <c r="A596" s="174">
        <v>1267</v>
      </c>
      <c r="B596" s="174">
        <v>170</v>
      </c>
      <c r="C596" t="s">
        <v>495</v>
      </c>
      <c r="D596" s="795">
        <v>36539</v>
      </c>
      <c r="E596" t="s">
        <v>1176</v>
      </c>
      <c r="F596">
        <v>1</v>
      </c>
      <c r="G596" s="128"/>
    </row>
    <row r="597" spans="1:7" x14ac:dyDescent="0.25">
      <c r="A597" s="174">
        <v>2623</v>
      </c>
      <c r="B597" s="174">
        <v>26</v>
      </c>
      <c r="C597" t="s">
        <v>671</v>
      </c>
      <c r="D597" s="795">
        <v>36586</v>
      </c>
      <c r="E597" t="s">
        <v>120</v>
      </c>
      <c r="F597">
        <v>1</v>
      </c>
      <c r="G597" s="128"/>
    </row>
    <row r="598" spans="1:7" x14ac:dyDescent="0.25">
      <c r="A598" s="174">
        <v>3567</v>
      </c>
      <c r="B598" s="174">
        <v>0</v>
      </c>
      <c r="C598" t="s">
        <v>1615</v>
      </c>
      <c r="D598" s="795">
        <v>36931</v>
      </c>
      <c r="E598" t="s">
        <v>133</v>
      </c>
      <c r="F598">
        <v>1</v>
      </c>
      <c r="G598" s="128"/>
    </row>
    <row r="599" spans="1:7" x14ac:dyDescent="0.25">
      <c r="A599" s="174">
        <v>3270</v>
      </c>
      <c r="B599" s="174">
        <v>3</v>
      </c>
      <c r="C599" t="s">
        <v>1616</v>
      </c>
      <c r="D599" s="795">
        <v>36627</v>
      </c>
      <c r="E599" t="s">
        <v>120</v>
      </c>
      <c r="F599">
        <v>1</v>
      </c>
      <c r="G599" s="128"/>
    </row>
    <row r="600" spans="1:7" x14ac:dyDescent="0.25">
      <c r="A600" s="174">
        <v>1446</v>
      </c>
      <c r="B600" s="174">
        <v>136</v>
      </c>
      <c r="C600" t="s">
        <v>672</v>
      </c>
      <c r="D600" s="795">
        <v>36671</v>
      </c>
      <c r="E600" t="s">
        <v>105</v>
      </c>
      <c r="F600">
        <v>1</v>
      </c>
      <c r="G600" s="128"/>
    </row>
    <row r="601" spans="1:7" x14ac:dyDescent="0.25">
      <c r="A601" s="174">
        <v>2735</v>
      </c>
      <c r="B601" s="174">
        <v>21</v>
      </c>
      <c r="C601" t="s">
        <v>794</v>
      </c>
      <c r="D601" s="795">
        <v>36988</v>
      </c>
      <c r="E601" t="s">
        <v>1250</v>
      </c>
      <c r="F601">
        <v>1</v>
      </c>
      <c r="G601" s="128"/>
    </row>
    <row r="602" spans="1:7" x14ac:dyDescent="0.25">
      <c r="A602" s="174">
        <v>2210</v>
      </c>
      <c r="B602" s="174">
        <v>47</v>
      </c>
      <c r="C602" t="s">
        <v>1618</v>
      </c>
      <c r="D602" s="795">
        <v>36759</v>
      </c>
      <c r="E602" t="s">
        <v>128</v>
      </c>
      <c r="F602">
        <v>1</v>
      </c>
      <c r="G602" s="128"/>
    </row>
    <row r="603" spans="1:7" x14ac:dyDescent="0.25">
      <c r="A603" s="174">
        <v>1906</v>
      </c>
      <c r="B603" s="174">
        <v>72</v>
      </c>
      <c r="C603" t="s">
        <v>1619</v>
      </c>
      <c r="D603" s="795">
        <v>37591</v>
      </c>
      <c r="E603" t="s">
        <v>99</v>
      </c>
      <c r="F603">
        <v>1</v>
      </c>
      <c r="G603" s="128"/>
    </row>
    <row r="604" spans="1:7" x14ac:dyDescent="0.25">
      <c r="A604" s="174">
        <v>3234</v>
      </c>
      <c r="B604" s="174">
        <v>4</v>
      </c>
      <c r="C604" t="s">
        <v>1620</v>
      </c>
      <c r="D604" s="795">
        <v>37291</v>
      </c>
      <c r="E604" t="s">
        <v>105</v>
      </c>
      <c r="F604">
        <v>1</v>
      </c>
      <c r="G604" s="128"/>
    </row>
    <row r="605" spans="1:7" x14ac:dyDescent="0.25">
      <c r="A605" s="174">
        <v>2204</v>
      </c>
      <c r="B605" s="174">
        <v>47</v>
      </c>
      <c r="C605" t="s">
        <v>496</v>
      </c>
      <c r="D605" s="795">
        <v>37033</v>
      </c>
      <c r="E605" t="s">
        <v>427</v>
      </c>
      <c r="F605">
        <v>1</v>
      </c>
      <c r="G605" s="128"/>
    </row>
    <row r="606" spans="1:7" x14ac:dyDescent="0.25">
      <c r="A606" s="174">
        <v>3026</v>
      </c>
      <c r="B606" s="174">
        <v>9</v>
      </c>
      <c r="C606" t="s">
        <v>2519</v>
      </c>
      <c r="D606" s="795">
        <v>37434</v>
      </c>
      <c r="E606" t="s">
        <v>1239</v>
      </c>
      <c r="F606">
        <v>1</v>
      </c>
      <c r="G606" s="128"/>
    </row>
    <row r="607" spans="1:7" x14ac:dyDescent="0.25">
      <c r="A607" s="174">
        <v>2067</v>
      </c>
      <c r="B607" s="174">
        <v>56</v>
      </c>
      <c r="C607" t="s">
        <v>1622</v>
      </c>
      <c r="D607" s="795">
        <v>36645</v>
      </c>
      <c r="E607" t="s">
        <v>1364</v>
      </c>
      <c r="F607">
        <v>1</v>
      </c>
      <c r="G607" s="128"/>
    </row>
    <row r="608" spans="1:7" x14ac:dyDescent="0.25">
      <c r="A608" s="174">
        <v>1955</v>
      </c>
      <c r="B608" s="174">
        <v>66</v>
      </c>
      <c r="C608" t="s">
        <v>1623</v>
      </c>
      <c r="D608" s="795">
        <v>36941</v>
      </c>
      <c r="E608" t="s">
        <v>1367</v>
      </c>
      <c r="F608">
        <v>1</v>
      </c>
      <c r="G608" s="128"/>
    </row>
    <row r="609" spans="1:7" x14ac:dyDescent="0.25">
      <c r="A609" s="174">
        <v>3345</v>
      </c>
      <c r="B609" s="174">
        <v>1</v>
      </c>
      <c r="C609" t="s">
        <v>1624</v>
      </c>
      <c r="D609" s="795">
        <v>36531</v>
      </c>
      <c r="E609" t="s">
        <v>120</v>
      </c>
      <c r="F609">
        <v>1</v>
      </c>
      <c r="G609" s="128"/>
    </row>
    <row r="610" spans="1:7" x14ac:dyDescent="0.25">
      <c r="A610" s="174">
        <v>3584</v>
      </c>
      <c r="B610" s="174">
        <v>0</v>
      </c>
      <c r="C610" t="s">
        <v>1625</v>
      </c>
      <c r="D610" s="795">
        <v>37406</v>
      </c>
      <c r="E610" t="s">
        <v>120</v>
      </c>
      <c r="F610">
        <v>1</v>
      </c>
      <c r="G610" s="128"/>
    </row>
    <row r="611" spans="1:7" x14ac:dyDescent="0.25">
      <c r="A611" s="174">
        <v>2498</v>
      </c>
      <c r="B611" s="174">
        <v>32</v>
      </c>
      <c r="C611" t="s">
        <v>1626</v>
      </c>
      <c r="D611" s="795">
        <v>36924</v>
      </c>
      <c r="E611" t="s">
        <v>109</v>
      </c>
      <c r="F611">
        <v>1</v>
      </c>
      <c r="G611" s="128"/>
    </row>
    <row r="612" spans="1:7" x14ac:dyDescent="0.25">
      <c r="A612" s="174">
        <v>3773</v>
      </c>
      <c r="B612" s="174">
        <v>0</v>
      </c>
      <c r="C612" t="s">
        <v>1627</v>
      </c>
      <c r="D612" s="795">
        <v>36654</v>
      </c>
      <c r="E612" t="s">
        <v>133</v>
      </c>
      <c r="F612">
        <v>1</v>
      </c>
      <c r="G612" s="128"/>
    </row>
    <row r="613" spans="1:7" x14ac:dyDescent="0.25">
      <c r="A613" s="174">
        <v>1627</v>
      </c>
      <c r="B613" s="174">
        <v>104</v>
      </c>
      <c r="C613" t="s">
        <v>249</v>
      </c>
      <c r="D613" s="795">
        <v>36754</v>
      </c>
      <c r="E613" t="s">
        <v>111</v>
      </c>
      <c r="F613">
        <v>1</v>
      </c>
      <c r="G613" s="128"/>
    </row>
    <row r="614" spans="1:7" x14ac:dyDescent="0.25">
      <c r="A614" s="174">
        <v>1529</v>
      </c>
      <c r="B614" s="174">
        <v>123</v>
      </c>
      <c r="C614" t="s">
        <v>497</v>
      </c>
      <c r="D614" s="795">
        <v>37190</v>
      </c>
      <c r="E614" t="s">
        <v>120</v>
      </c>
      <c r="F614">
        <v>1</v>
      </c>
      <c r="G614" s="128"/>
    </row>
    <row r="615" spans="1:7" x14ac:dyDescent="0.25">
      <c r="A615" s="174">
        <v>3642</v>
      </c>
      <c r="B615" s="174">
        <v>0</v>
      </c>
      <c r="C615" t="s">
        <v>1628</v>
      </c>
      <c r="D615" s="795">
        <v>36963</v>
      </c>
      <c r="E615" t="s">
        <v>1367</v>
      </c>
      <c r="F615">
        <v>1</v>
      </c>
      <c r="G615" s="128"/>
    </row>
    <row r="616" spans="1:7" x14ac:dyDescent="0.25">
      <c r="A616" s="174">
        <v>3329</v>
      </c>
      <c r="B616" s="174">
        <v>1</v>
      </c>
      <c r="C616" t="s">
        <v>1629</v>
      </c>
      <c r="D616" s="795">
        <v>36892</v>
      </c>
      <c r="E616" t="s">
        <v>1630</v>
      </c>
      <c r="F616">
        <v>1</v>
      </c>
      <c r="G616" s="128"/>
    </row>
    <row r="617" spans="1:7" x14ac:dyDescent="0.25">
      <c r="A617" s="174">
        <v>3907</v>
      </c>
      <c r="B617" s="174">
        <v>0</v>
      </c>
      <c r="C617" t="s">
        <v>2520</v>
      </c>
      <c r="D617" s="795">
        <v>37225</v>
      </c>
      <c r="E617" t="s">
        <v>128</v>
      </c>
      <c r="F617">
        <v>1</v>
      </c>
      <c r="G617" s="128"/>
    </row>
    <row r="618" spans="1:7" x14ac:dyDescent="0.25">
      <c r="A618" s="174">
        <v>3263</v>
      </c>
      <c r="B618" s="174">
        <v>3</v>
      </c>
      <c r="C618" t="s">
        <v>1632</v>
      </c>
      <c r="D618" s="795">
        <v>36785</v>
      </c>
      <c r="E618" t="s">
        <v>115</v>
      </c>
      <c r="F618">
        <v>1</v>
      </c>
      <c r="G618" s="128"/>
    </row>
    <row r="619" spans="1:7" x14ac:dyDescent="0.25">
      <c r="A619" s="174">
        <v>2970</v>
      </c>
      <c r="B619" s="174">
        <v>11</v>
      </c>
      <c r="C619" t="s">
        <v>1633</v>
      </c>
      <c r="D619" s="795">
        <v>37811</v>
      </c>
      <c r="E619" t="s">
        <v>120</v>
      </c>
      <c r="F619">
        <v>1</v>
      </c>
      <c r="G619" s="128"/>
    </row>
    <row r="620" spans="1:7" x14ac:dyDescent="0.25">
      <c r="A620" s="174">
        <v>2531</v>
      </c>
      <c r="B620" s="174">
        <v>31</v>
      </c>
      <c r="C620" t="s">
        <v>1634</v>
      </c>
      <c r="D620" s="795">
        <v>36874</v>
      </c>
      <c r="E620" t="s">
        <v>377</v>
      </c>
      <c r="F620">
        <v>1</v>
      </c>
      <c r="G620" s="128"/>
    </row>
    <row r="621" spans="1:7" x14ac:dyDescent="0.25">
      <c r="A621" s="174">
        <v>3195</v>
      </c>
      <c r="B621" s="174">
        <v>4</v>
      </c>
      <c r="C621" t="s">
        <v>1635</v>
      </c>
      <c r="D621" s="795">
        <v>36785</v>
      </c>
      <c r="E621" t="s">
        <v>290</v>
      </c>
      <c r="F621">
        <v>1</v>
      </c>
      <c r="G621" s="128"/>
    </row>
    <row r="622" spans="1:7" x14ac:dyDescent="0.25">
      <c r="A622" s="174">
        <v>3794</v>
      </c>
      <c r="B622" s="174">
        <v>0</v>
      </c>
      <c r="C622" t="s">
        <v>1636</v>
      </c>
      <c r="D622" s="795">
        <v>36871</v>
      </c>
      <c r="E622" t="s">
        <v>365</v>
      </c>
      <c r="F622">
        <v>1</v>
      </c>
      <c r="G622" s="128"/>
    </row>
    <row r="623" spans="1:7" x14ac:dyDescent="0.25">
      <c r="A623" s="174">
        <v>2245</v>
      </c>
      <c r="B623" s="174">
        <v>45</v>
      </c>
      <c r="C623" t="s">
        <v>395</v>
      </c>
      <c r="D623" s="795">
        <v>36526</v>
      </c>
      <c r="E623" t="s">
        <v>133</v>
      </c>
      <c r="F623">
        <v>1</v>
      </c>
      <c r="G623" s="128"/>
    </row>
    <row r="624" spans="1:7" x14ac:dyDescent="0.25">
      <c r="A624" s="174">
        <v>3269</v>
      </c>
      <c r="B624" s="174">
        <v>3</v>
      </c>
      <c r="C624" t="s">
        <v>1637</v>
      </c>
      <c r="D624" s="795">
        <v>36788</v>
      </c>
      <c r="E624" t="s">
        <v>99</v>
      </c>
      <c r="F624">
        <v>1</v>
      </c>
      <c r="G624" s="128"/>
    </row>
    <row r="625" spans="1:7" x14ac:dyDescent="0.25">
      <c r="A625" s="174">
        <v>2571</v>
      </c>
      <c r="B625" s="174">
        <v>28</v>
      </c>
      <c r="C625" t="s">
        <v>499</v>
      </c>
      <c r="D625" s="795">
        <v>36761</v>
      </c>
      <c r="E625" t="s">
        <v>74</v>
      </c>
      <c r="F625">
        <v>1</v>
      </c>
      <c r="G625" s="128"/>
    </row>
    <row r="626" spans="1:7" x14ac:dyDescent="0.25">
      <c r="A626" s="174">
        <v>3418</v>
      </c>
      <c r="B626" s="174">
        <v>0</v>
      </c>
      <c r="C626" t="s">
        <v>1638</v>
      </c>
      <c r="D626" s="795">
        <v>37187</v>
      </c>
      <c r="E626" t="s">
        <v>105</v>
      </c>
      <c r="F626">
        <v>1</v>
      </c>
      <c r="G626" s="128"/>
    </row>
    <row r="627" spans="1:7" x14ac:dyDescent="0.25">
      <c r="A627" s="174">
        <v>3430</v>
      </c>
      <c r="B627" s="174">
        <v>0</v>
      </c>
      <c r="C627" t="s">
        <v>1639</v>
      </c>
      <c r="D627" s="795">
        <v>37464</v>
      </c>
      <c r="E627" t="s">
        <v>1182</v>
      </c>
      <c r="F627">
        <v>1</v>
      </c>
      <c r="G627" s="128"/>
    </row>
    <row r="628" spans="1:7" x14ac:dyDescent="0.25">
      <c r="A628" s="174">
        <v>2058</v>
      </c>
      <c r="B628" s="174">
        <v>57</v>
      </c>
      <c r="C628" t="s">
        <v>1641</v>
      </c>
      <c r="D628" s="795">
        <v>37518</v>
      </c>
      <c r="E628" t="s">
        <v>1367</v>
      </c>
      <c r="F628">
        <v>1</v>
      </c>
      <c r="G628" s="128"/>
    </row>
    <row r="629" spans="1:7" x14ac:dyDescent="0.25">
      <c r="A629" s="174">
        <v>3363</v>
      </c>
      <c r="B629" s="174">
        <v>1</v>
      </c>
      <c r="C629" t="s">
        <v>1643</v>
      </c>
      <c r="D629" s="795">
        <v>36892</v>
      </c>
      <c r="E629" t="s">
        <v>1197</v>
      </c>
      <c r="F629">
        <v>1</v>
      </c>
      <c r="G629" s="128"/>
    </row>
    <row r="630" spans="1:7" x14ac:dyDescent="0.25">
      <c r="A630" s="174">
        <v>3573</v>
      </c>
      <c r="B630" s="174">
        <v>0</v>
      </c>
      <c r="C630" t="s">
        <v>1644</v>
      </c>
      <c r="D630" s="795">
        <v>36535</v>
      </c>
      <c r="E630" t="s">
        <v>72</v>
      </c>
      <c r="F630">
        <v>1</v>
      </c>
      <c r="G630" s="128"/>
    </row>
    <row r="631" spans="1:7" x14ac:dyDescent="0.25">
      <c r="A631" s="174">
        <v>2657</v>
      </c>
      <c r="B631" s="174">
        <v>24</v>
      </c>
      <c r="C631" t="s">
        <v>252</v>
      </c>
      <c r="D631" s="795">
        <v>36766</v>
      </c>
      <c r="E631" t="s">
        <v>105</v>
      </c>
      <c r="F631">
        <v>1</v>
      </c>
      <c r="G631" s="128"/>
    </row>
    <row r="632" spans="1:7" x14ac:dyDescent="0.25">
      <c r="A632" s="174">
        <v>3641</v>
      </c>
      <c r="B632" s="174">
        <v>0</v>
      </c>
      <c r="C632" t="s">
        <v>1645</v>
      </c>
      <c r="D632" s="795">
        <v>36619</v>
      </c>
      <c r="E632" t="s">
        <v>74</v>
      </c>
      <c r="F632">
        <v>1</v>
      </c>
      <c r="G632" s="128"/>
    </row>
    <row r="633" spans="1:7" x14ac:dyDescent="0.25">
      <c r="A633" s="174">
        <v>3615</v>
      </c>
      <c r="B633" s="174">
        <v>0</v>
      </c>
      <c r="C633" t="s">
        <v>1646</v>
      </c>
      <c r="D633" s="795">
        <v>37242</v>
      </c>
      <c r="E633" t="s">
        <v>107</v>
      </c>
      <c r="F633">
        <v>1</v>
      </c>
      <c r="G633" s="128"/>
    </row>
    <row r="634" spans="1:7" x14ac:dyDescent="0.25">
      <c r="A634" s="174">
        <v>1975</v>
      </c>
      <c r="B634" s="174">
        <v>64</v>
      </c>
      <c r="C634" t="s">
        <v>1647</v>
      </c>
      <c r="D634" s="795">
        <v>36634</v>
      </c>
      <c r="E634" t="s">
        <v>1648</v>
      </c>
      <c r="F634">
        <v>1</v>
      </c>
      <c r="G634" s="128"/>
    </row>
    <row r="635" spans="1:7" x14ac:dyDescent="0.25">
      <c r="A635" s="174">
        <v>3535</v>
      </c>
      <c r="B635" s="174">
        <v>0</v>
      </c>
      <c r="C635" t="s">
        <v>2521</v>
      </c>
      <c r="D635" s="795">
        <v>36934</v>
      </c>
      <c r="E635" t="s">
        <v>74</v>
      </c>
      <c r="F635">
        <v>1</v>
      </c>
      <c r="G635" s="128"/>
    </row>
    <row r="636" spans="1:7" x14ac:dyDescent="0.25">
      <c r="A636" s="174">
        <v>3209</v>
      </c>
      <c r="B636" s="174">
        <v>4</v>
      </c>
      <c r="C636" t="s">
        <v>1649</v>
      </c>
      <c r="D636" s="795">
        <v>36781</v>
      </c>
      <c r="E636" t="s">
        <v>136</v>
      </c>
      <c r="F636">
        <v>1</v>
      </c>
      <c r="G636" s="128"/>
    </row>
    <row r="637" spans="1:7" x14ac:dyDescent="0.25">
      <c r="A637" s="174">
        <v>998</v>
      </c>
      <c r="B637" s="174">
        <v>239</v>
      </c>
      <c r="C637" t="s">
        <v>503</v>
      </c>
      <c r="D637" s="795">
        <v>36840</v>
      </c>
      <c r="E637" t="s">
        <v>1069</v>
      </c>
      <c r="F637">
        <v>1</v>
      </c>
      <c r="G637" s="128"/>
    </row>
    <row r="638" spans="1:7" x14ac:dyDescent="0.25">
      <c r="A638" s="174">
        <v>3058</v>
      </c>
      <c r="B638" s="174">
        <v>8</v>
      </c>
      <c r="C638" t="s">
        <v>504</v>
      </c>
      <c r="D638" s="795">
        <v>36699</v>
      </c>
      <c r="E638" t="s">
        <v>183</v>
      </c>
      <c r="F638">
        <v>1</v>
      </c>
      <c r="G638" s="128"/>
    </row>
    <row r="639" spans="1:7" x14ac:dyDescent="0.25">
      <c r="A639" s="174">
        <v>2886</v>
      </c>
      <c r="B639" s="174">
        <v>14</v>
      </c>
      <c r="C639" t="s">
        <v>505</v>
      </c>
      <c r="D639" s="795">
        <v>36535</v>
      </c>
      <c r="E639" t="s">
        <v>1143</v>
      </c>
      <c r="F639">
        <v>1</v>
      </c>
      <c r="G639" s="128"/>
    </row>
    <row r="640" spans="1:7" x14ac:dyDescent="0.25">
      <c r="A640" s="174">
        <v>3215</v>
      </c>
      <c r="B640" s="174">
        <v>4</v>
      </c>
      <c r="C640" t="s">
        <v>1650</v>
      </c>
      <c r="D640" s="795">
        <v>36980</v>
      </c>
      <c r="E640" t="s">
        <v>1143</v>
      </c>
      <c r="F640">
        <v>1</v>
      </c>
      <c r="G640" s="128"/>
    </row>
    <row r="641" spans="1:7" x14ac:dyDescent="0.25">
      <c r="A641" s="174">
        <v>3028</v>
      </c>
      <c r="B641" s="174">
        <v>9</v>
      </c>
      <c r="C641" t="s">
        <v>1651</v>
      </c>
      <c r="D641" s="795">
        <v>36626</v>
      </c>
      <c r="E641" t="s">
        <v>1128</v>
      </c>
      <c r="F641">
        <v>1</v>
      </c>
      <c r="G641" s="128"/>
    </row>
    <row r="642" spans="1:7" x14ac:dyDescent="0.25">
      <c r="A642" s="174">
        <v>3925</v>
      </c>
      <c r="B642" s="174">
        <v>0</v>
      </c>
      <c r="C642" t="s">
        <v>1652</v>
      </c>
      <c r="D642" s="795">
        <v>37534</v>
      </c>
      <c r="E642" t="s">
        <v>120</v>
      </c>
      <c r="F642">
        <v>1</v>
      </c>
      <c r="G642" s="128"/>
    </row>
    <row r="643" spans="1:7" x14ac:dyDescent="0.25">
      <c r="A643" s="174">
        <v>2183</v>
      </c>
      <c r="B643" s="174">
        <v>49</v>
      </c>
      <c r="C643" t="s">
        <v>795</v>
      </c>
      <c r="D643" s="795">
        <v>36844</v>
      </c>
      <c r="E643" t="s">
        <v>105</v>
      </c>
      <c r="F643">
        <v>1</v>
      </c>
      <c r="G643" s="128"/>
    </row>
    <row r="644" spans="1:7" x14ac:dyDescent="0.25">
      <c r="A644" s="174">
        <v>2490</v>
      </c>
      <c r="B644" s="174">
        <v>32</v>
      </c>
      <c r="C644" t="s">
        <v>506</v>
      </c>
      <c r="D644" s="795">
        <v>37103</v>
      </c>
      <c r="E644" t="s">
        <v>200</v>
      </c>
      <c r="F644">
        <v>1</v>
      </c>
      <c r="G644" s="128"/>
    </row>
    <row r="645" spans="1:7" x14ac:dyDescent="0.25">
      <c r="A645" s="174">
        <v>2298</v>
      </c>
      <c r="B645" s="174">
        <v>43</v>
      </c>
      <c r="C645" t="s">
        <v>796</v>
      </c>
      <c r="D645" s="795">
        <v>36526</v>
      </c>
      <c r="E645" t="s">
        <v>164</v>
      </c>
      <c r="F645">
        <v>1</v>
      </c>
      <c r="G645" s="128"/>
    </row>
    <row r="646" spans="1:7" x14ac:dyDescent="0.25">
      <c r="A646" s="174">
        <v>3020</v>
      </c>
      <c r="B646" s="174">
        <v>10</v>
      </c>
      <c r="C646" t="s">
        <v>1653</v>
      </c>
      <c r="D646" s="795">
        <v>37043</v>
      </c>
      <c r="E646" t="s">
        <v>1265</v>
      </c>
      <c r="F646">
        <v>1</v>
      </c>
      <c r="G646" s="128"/>
    </row>
    <row r="647" spans="1:7" x14ac:dyDescent="0.25">
      <c r="A647" s="174">
        <v>3262</v>
      </c>
      <c r="B647" s="174">
        <v>3</v>
      </c>
      <c r="C647" t="s">
        <v>1654</v>
      </c>
      <c r="D647" s="795">
        <v>36554</v>
      </c>
      <c r="E647" t="s">
        <v>120</v>
      </c>
      <c r="F647">
        <v>1</v>
      </c>
      <c r="G647" s="128"/>
    </row>
    <row r="648" spans="1:7" x14ac:dyDescent="0.25">
      <c r="A648" s="174">
        <v>3466</v>
      </c>
      <c r="B648" s="174">
        <v>0</v>
      </c>
      <c r="C648" t="s">
        <v>2522</v>
      </c>
      <c r="D648" s="795">
        <v>36819</v>
      </c>
      <c r="E648" t="s">
        <v>1868</v>
      </c>
      <c r="F648">
        <v>1</v>
      </c>
      <c r="G648" s="128"/>
    </row>
    <row r="649" spans="1:7" x14ac:dyDescent="0.25">
      <c r="A649" s="174">
        <v>2460</v>
      </c>
      <c r="B649" s="174">
        <v>33</v>
      </c>
      <c r="C649" t="s">
        <v>254</v>
      </c>
      <c r="D649" s="795">
        <v>36625</v>
      </c>
      <c r="E649" t="s">
        <v>105</v>
      </c>
      <c r="F649">
        <v>1</v>
      </c>
      <c r="G649" s="128"/>
    </row>
    <row r="650" spans="1:7" x14ac:dyDescent="0.25">
      <c r="A650" s="174">
        <v>2547</v>
      </c>
      <c r="B650" s="174">
        <v>30</v>
      </c>
      <c r="C650" t="s">
        <v>1655</v>
      </c>
      <c r="D650" s="795">
        <v>36918</v>
      </c>
      <c r="E650" t="s">
        <v>171</v>
      </c>
      <c r="F650">
        <v>1</v>
      </c>
      <c r="G650" s="128"/>
    </row>
    <row r="651" spans="1:7" x14ac:dyDescent="0.25">
      <c r="A651" s="174">
        <v>3892</v>
      </c>
      <c r="B651" s="174">
        <v>0</v>
      </c>
      <c r="C651" t="s">
        <v>1656</v>
      </c>
      <c r="D651" s="795">
        <v>36971</v>
      </c>
      <c r="E651" t="s">
        <v>222</v>
      </c>
      <c r="F651">
        <v>1</v>
      </c>
      <c r="G651" s="128"/>
    </row>
    <row r="652" spans="1:7" x14ac:dyDescent="0.25">
      <c r="A652" s="174">
        <v>3899</v>
      </c>
      <c r="B652" s="174">
        <v>0</v>
      </c>
      <c r="C652" t="s">
        <v>1657</v>
      </c>
      <c r="D652" s="795">
        <v>36866</v>
      </c>
      <c r="E652" t="s">
        <v>120</v>
      </c>
      <c r="F652">
        <v>1</v>
      </c>
      <c r="G652" s="128"/>
    </row>
    <row r="653" spans="1:7" x14ac:dyDescent="0.25">
      <c r="A653" s="174">
        <v>2342</v>
      </c>
      <c r="B653" s="174">
        <v>40</v>
      </c>
      <c r="C653" t="s">
        <v>797</v>
      </c>
      <c r="D653" s="795">
        <v>36854</v>
      </c>
      <c r="E653" t="s">
        <v>188</v>
      </c>
      <c r="F653">
        <v>1</v>
      </c>
      <c r="G653" s="128"/>
    </row>
    <row r="654" spans="1:7" x14ac:dyDescent="0.25">
      <c r="A654" s="174">
        <v>1921</v>
      </c>
      <c r="B654" s="174">
        <v>71</v>
      </c>
      <c r="C654" t="s">
        <v>1658</v>
      </c>
      <c r="D654" s="795">
        <v>37097</v>
      </c>
      <c r="E654" t="s">
        <v>137</v>
      </c>
      <c r="F654">
        <v>1</v>
      </c>
      <c r="G654" s="128"/>
    </row>
    <row r="655" spans="1:7" x14ac:dyDescent="0.25">
      <c r="A655" s="174">
        <v>3067</v>
      </c>
      <c r="B655" s="174">
        <v>8</v>
      </c>
      <c r="C655" t="s">
        <v>2523</v>
      </c>
      <c r="D655" s="795">
        <v>37270</v>
      </c>
      <c r="E655" t="s">
        <v>2524</v>
      </c>
      <c r="F655">
        <v>1</v>
      </c>
      <c r="G655" s="128"/>
    </row>
    <row r="656" spans="1:7" x14ac:dyDescent="0.25">
      <c r="A656" s="174">
        <v>3695</v>
      </c>
      <c r="B656" s="174">
        <v>0</v>
      </c>
      <c r="C656" t="s">
        <v>1659</v>
      </c>
      <c r="D656" s="795">
        <v>37404</v>
      </c>
      <c r="E656" t="s">
        <v>115</v>
      </c>
      <c r="F656">
        <v>1</v>
      </c>
      <c r="G656" s="128"/>
    </row>
    <row r="657" spans="1:7" x14ac:dyDescent="0.25">
      <c r="A657" s="174">
        <v>3255</v>
      </c>
      <c r="B657" s="174">
        <v>3</v>
      </c>
      <c r="C657" t="s">
        <v>1662</v>
      </c>
      <c r="D657" s="795">
        <v>37033</v>
      </c>
      <c r="E657" t="s">
        <v>1502</v>
      </c>
      <c r="F657">
        <v>1</v>
      </c>
      <c r="G657" s="128"/>
    </row>
    <row r="658" spans="1:7" x14ac:dyDescent="0.25">
      <c r="A658" s="174">
        <v>2122</v>
      </c>
      <c r="B658" s="174">
        <v>52</v>
      </c>
      <c r="C658" t="s">
        <v>1663</v>
      </c>
      <c r="D658" s="795">
        <v>36526</v>
      </c>
      <c r="E658" t="s">
        <v>673</v>
      </c>
      <c r="F658">
        <v>1</v>
      </c>
      <c r="G658" s="128"/>
    </row>
    <row r="659" spans="1:7" x14ac:dyDescent="0.25">
      <c r="A659" s="174">
        <v>3585</v>
      </c>
      <c r="B659" s="174">
        <v>0</v>
      </c>
      <c r="C659" t="s">
        <v>1664</v>
      </c>
      <c r="D659" s="795">
        <v>37015</v>
      </c>
      <c r="E659" t="s">
        <v>120</v>
      </c>
      <c r="F659">
        <v>1</v>
      </c>
      <c r="G659" s="128"/>
    </row>
    <row r="660" spans="1:7" x14ac:dyDescent="0.25">
      <c r="A660" s="174">
        <v>3432</v>
      </c>
      <c r="B660" s="174">
        <v>0</v>
      </c>
      <c r="C660" t="s">
        <v>1665</v>
      </c>
      <c r="D660" s="795">
        <v>37488</v>
      </c>
      <c r="E660" t="s">
        <v>1143</v>
      </c>
      <c r="F660">
        <v>1</v>
      </c>
      <c r="G660" s="128"/>
    </row>
    <row r="661" spans="1:7" x14ac:dyDescent="0.25">
      <c r="A661" s="174">
        <v>2606</v>
      </c>
      <c r="B661" s="174">
        <v>27</v>
      </c>
      <c r="C661" t="s">
        <v>798</v>
      </c>
      <c r="D661" s="795">
        <v>36954</v>
      </c>
      <c r="E661" t="s">
        <v>1111</v>
      </c>
      <c r="F661">
        <v>1</v>
      </c>
      <c r="G661" s="128"/>
    </row>
    <row r="662" spans="1:7" x14ac:dyDescent="0.25">
      <c r="A662" s="174">
        <v>2323</v>
      </c>
      <c r="B662" s="174">
        <v>41</v>
      </c>
      <c r="C662" t="s">
        <v>674</v>
      </c>
      <c r="D662" s="795">
        <v>36781</v>
      </c>
      <c r="E662" t="s">
        <v>74</v>
      </c>
      <c r="F662">
        <v>1</v>
      </c>
      <c r="G662" s="128"/>
    </row>
    <row r="663" spans="1:7" x14ac:dyDescent="0.25">
      <c r="A663" s="174">
        <v>2040</v>
      </c>
      <c r="B663" s="174">
        <v>58</v>
      </c>
      <c r="C663" t="s">
        <v>508</v>
      </c>
      <c r="D663" s="795">
        <v>36568</v>
      </c>
      <c r="E663" t="s">
        <v>102</v>
      </c>
      <c r="F663">
        <v>1</v>
      </c>
      <c r="G663" s="128"/>
    </row>
    <row r="664" spans="1:7" x14ac:dyDescent="0.25">
      <c r="A664" s="174">
        <v>3926</v>
      </c>
      <c r="B664" s="174">
        <v>0</v>
      </c>
      <c r="C664" t="s">
        <v>1666</v>
      </c>
      <c r="D664" s="795">
        <v>37614</v>
      </c>
      <c r="E664" t="s">
        <v>120</v>
      </c>
      <c r="F664">
        <v>1</v>
      </c>
      <c r="G664" s="128"/>
    </row>
    <row r="665" spans="1:7" x14ac:dyDescent="0.25">
      <c r="A665" s="174">
        <v>2552</v>
      </c>
      <c r="B665" s="174">
        <v>30</v>
      </c>
      <c r="C665" t="s">
        <v>1667</v>
      </c>
      <c r="D665" s="795">
        <v>36745</v>
      </c>
      <c r="E665" t="s">
        <v>113</v>
      </c>
      <c r="F665">
        <v>1</v>
      </c>
      <c r="G665" s="128"/>
    </row>
    <row r="666" spans="1:7" x14ac:dyDescent="0.25">
      <c r="A666" s="174">
        <v>2347</v>
      </c>
      <c r="B666" s="174">
        <v>40</v>
      </c>
      <c r="C666" t="s">
        <v>799</v>
      </c>
      <c r="D666" s="795">
        <v>37433</v>
      </c>
      <c r="E666" t="s">
        <v>105</v>
      </c>
      <c r="F666">
        <v>1</v>
      </c>
      <c r="G666" s="128"/>
    </row>
    <row r="667" spans="1:7" x14ac:dyDescent="0.25">
      <c r="A667" s="174">
        <v>3703</v>
      </c>
      <c r="B667" s="174">
        <v>0</v>
      </c>
      <c r="C667" t="s">
        <v>1668</v>
      </c>
      <c r="D667" s="795">
        <v>37289</v>
      </c>
      <c r="E667" t="s">
        <v>1143</v>
      </c>
      <c r="F667">
        <v>1</v>
      </c>
      <c r="G667" s="128"/>
    </row>
    <row r="668" spans="1:7" x14ac:dyDescent="0.25">
      <c r="A668" s="174">
        <v>3024</v>
      </c>
      <c r="B668" s="174">
        <v>9</v>
      </c>
      <c r="C668" t="s">
        <v>675</v>
      </c>
      <c r="D668" s="795">
        <v>36532</v>
      </c>
      <c r="E668" t="s">
        <v>99</v>
      </c>
      <c r="F668">
        <v>1</v>
      </c>
      <c r="G668" s="128"/>
    </row>
    <row r="669" spans="1:7" x14ac:dyDescent="0.25">
      <c r="A669" s="174">
        <v>3045</v>
      </c>
      <c r="B669" s="174">
        <v>9</v>
      </c>
      <c r="C669" t="s">
        <v>1669</v>
      </c>
      <c r="D669" s="795">
        <v>36892</v>
      </c>
      <c r="E669" t="s">
        <v>282</v>
      </c>
      <c r="F669">
        <v>1</v>
      </c>
      <c r="G669" s="128"/>
    </row>
    <row r="670" spans="1:7" x14ac:dyDescent="0.25">
      <c r="A670" s="174">
        <v>2859</v>
      </c>
      <c r="B670" s="174">
        <v>16</v>
      </c>
      <c r="C670" t="s">
        <v>1671</v>
      </c>
      <c r="D670" s="795">
        <v>36854</v>
      </c>
      <c r="E670" t="s">
        <v>1265</v>
      </c>
      <c r="F670">
        <v>1</v>
      </c>
      <c r="G670" s="128"/>
    </row>
    <row r="671" spans="1:7" x14ac:dyDescent="0.25">
      <c r="A671" s="174">
        <v>3077</v>
      </c>
      <c r="B671" s="174">
        <v>8</v>
      </c>
      <c r="C671" t="s">
        <v>1672</v>
      </c>
      <c r="D671" s="795">
        <v>36600</v>
      </c>
      <c r="E671" t="s">
        <v>1178</v>
      </c>
      <c r="F671">
        <v>1</v>
      </c>
      <c r="G671" s="128"/>
    </row>
    <row r="672" spans="1:7" x14ac:dyDescent="0.25">
      <c r="A672" s="174">
        <v>3497</v>
      </c>
      <c r="B672" s="174">
        <v>0</v>
      </c>
      <c r="C672" t="s">
        <v>2525</v>
      </c>
      <c r="D672" s="795">
        <v>37805</v>
      </c>
      <c r="E672" t="s">
        <v>120</v>
      </c>
      <c r="F672">
        <v>1</v>
      </c>
      <c r="G672" s="128"/>
    </row>
    <row r="673" spans="1:7" x14ac:dyDescent="0.25">
      <c r="A673" s="174">
        <v>2962</v>
      </c>
      <c r="B673" s="174">
        <v>12</v>
      </c>
      <c r="C673" t="s">
        <v>1674</v>
      </c>
      <c r="D673" s="795">
        <v>37027</v>
      </c>
      <c r="E673" t="s">
        <v>122</v>
      </c>
      <c r="F673">
        <v>1</v>
      </c>
      <c r="G673" s="128"/>
    </row>
    <row r="674" spans="1:7" x14ac:dyDescent="0.25">
      <c r="A674" s="174">
        <v>2195</v>
      </c>
      <c r="B674" s="174">
        <v>48</v>
      </c>
      <c r="C674" t="s">
        <v>1675</v>
      </c>
      <c r="D674" s="795">
        <v>37138</v>
      </c>
      <c r="E674" t="s">
        <v>166</v>
      </c>
      <c r="F674">
        <v>1</v>
      </c>
      <c r="G674" s="128"/>
    </row>
    <row r="675" spans="1:7" x14ac:dyDescent="0.25">
      <c r="A675" s="174">
        <v>2653</v>
      </c>
      <c r="B675" s="174">
        <v>24</v>
      </c>
      <c r="C675" t="s">
        <v>676</v>
      </c>
      <c r="D675" s="795">
        <v>36936</v>
      </c>
      <c r="E675" t="s">
        <v>105</v>
      </c>
      <c r="F675">
        <v>1</v>
      </c>
      <c r="G675" s="128"/>
    </row>
    <row r="676" spans="1:7" x14ac:dyDescent="0.25">
      <c r="A676" s="174">
        <v>2286</v>
      </c>
      <c r="B676" s="174">
        <v>43</v>
      </c>
      <c r="C676" t="s">
        <v>255</v>
      </c>
      <c r="D676" s="795">
        <v>36755</v>
      </c>
      <c r="E676" t="s">
        <v>163</v>
      </c>
      <c r="F676">
        <v>1</v>
      </c>
      <c r="G676" s="128"/>
    </row>
    <row r="677" spans="1:7" x14ac:dyDescent="0.25">
      <c r="A677" s="174">
        <v>2118</v>
      </c>
      <c r="B677" s="174">
        <v>53</v>
      </c>
      <c r="C677" t="s">
        <v>1676</v>
      </c>
      <c r="D677" s="795">
        <v>37098</v>
      </c>
      <c r="E677" t="s">
        <v>1334</v>
      </c>
      <c r="F677">
        <v>1</v>
      </c>
      <c r="G677" s="128"/>
    </row>
    <row r="678" spans="1:7" x14ac:dyDescent="0.25">
      <c r="A678" s="174">
        <v>3002</v>
      </c>
      <c r="B678" s="174">
        <v>10</v>
      </c>
      <c r="C678" t="s">
        <v>2526</v>
      </c>
      <c r="D678" s="795">
        <v>36996</v>
      </c>
      <c r="E678" t="s">
        <v>109</v>
      </c>
      <c r="F678">
        <v>1</v>
      </c>
      <c r="G678" s="128"/>
    </row>
    <row r="679" spans="1:7" x14ac:dyDescent="0.25">
      <c r="A679" s="174">
        <v>3775</v>
      </c>
      <c r="B679" s="174">
        <v>0</v>
      </c>
      <c r="C679" t="s">
        <v>1677</v>
      </c>
      <c r="D679" s="795">
        <v>36749</v>
      </c>
      <c r="E679" t="s">
        <v>171</v>
      </c>
      <c r="F679">
        <v>1</v>
      </c>
      <c r="G679" s="128"/>
    </row>
    <row r="680" spans="1:7" x14ac:dyDescent="0.25">
      <c r="A680" s="174">
        <v>2062</v>
      </c>
      <c r="B680" s="174">
        <v>56</v>
      </c>
      <c r="C680" t="s">
        <v>256</v>
      </c>
      <c r="D680" s="795">
        <v>36994</v>
      </c>
      <c r="E680" t="s">
        <v>1250</v>
      </c>
      <c r="F680">
        <v>1</v>
      </c>
      <c r="G680" s="128"/>
    </row>
    <row r="681" spans="1:7" x14ac:dyDescent="0.25">
      <c r="A681" s="174">
        <v>3586</v>
      </c>
      <c r="B681" s="174">
        <v>0</v>
      </c>
      <c r="C681" t="s">
        <v>1678</v>
      </c>
      <c r="D681" s="795">
        <v>37448</v>
      </c>
      <c r="E681" t="s">
        <v>120</v>
      </c>
      <c r="F681">
        <v>1</v>
      </c>
      <c r="G681" s="128"/>
    </row>
    <row r="682" spans="1:7" x14ac:dyDescent="0.25">
      <c r="A682" s="174">
        <v>3334</v>
      </c>
      <c r="B682" s="174">
        <v>1</v>
      </c>
      <c r="C682" t="s">
        <v>1679</v>
      </c>
      <c r="D682" s="795">
        <v>37171</v>
      </c>
      <c r="E682" t="s">
        <v>120</v>
      </c>
      <c r="F682">
        <v>1</v>
      </c>
      <c r="G682" s="128"/>
    </row>
    <row r="683" spans="1:7" x14ac:dyDescent="0.25">
      <c r="A683" s="174">
        <v>3437</v>
      </c>
      <c r="B683" s="174">
        <v>0</v>
      </c>
      <c r="C683" t="s">
        <v>1680</v>
      </c>
      <c r="D683" s="795">
        <v>36906</v>
      </c>
      <c r="E683" t="s">
        <v>1077</v>
      </c>
      <c r="F683">
        <v>1</v>
      </c>
      <c r="G683" s="128"/>
    </row>
    <row r="684" spans="1:7" x14ac:dyDescent="0.25">
      <c r="A684" s="174">
        <v>3015</v>
      </c>
      <c r="B684" s="174">
        <v>10</v>
      </c>
      <c r="C684" t="s">
        <v>1681</v>
      </c>
      <c r="D684" s="795">
        <v>36859</v>
      </c>
      <c r="E684" t="s">
        <v>120</v>
      </c>
      <c r="F684">
        <v>1</v>
      </c>
      <c r="G684" s="128"/>
    </row>
    <row r="685" spans="1:7" x14ac:dyDescent="0.25">
      <c r="A685" s="174">
        <v>2475</v>
      </c>
      <c r="B685" s="174">
        <v>33</v>
      </c>
      <c r="C685" t="s">
        <v>2527</v>
      </c>
      <c r="D685" s="795">
        <v>37454</v>
      </c>
      <c r="E685" t="s">
        <v>83</v>
      </c>
      <c r="F685">
        <v>1</v>
      </c>
      <c r="G685" s="128"/>
    </row>
    <row r="686" spans="1:7" x14ac:dyDescent="0.25">
      <c r="A686" s="174">
        <v>1950</v>
      </c>
      <c r="B686" s="174">
        <v>67</v>
      </c>
      <c r="C686" t="s">
        <v>800</v>
      </c>
      <c r="D686" s="795">
        <v>36600</v>
      </c>
      <c r="E686" t="s">
        <v>105</v>
      </c>
      <c r="F686">
        <v>1</v>
      </c>
      <c r="G686" s="128"/>
    </row>
    <row r="687" spans="1:7" x14ac:dyDescent="0.25">
      <c r="A687" s="174">
        <v>1828</v>
      </c>
      <c r="B687" s="174">
        <v>80</v>
      </c>
      <c r="C687" t="s">
        <v>1682</v>
      </c>
      <c r="D687" s="795">
        <v>36677</v>
      </c>
      <c r="E687" t="s">
        <v>107</v>
      </c>
      <c r="F687">
        <v>1</v>
      </c>
      <c r="G687" s="128"/>
    </row>
    <row r="688" spans="1:7" x14ac:dyDescent="0.25">
      <c r="A688" s="174">
        <v>3850</v>
      </c>
      <c r="B688" s="174">
        <v>0</v>
      </c>
      <c r="C688" t="s">
        <v>1683</v>
      </c>
      <c r="D688" s="795">
        <v>36647</v>
      </c>
      <c r="E688" t="s">
        <v>1612</v>
      </c>
      <c r="F688">
        <v>1</v>
      </c>
      <c r="G688" s="128"/>
    </row>
    <row r="689" spans="1:7" x14ac:dyDescent="0.25">
      <c r="A689" s="174">
        <v>2973</v>
      </c>
      <c r="B689" s="174">
        <v>11</v>
      </c>
      <c r="C689" t="s">
        <v>1684</v>
      </c>
      <c r="D689" s="795">
        <v>36549</v>
      </c>
      <c r="E689" t="s">
        <v>165</v>
      </c>
      <c r="F689">
        <v>1</v>
      </c>
      <c r="G689" s="128"/>
    </row>
    <row r="690" spans="1:7" x14ac:dyDescent="0.25">
      <c r="A690" s="174">
        <v>3596</v>
      </c>
      <c r="B690" s="174">
        <v>0</v>
      </c>
      <c r="C690" t="s">
        <v>2446</v>
      </c>
      <c r="D690" s="795">
        <v>37849</v>
      </c>
      <c r="E690" t="s">
        <v>1582</v>
      </c>
      <c r="F690">
        <v>1</v>
      </c>
      <c r="G690" s="128"/>
    </row>
    <row r="691" spans="1:7" x14ac:dyDescent="0.25">
      <c r="A691" s="174">
        <v>2760</v>
      </c>
      <c r="B691" s="174">
        <v>20</v>
      </c>
      <c r="C691" t="s">
        <v>1685</v>
      </c>
      <c r="D691" s="795">
        <v>36623</v>
      </c>
      <c r="E691" t="s">
        <v>120</v>
      </c>
      <c r="F691">
        <v>1</v>
      </c>
      <c r="G691" s="128"/>
    </row>
    <row r="692" spans="1:7" x14ac:dyDescent="0.25">
      <c r="A692" s="174">
        <v>2041</v>
      </c>
      <c r="B692" s="174">
        <v>58</v>
      </c>
      <c r="C692" t="s">
        <v>510</v>
      </c>
      <c r="D692" s="795">
        <v>36762</v>
      </c>
      <c r="E692" t="s">
        <v>136</v>
      </c>
      <c r="F692">
        <v>1</v>
      </c>
      <c r="G692" s="128"/>
    </row>
    <row r="693" spans="1:7" x14ac:dyDescent="0.25">
      <c r="A693" s="174">
        <v>2355</v>
      </c>
      <c r="B693" s="174">
        <v>39</v>
      </c>
      <c r="C693" t="s">
        <v>677</v>
      </c>
      <c r="D693" s="795">
        <v>37060</v>
      </c>
      <c r="E693" t="s">
        <v>99</v>
      </c>
      <c r="F693">
        <v>1</v>
      </c>
      <c r="G693" s="128"/>
    </row>
    <row r="694" spans="1:7" x14ac:dyDescent="0.25">
      <c r="A694" s="174">
        <v>2987</v>
      </c>
      <c r="B694" s="174">
        <v>10</v>
      </c>
      <c r="C694" t="s">
        <v>1686</v>
      </c>
      <c r="D694" s="795">
        <v>36839</v>
      </c>
      <c r="E694" t="s">
        <v>99</v>
      </c>
      <c r="F694">
        <v>1</v>
      </c>
      <c r="G694" s="128"/>
    </row>
    <row r="695" spans="1:7" x14ac:dyDescent="0.25">
      <c r="A695" s="174">
        <v>3490</v>
      </c>
      <c r="B695" s="174">
        <v>0</v>
      </c>
      <c r="C695" t="s">
        <v>2447</v>
      </c>
      <c r="D695" s="795">
        <v>37943</v>
      </c>
      <c r="E695" t="s">
        <v>120</v>
      </c>
      <c r="F695">
        <v>1</v>
      </c>
      <c r="G695" s="128"/>
    </row>
    <row r="696" spans="1:7" x14ac:dyDescent="0.25">
      <c r="A696" s="174">
        <v>3200</v>
      </c>
      <c r="B696" s="174">
        <v>4</v>
      </c>
      <c r="C696" t="s">
        <v>2448</v>
      </c>
      <c r="D696" s="795">
        <v>36892</v>
      </c>
      <c r="E696" t="s">
        <v>136</v>
      </c>
      <c r="F696">
        <v>1</v>
      </c>
      <c r="G696" s="128"/>
    </row>
    <row r="697" spans="1:7" x14ac:dyDescent="0.25">
      <c r="A697" s="174">
        <v>3164</v>
      </c>
      <c r="B697" s="174">
        <v>5</v>
      </c>
      <c r="C697" t="s">
        <v>1688</v>
      </c>
      <c r="D697" s="795">
        <v>37257</v>
      </c>
      <c r="E697" t="s">
        <v>103</v>
      </c>
      <c r="F697">
        <v>1</v>
      </c>
      <c r="G697" s="128"/>
    </row>
    <row r="698" spans="1:7" x14ac:dyDescent="0.25">
      <c r="A698" s="174">
        <v>3597</v>
      </c>
      <c r="B698" s="174">
        <v>0</v>
      </c>
      <c r="C698" t="s">
        <v>2449</v>
      </c>
      <c r="D698" s="795">
        <v>36892</v>
      </c>
      <c r="E698" t="s">
        <v>1155</v>
      </c>
      <c r="F698">
        <v>1</v>
      </c>
      <c r="G698" s="128"/>
    </row>
    <row r="699" spans="1:7" x14ac:dyDescent="0.25">
      <c r="A699" s="174">
        <v>2831</v>
      </c>
      <c r="B699" s="174">
        <v>17</v>
      </c>
      <c r="C699" t="s">
        <v>1689</v>
      </c>
      <c r="D699" s="795">
        <v>37036</v>
      </c>
      <c r="E699" t="s">
        <v>1155</v>
      </c>
      <c r="F699">
        <v>1</v>
      </c>
      <c r="G699" s="128"/>
    </row>
    <row r="700" spans="1:7" x14ac:dyDescent="0.25">
      <c r="A700" s="174">
        <v>2046</v>
      </c>
      <c r="B700" s="174">
        <v>58</v>
      </c>
      <c r="C700" t="s">
        <v>801</v>
      </c>
      <c r="D700" s="795">
        <v>36778</v>
      </c>
      <c r="E700" t="s">
        <v>208</v>
      </c>
      <c r="F700">
        <v>1</v>
      </c>
      <c r="G700" s="128"/>
    </row>
    <row r="701" spans="1:7" x14ac:dyDescent="0.25">
      <c r="A701" s="174">
        <v>2394</v>
      </c>
      <c r="B701" s="174">
        <v>37</v>
      </c>
      <c r="C701" t="s">
        <v>260</v>
      </c>
      <c r="D701" s="795">
        <v>36712</v>
      </c>
      <c r="E701" t="s">
        <v>105</v>
      </c>
      <c r="F701">
        <v>1</v>
      </c>
      <c r="G701" s="128"/>
    </row>
    <row r="702" spans="1:7" x14ac:dyDescent="0.25">
      <c r="A702" s="174">
        <v>2982</v>
      </c>
      <c r="B702" s="174">
        <v>11</v>
      </c>
      <c r="C702" t="s">
        <v>1692</v>
      </c>
      <c r="D702" s="795">
        <v>36775</v>
      </c>
      <c r="E702" t="s">
        <v>160</v>
      </c>
      <c r="F702">
        <v>1</v>
      </c>
      <c r="G702" s="128"/>
    </row>
    <row r="703" spans="1:7" x14ac:dyDescent="0.25">
      <c r="A703" s="174">
        <v>2863</v>
      </c>
      <c r="B703" s="174">
        <v>16</v>
      </c>
      <c r="C703" t="s">
        <v>1693</v>
      </c>
      <c r="D703" s="795">
        <v>36892</v>
      </c>
      <c r="E703" t="s">
        <v>120</v>
      </c>
      <c r="F703">
        <v>1</v>
      </c>
      <c r="G703" s="128"/>
    </row>
    <row r="704" spans="1:7" x14ac:dyDescent="0.25">
      <c r="A704" s="174">
        <v>3911</v>
      </c>
      <c r="B704" s="174">
        <v>0</v>
      </c>
      <c r="C704" t="s">
        <v>1694</v>
      </c>
      <c r="D704" s="795">
        <v>37400</v>
      </c>
      <c r="E704" t="s">
        <v>99</v>
      </c>
      <c r="F704">
        <v>1</v>
      </c>
      <c r="G704" s="128"/>
    </row>
    <row r="705" spans="1:7" x14ac:dyDescent="0.25">
      <c r="A705" s="174">
        <v>2903</v>
      </c>
      <c r="B705" s="174">
        <v>14</v>
      </c>
      <c r="C705" t="s">
        <v>1695</v>
      </c>
      <c r="D705" s="795">
        <v>37339</v>
      </c>
      <c r="E705" t="s">
        <v>1143</v>
      </c>
      <c r="F705">
        <v>1</v>
      </c>
      <c r="G705" s="128"/>
    </row>
    <row r="706" spans="1:7" x14ac:dyDescent="0.25">
      <c r="A706" s="174">
        <v>3368</v>
      </c>
      <c r="B706" s="174">
        <v>1</v>
      </c>
      <c r="C706" t="s">
        <v>1696</v>
      </c>
      <c r="D706" s="795">
        <v>37174</v>
      </c>
      <c r="E706" t="s">
        <v>175</v>
      </c>
      <c r="F706">
        <v>1</v>
      </c>
      <c r="G706" s="128"/>
    </row>
    <row r="707" spans="1:7" x14ac:dyDescent="0.25">
      <c r="A707" s="174">
        <v>2749</v>
      </c>
      <c r="B707" s="174">
        <v>20</v>
      </c>
      <c r="C707" t="s">
        <v>678</v>
      </c>
      <c r="D707" s="795">
        <v>36976</v>
      </c>
      <c r="E707" t="s">
        <v>110</v>
      </c>
      <c r="F707">
        <v>1</v>
      </c>
      <c r="G707" s="128"/>
    </row>
    <row r="708" spans="1:7" x14ac:dyDescent="0.25">
      <c r="A708" s="174">
        <v>1760</v>
      </c>
      <c r="B708" s="174">
        <v>87</v>
      </c>
      <c r="C708" t="s">
        <v>1697</v>
      </c>
      <c r="D708" s="795">
        <v>36614</v>
      </c>
      <c r="E708" t="s">
        <v>120</v>
      </c>
      <c r="F708">
        <v>1</v>
      </c>
      <c r="G708" s="128"/>
    </row>
    <row r="709" spans="1:7" x14ac:dyDescent="0.25">
      <c r="A709" s="174">
        <v>3304</v>
      </c>
      <c r="B709" s="174">
        <v>2</v>
      </c>
      <c r="C709" t="s">
        <v>1698</v>
      </c>
      <c r="D709" s="795">
        <v>36914</v>
      </c>
      <c r="E709" t="s">
        <v>105</v>
      </c>
      <c r="F709">
        <v>1</v>
      </c>
      <c r="G709" s="128"/>
    </row>
    <row r="710" spans="1:7" x14ac:dyDescent="0.25">
      <c r="A710" s="174">
        <v>3659</v>
      </c>
      <c r="B710" s="174">
        <v>0</v>
      </c>
      <c r="C710" t="s">
        <v>1699</v>
      </c>
      <c r="D710" s="795">
        <v>36783</v>
      </c>
      <c r="E710" t="s">
        <v>1163</v>
      </c>
      <c r="F710">
        <v>1</v>
      </c>
      <c r="G710" s="128"/>
    </row>
    <row r="711" spans="1:7" x14ac:dyDescent="0.25">
      <c r="A711" s="174">
        <v>3401</v>
      </c>
      <c r="B711" s="174">
        <v>0</v>
      </c>
      <c r="C711" t="s">
        <v>1700</v>
      </c>
      <c r="D711" s="795">
        <v>37289</v>
      </c>
      <c r="E711" t="s">
        <v>379</v>
      </c>
      <c r="F711">
        <v>1</v>
      </c>
      <c r="G711" s="128"/>
    </row>
    <row r="712" spans="1:7" x14ac:dyDescent="0.25">
      <c r="A712" s="174">
        <v>2489</v>
      </c>
      <c r="B712" s="174">
        <v>32</v>
      </c>
      <c r="C712" t="s">
        <v>511</v>
      </c>
      <c r="D712" s="795">
        <v>36526</v>
      </c>
      <c r="E712" t="s">
        <v>105</v>
      </c>
      <c r="F712">
        <v>1</v>
      </c>
      <c r="G712" s="128"/>
    </row>
    <row r="713" spans="1:7" x14ac:dyDescent="0.25">
      <c r="A713" s="174">
        <v>2514</v>
      </c>
      <c r="B713" s="174">
        <v>31</v>
      </c>
      <c r="C713" t="s">
        <v>512</v>
      </c>
      <c r="D713" s="795">
        <v>37286</v>
      </c>
      <c r="E713" t="s">
        <v>105</v>
      </c>
      <c r="F713">
        <v>1</v>
      </c>
      <c r="G713" s="128"/>
    </row>
    <row r="714" spans="1:7" x14ac:dyDescent="0.25">
      <c r="A714" s="174">
        <v>2442</v>
      </c>
      <c r="B714" s="174">
        <v>35</v>
      </c>
      <c r="C714" t="s">
        <v>2450</v>
      </c>
      <c r="D714" s="795">
        <v>37197</v>
      </c>
      <c r="E714" t="s">
        <v>1143</v>
      </c>
      <c r="F714">
        <v>1</v>
      </c>
      <c r="G714" s="128"/>
    </row>
    <row r="715" spans="1:7" x14ac:dyDescent="0.25">
      <c r="A715" s="174">
        <v>3261</v>
      </c>
      <c r="B715" s="174">
        <v>3</v>
      </c>
      <c r="C715" t="s">
        <v>1702</v>
      </c>
      <c r="D715" s="795">
        <v>37351</v>
      </c>
      <c r="E715" t="s">
        <v>1334</v>
      </c>
      <c r="F715">
        <v>1</v>
      </c>
      <c r="G715" s="128"/>
    </row>
    <row r="716" spans="1:7" x14ac:dyDescent="0.25">
      <c r="A716" s="174">
        <v>2445</v>
      </c>
      <c r="B716" s="174">
        <v>34</v>
      </c>
      <c r="C716" t="s">
        <v>263</v>
      </c>
      <c r="D716" s="795">
        <v>36620</v>
      </c>
      <c r="E716" t="s">
        <v>1367</v>
      </c>
      <c r="F716">
        <v>1</v>
      </c>
      <c r="G716" s="128"/>
    </row>
    <row r="717" spans="1:7" x14ac:dyDescent="0.25">
      <c r="A717" s="174">
        <v>3696</v>
      </c>
      <c r="B717" s="174">
        <v>0</v>
      </c>
      <c r="C717" t="s">
        <v>1704</v>
      </c>
      <c r="D717" s="795">
        <v>36911</v>
      </c>
      <c r="E717" t="s">
        <v>365</v>
      </c>
      <c r="F717">
        <v>1</v>
      </c>
      <c r="G717" s="128"/>
    </row>
    <row r="718" spans="1:7" x14ac:dyDescent="0.25">
      <c r="A718" s="174">
        <v>2771</v>
      </c>
      <c r="B718" s="174">
        <v>19</v>
      </c>
      <c r="C718" t="s">
        <v>513</v>
      </c>
      <c r="D718" s="795">
        <v>36804</v>
      </c>
      <c r="E718" t="s">
        <v>1105</v>
      </c>
      <c r="F718">
        <v>1</v>
      </c>
      <c r="G718" s="128"/>
    </row>
    <row r="719" spans="1:7" x14ac:dyDescent="0.25">
      <c r="A719" s="174">
        <v>3295</v>
      </c>
      <c r="B719" s="174">
        <v>2</v>
      </c>
      <c r="C719" t="s">
        <v>1707</v>
      </c>
      <c r="D719" s="795">
        <v>37574</v>
      </c>
      <c r="E719" t="s">
        <v>1143</v>
      </c>
      <c r="F719">
        <v>1</v>
      </c>
      <c r="G719" s="128"/>
    </row>
    <row r="720" spans="1:7" x14ac:dyDescent="0.25">
      <c r="A720" s="174">
        <v>2879</v>
      </c>
      <c r="B720" s="174">
        <v>15</v>
      </c>
      <c r="C720" t="s">
        <v>802</v>
      </c>
      <c r="D720" s="795">
        <v>37314</v>
      </c>
      <c r="E720" t="s">
        <v>110</v>
      </c>
      <c r="F720">
        <v>1</v>
      </c>
      <c r="G720" s="128"/>
    </row>
    <row r="721" spans="1:7" x14ac:dyDescent="0.25">
      <c r="A721" s="174">
        <v>3411</v>
      </c>
      <c r="B721" s="174">
        <v>0</v>
      </c>
      <c r="C721" t="s">
        <v>1708</v>
      </c>
      <c r="D721" s="795">
        <v>36548</v>
      </c>
      <c r="E721" t="s">
        <v>105</v>
      </c>
      <c r="F721">
        <v>1</v>
      </c>
      <c r="G721" s="128"/>
    </row>
    <row r="722" spans="1:7" x14ac:dyDescent="0.25">
      <c r="A722" s="174">
        <v>2660</v>
      </c>
      <c r="B722" s="174">
        <v>24</v>
      </c>
      <c r="C722" t="s">
        <v>1709</v>
      </c>
      <c r="D722" s="795">
        <v>37489</v>
      </c>
      <c r="E722" t="s">
        <v>1710</v>
      </c>
      <c r="F722">
        <v>1</v>
      </c>
      <c r="G722" s="128"/>
    </row>
    <row r="723" spans="1:7" x14ac:dyDescent="0.25">
      <c r="A723" s="174">
        <v>2944</v>
      </c>
      <c r="B723" s="174">
        <v>12</v>
      </c>
      <c r="C723" t="s">
        <v>1711</v>
      </c>
      <c r="D723" s="795">
        <v>36868</v>
      </c>
      <c r="E723" t="s">
        <v>290</v>
      </c>
      <c r="F723">
        <v>1</v>
      </c>
      <c r="G723" s="128"/>
    </row>
    <row r="724" spans="1:7" x14ac:dyDescent="0.25">
      <c r="A724" s="174">
        <v>3645</v>
      </c>
      <c r="B724" s="174">
        <v>0</v>
      </c>
      <c r="C724" t="s">
        <v>1712</v>
      </c>
      <c r="D724" s="795">
        <v>37211</v>
      </c>
      <c r="E724" t="s">
        <v>105</v>
      </c>
      <c r="F724">
        <v>1</v>
      </c>
      <c r="G724" s="128"/>
    </row>
    <row r="725" spans="1:7" x14ac:dyDescent="0.25">
      <c r="A725" s="174">
        <v>3644</v>
      </c>
      <c r="B725" s="174">
        <v>0</v>
      </c>
      <c r="C725" t="s">
        <v>1713</v>
      </c>
      <c r="D725" s="795">
        <v>37686</v>
      </c>
      <c r="E725" t="s">
        <v>105</v>
      </c>
      <c r="F725">
        <v>1</v>
      </c>
      <c r="G725" s="128"/>
    </row>
    <row r="726" spans="1:7" x14ac:dyDescent="0.25">
      <c r="A726" s="174">
        <v>3338</v>
      </c>
      <c r="B726" s="174">
        <v>1</v>
      </c>
      <c r="C726" t="s">
        <v>1714</v>
      </c>
      <c r="D726" s="795">
        <v>36544</v>
      </c>
      <c r="E726" t="s">
        <v>110</v>
      </c>
      <c r="F726">
        <v>1</v>
      </c>
      <c r="G726" s="128"/>
    </row>
    <row r="727" spans="1:7" x14ac:dyDescent="0.25">
      <c r="A727" s="174">
        <v>2196</v>
      </c>
      <c r="B727" s="174">
        <v>48</v>
      </c>
      <c r="C727" t="s">
        <v>803</v>
      </c>
      <c r="D727" s="795">
        <v>36544</v>
      </c>
      <c r="E727" t="s">
        <v>110</v>
      </c>
      <c r="F727">
        <v>1</v>
      </c>
      <c r="G727" s="128"/>
    </row>
    <row r="728" spans="1:7" x14ac:dyDescent="0.25">
      <c r="A728" s="174">
        <v>1807</v>
      </c>
      <c r="B728" s="174">
        <v>82</v>
      </c>
      <c r="C728" t="s">
        <v>679</v>
      </c>
      <c r="D728" s="795">
        <v>36691</v>
      </c>
      <c r="E728" t="s">
        <v>120</v>
      </c>
      <c r="F728">
        <v>1</v>
      </c>
      <c r="G728" s="128"/>
    </row>
    <row r="729" spans="1:7" x14ac:dyDescent="0.25">
      <c r="A729" s="174">
        <v>3376</v>
      </c>
      <c r="B729" s="174">
        <v>0</v>
      </c>
      <c r="C729" t="s">
        <v>514</v>
      </c>
      <c r="D729" s="795">
        <v>36759</v>
      </c>
      <c r="E729" t="s">
        <v>105</v>
      </c>
      <c r="F729">
        <v>1</v>
      </c>
      <c r="G729" s="128"/>
    </row>
    <row r="730" spans="1:7" x14ac:dyDescent="0.25">
      <c r="A730" s="174">
        <v>2161</v>
      </c>
      <c r="B730" s="174">
        <v>50</v>
      </c>
      <c r="C730" t="s">
        <v>1715</v>
      </c>
      <c r="D730" s="795">
        <v>36541</v>
      </c>
      <c r="E730" t="s">
        <v>105</v>
      </c>
      <c r="F730">
        <v>1</v>
      </c>
      <c r="G730" s="128"/>
    </row>
    <row r="731" spans="1:7" x14ac:dyDescent="0.25">
      <c r="A731" s="174">
        <v>2837</v>
      </c>
      <c r="B731" s="174">
        <v>16</v>
      </c>
      <c r="C731" t="s">
        <v>396</v>
      </c>
      <c r="D731" s="795">
        <v>37309</v>
      </c>
      <c r="E731" t="s">
        <v>105</v>
      </c>
      <c r="F731">
        <v>1</v>
      </c>
      <c r="G731" s="128"/>
    </row>
    <row r="732" spans="1:7" x14ac:dyDescent="0.25">
      <c r="A732" s="174">
        <v>3296</v>
      </c>
      <c r="B732" s="174">
        <v>2</v>
      </c>
      <c r="C732" t="s">
        <v>396</v>
      </c>
      <c r="D732" s="795">
        <v>38117</v>
      </c>
      <c r="E732" t="s">
        <v>1491</v>
      </c>
      <c r="F732">
        <v>1</v>
      </c>
      <c r="G732" s="128"/>
    </row>
    <row r="733" spans="1:7" x14ac:dyDescent="0.25">
      <c r="A733" s="174">
        <v>2938</v>
      </c>
      <c r="B733" s="174">
        <v>12</v>
      </c>
      <c r="C733" t="s">
        <v>680</v>
      </c>
      <c r="D733" s="795">
        <v>36820</v>
      </c>
      <c r="E733" t="s">
        <v>99</v>
      </c>
      <c r="F733">
        <v>1</v>
      </c>
      <c r="G733" s="128"/>
    </row>
    <row r="734" spans="1:7" x14ac:dyDescent="0.25">
      <c r="A734" s="174">
        <v>3017</v>
      </c>
      <c r="B734" s="174">
        <v>10</v>
      </c>
      <c r="C734" t="s">
        <v>680</v>
      </c>
      <c r="D734" s="795">
        <v>37457</v>
      </c>
      <c r="E734" t="s">
        <v>1186</v>
      </c>
      <c r="F734">
        <v>1</v>
      </c>
      <c r="G734" s="128"/>
    </row>
    <row r="735" spans="1:7" x14ac:dyDescent="0.25">
      <c r="A735" s="174">
        <v>3736</v>
      </c>
      <c r="B735" s="174">
        <v>0</v>
      </c>
      <c r="C735" t="s">
        <v>1716</v>
      </c>
      <c r="D735" s="795">
        <v>37820</v>
      </c>
      <c r="E735" t="s">
        <v>105</v>
      </c>
      <c r="F735">
        <v>1</v>
      </c>
      <c r="G735" s="128"/>
    </row>
    <row r="736" spans="1:7" x14ac:dyDescent="0.25">
      <c r="A736" s="174">
        <v>3231</v>
      </c>
      <c r="B736" s="174">
        <v>4</v>
      </c>
      <c r="C736" t="s">
        <v>1717</v>
      </c>
      <c r="D736" s="795">
        <v>36886</v>
      </c>
      <c r="E736" t="s">
        <v>105</v>
      </c>
      <c r="F736">
        <v>1</v>
      </c>
      <c r="G736" s="128"/>
    </row>
    <row r="737" spans="1:7" x14ac:dyDescent="0.25">
      <c r="A737" s="174">
        <v>2006</v>
      </c>
      <c r="B737" s="174">
        <v>61</v>
      </c>
      <c r="C737" t="s">
        <v>1718</v>
      </c>
      <c r="D737" s="795">
        <v>36961</v>
      </c>
      <c r="E737" t="s">
        <v>180</v>
      </c>
      <c r="F737">
        <v>1</v>
      </c>
      <c r="G737" s="128"/>
    </row>
    <row r="738" spans="1:7" x14ac:dyDescent="0.25">
      <c r="A738" s="174">
        <v>2673</v>
      </c>
      <c r="B738" s="174">
        <v>24</v>
      </c>
      <c r="C738" t="s">
        <v>1719</v>
      </c>
      <c r="D738" s="795">
        <v>36596</v>
      </c>
      <c r="E738" t="s">
        <v>170</v>
      </c>
      <c r="F738">
        <v>1</v>
      </c>
      <c r="G738" s="128"/>
    </row>
    <row r="739" spans="1:7" x14ac:dyDescent="0.25">
      <c r="A739" s="174">
        <v>1371</v>
      </c>
      <c r="B739" s="174">
        <v>149</v>
      </c>
      <c r="C739" t="s">
        <v>1720</v>
      </c>
      <c r="D739" s="795">
        <v>36579</v>
      </c>
      <c r="E739" t="s">
        <v>1121</v>
      </c>
      <c r="F739">
        <v>1</v>
      </c>
      <c r="G739" s="128"/>
    </row>
    <row r="740" spans="1:7" x14ac:dyDescent="0.25">
      <c r="A740" s="174">
        <v>3427</v>
      </c>
      <c r="B740" s="174">
        <v>0</v>
      </c>
      <c r="C740" t="s">
        <v>1721</v>
      </c>
      <c r="D740" s="795">
        <v>38042</v>
      </c>
      <c r="E740" t="s">
        <v>1431</v>
      </c>
      <c r="F740">
        <v>1</v>
      </c>
      <c r="G740" s="128"/>
    </row>
    <row r="741" spans="1:7" x14ac:dyDescent="0.25">
      <c r="A741" s="174">
        <v>1954</v>
      </c>
      <c r="B741" s="174">
        <v>66</v>
      </c>
      <c r="C741" t="s">
        <v>806</v>
      </c>
      <c r="D741" s="795">
        <v>36733</v>
      </c>
      <c r="E741" t="s">
        <v>163</v>
      </c>
      <c r="F741">
        <v>1</v>
      </c>
      <c r="G741" s="128"/>
    </row>
    <row r="742" spans="1:7" x14ac:dyDescent="0.25">
      <c r="A742" s="174">
        <v>2985</v>
      </c>
      <c r="B742" s="174">
        <v>10</v>
      </c>
      <c r="C742" t="s">
        <v>265</v>
      </c>
      <c r="D742" s="795">
        <v>36722</v>
      </c>
      <c r="E742" t="s">
        <v>105</v>
      </c>
      <c r="F742">
        <v>1</v>
      </c>
      <c r="G742" s="128"/>
    </row>
    <row r="743" spans="1:7" x14ac:dyDescent="0.25">
      <c r="A743" s="174">
        <v>3250</v>
      </c>
      <c r="B743" s="174">
        <v>3</v>
      </c>
      <c r="C743" t="s">
        <v>1722</v>
      </c>
      <c r="D743" s="795">
        <v>36994</v>
      </c>
      <c r="E743" t="s">
        <v>117</v>
      </c>
      <c r="F743">
        <v>1</v>
      </c>
      <c r="G743" s="128"/>
    </row>
    <row r="744" spans="1:7" x14ac:dyDescent="0.25">
      <c r="A744" s="174">
        <v>2861</v>
      </c>
      <c r="B744" s="174">
        <v>16</v>
      </c>
      <c r="C744" t="s">
        <v>2451</v>
      </c>
      <c r="D744" s="795">
        <v>36546</v>
      </c>
      <c r="E744" t="s">
        <v>83</v>
      </c>
      <c r="F744">
        <v>1</v>
      </c>
      <c r="G744" s="128"/>
    </row>
    <row r="745" spans="1:7" x14ac:dyDescent="0.25">
      <c r="A745" s="174">
        <v>2986</v>
      </c>
      <c r="B745" s="174">
        <v>10</v>
      </c>
      <c r="C745" t="s">
        <v>266</v>
      </c>
      <c r="D745" s="795">
        <v>36784</v>
      </c>
      <c r="E745" t="s">
        <v>1143</v>
      </c>
      <c r="F745">
        <v>1</v>
      </c>
      <c r="G745" s="128"/>
    </row>
    <row r="746" spans="1:7" x14ac:dyDescent="0.25">
      <c r="A746" s="174">
        <v>2784</v>
      </c>
      <c r="B746" s="174">
        <v>19</v>
      </c>
      <c r="C746" t="s">
        <v>1724</v>
      </c>
      <c r="D746" s="795">
        <v>37173</v>
      </c>
      <c r="E746" t="s">
        <v>1390</v>
      </c>
      <c r="F746">
        <v>1</v>
      </c>
      <c r="G746" s="128"/>
    </row>
    <row r="747" spans="1:7" x14ac:dyDescent="0.25">
      <c r="A747" s="174">
        <v>1129</v>
      </c>
      <c r="B747" s="174">
        <v>202</v>
      </c>
      <c r="C747" t="s">
        <v>267</v>
      </c>
      <c r="D747" s="795">
        <v>37018</v>
      </c>
      <c r="E747" t="s">
        <v>179</v>
      </c>
      <c r="F747">
        <v>1</v>
      </c>
      <c r="G747" s="128"/>
    </row>
    <row r="748" spans="1:7" x14ac:dyDescent="0.25">
      <c r="A748" s="174">
        <v>3666</v>
      </c>
      <c r="B748" s="174">
        <v>0</v>
      </c>
      <c r="C748" t="s">
        <v>1725</v>
      </c>
      <c r="D748" s="795">
        <v>37048</v>
      </c>
      <c r="E748" t="s">
        <v>120</v>
      </c>
      <c r="F748">
        <v>1</v>
      </c>
      <c r="G748" s="128"/>
    </row>
    <row r="749" spans="1:7" x14ac:dyDescent="0.25">
      <c r="A749" s="174">
        <v>2234</v>
      </c>
      <c r="B749" s="174">
        <v>46</v>
      </c>
      <c r="C749" t="s">
        <v>1726</v>
      </c>
      <c r="D749" s="795">
        <v>37374</v>
      </c>
      <c r="E749" t="s">
        <v>118</v>
      </c>
      <c r="F749">
        <v>1</v>
      </c>
      <c r="G749" s="128"/>
    </row>
    <row r="750" spans="1:7" x14ac:dyDescent="0.25">
      <c r="A750" s="174">
        <v>3099</v>
      </c>
      <c r="B750" s="174">
        <v>7</v>
      </c>
      <c r="C750" t="s">
        <v>1728</v>
      </c>
      <c r="D750" s="795">
        <v>37165</v>
      </c>
      <c r="E750" t="s">
        <v>1727</v>
      </c>
      <c r="F750">
        <v>1</v>
      </c>
      <c r="G750" s="128"/>
    </row>
    <row r="751" spans="1:7" x14ac:dyDescent="0.25">
      <c r="A751" s="174">
        <v>2936</v>
      </c>
      <c r="B751" s="174">
        <v>13</v>
      </c>
      <c r="C751" t="s">
        <v>1729</v>
      </c>
      <c r="D751" s="795">
        <v>36770</v>
      </c>
      <c r="E751" t="s">
        <v>213</v>
      </c>
      <c r="F751">
        <v>1</v>
      </c>
      <c r="G751" s="128"/>
    </row>
    <row r="752" spans="1:7" x14ac:dyDescent="0.25">
      <c r="A752" s="174">
        <v>3154</v>
      </c>
      <c r="B752" s="174">
        <v>6</v>
      </c>
      <c r="C752" t="s">
        <v>1730</v>
      </c>
      <c r="D752" s="795">
        <v>36526</v>
      </c>
      <c r="E752" t="s">
        <v>165</v>
      </c>
      <c r="F752">
        <v>1</v>
      </c>
      <c r="G752" s="128"/>
    </row>
    <row r="753" spans="1:7" x14ac:dyDescent="0.25">
      <c r="A753" s="174">
        <v>1662</v>
      </c>
      <c r="B753" s="174">
        <v>100</v>
      </c>
      <c r="C753" t="s">
        <v>807</v>
      </c>
      <c r="D753" s="795">
        <v>36696</v>
      </c>
      <c r="E753" t="s">
        <v>160</v>
      </c>
      <c r="F753">
        <v>1</v>
      </c>
      <c r="G753" s="128"/>
    </row>
    <row r="754" spans="1:7" x14ac:dyDescent="0.25">
      <c r="A754" s="174">
        <v>3420</v>
      </c>
      <c r="B754" s="174">
        <v>0</v>
      </c>
      <c r="C754" t="s">
        <v>1731</v>
      </c>
      <c r="D754" s="795">
        <v>37422</v>
      </c>
      <c r="E754" t="s">
        <v>105</v>
      </c>
      <c r="F754">
        <v>1</v>
      </c>
      <c r="G754" s="128"/>
    </row>
    <row r="755" spans="1:7" x14ac:dyDescent="0.25">
      <c r="A755" s="174">
        <v>2778</v>
      </c>
      <c r="B755" s="174">
        <v>19</v>
      </c>
      <c r="C755" t="s">
        <v>1732</v>
      </c>
      <c r="D755" s="795">
        <v>37505</v>
      </c>
      <c r="E755" t="s">
        <v>1191</v>
      </c>
      <c r="F755">
        <v>1</v>
      </c>
      <c r="G755" s="128"/>
    </row>
    <row r="756" spans="1:7" x14ac:dyDescent="0.25">
      <c r="A756" s="174">
        <v>3022</v>
      </c>
      <c r="B756" s="174">
        <v>10</v>
      </c>
      <c r="C756" t="s">
        <v>1733</v>
      </c>
      <c r="D756" s="795">
        <v>37925</v>
      </c>
      <c r="E756" t="s">
        <v>1186</v>
      </c>
      <c r="F756">
        <v>1</v>
      </c>
      <c r="G756" s="128"/>
    </row>
    <row r="757" spans="1:7" x14ac:dyDescent="0.25">
      <c r="A757" s="174">
        <v>3001</v>
      </c>
      <c r="B757" s="174">
        <v>10</v>
      </c>
      <c r="C757" t="s">
        <v>2452</v>
      </c>
      <c r="D757" s="795">
        <v>37214</v>
      </c>
      <c r="E757" t="s">
        <v>126</v>
      </c>
      <c r="F757">
        <v>1</v>
      </c>
      <c r="G757" s="128"/>
    </row>
    <row r="758" spans="1:7" x14ac:dyDescent="0.25">
      <c r="A758" s="174">
        <v>3372</v>
      </c>
      <c r="B758" s="174">
        <v>1</v>
      </c>
      <c r="C758" t="s">
        <v>1734</v>
      </c>
      <c r="D758" s="795">
        <v>37636</v>
      </c>
      <c r="E758" t="s">
        <v>105</v>
      </c>
      <c r="F758">
        <v>1</v>
      </c>
      <c r="G758" s="128"/>
    </row>
    <row r="759" spans="1:7" x14ac:dyDescent="0.25">
      <c r="A759" s="174">
        <v>3359</v>
      </c>
      <c r="B759" s="174">
        <v>1</v>
      </c>
      <c r="C759" t="s">
        <v>1735</v>
      </c>
      <c r="D759" s="795">
        <v>36614</v>
      </c>
      <c r="E759" t="s">
        <v>74</v>
      </c>
      <c r="F759">
        <v>1</v>
      </c>
      <c r="G759" s="128"/>
    </row>
    <row r="760" spans="1:7" x14ac:dyDescent="0.25">
      <c r="A760" s="174">
        <v>3549</v>
      </c>
      <c r="B760" s="174">
        <v>0</v>
      </c>
      <c r="C760" t="s">
        <v>2453</v>
      </c>
      <c r="D760" s="795">
        <v>37381</v>
      </c>
      <c r="E760" t="s">
        <v>165</v>
      </c>
      <c r="F760">
        <v>1</v>
      </c>
      <c r="G760" s="128"/>
    </row>
    <row r="761" spans="1:7" x14ac:dyDescent="0.25">
      <c r="A761" s="174">
        <v>3807</v>
      </c>
      <c r="B761" s="174">
        <v>0</v>
      </c>
      <c r="C761" t="s">
        <v>1736</v>
      </c>
      <c r="D761" s="795">
        <v>37166</v>
      </c>
      <c r="E761" t="s">
        <v>170</v>
      </c>
      <c r="F761">
        <v>1</v>
      </c>
      <c r="G761" s="128"/>
    </row>
    <row r="762" spans="1:7" x14ac:dyDescent="0.25">
      <c r="A762" s="174">
        <v>3705</v>
      </c>
      <c r="B762" s="174">
        <v>0</v>
      </c>
      <c r="C762" t="s">
        <v>1737</v>
      </c>
      <c r="D762" s="795">
        <v>37057</v>
      </c>
      <c r="E762" t="s">
        <v>1218</v>
      </c>
      <c r="F762">
        <v>1</v>
      </c>
      <c r="G762" s="128"/>
    </row>
    <row r="763" spans="1:7" x14ac:dyDescent="0.25">
      <c r="A763" s="174">
        <v>2554</v>
      </c>
      <c r="B763" s="174">
        <v>29</v>
      </c>
      <c r="C763" t="s">
        <v>517</v>
      </c>
      <c r="D763" s="795">
        <v>37107</v>
      </c>
      <c r="E763" t="s">
        <v>72</v>
      </c>
      <c r="F763">
        <v>1</v>
      </c>
      <c r="G763" s="128"/>
    </row>
    <row r="764" spans="1:7" x14ac:dyDescent="0.25">
      <c r="A764" s="174">
        <v>3358</v>
      </c>
      <c r="B764" s="174">
        <v>1</v>
      </c>
      <c r="C764" t="s">
        <v>2454</v>
      </c>
      <c r="D764" s="795">
        <v>37267</v>
      </c>
      <c r="E764" t="s">
        <v>99</v>
      </c>
      <c r="F764">
        <v>1</v>
      </c>
      <c r="G764" s="128"/>
    </row>
    <row r="765" spans="1:7" x14ac:dyDescent="0.25">
      <c r="A765" s="174">
        <v>2757</v>
      </c>
      <c r="B765" s="174">
        <v>20</v>
      </c>
      <c r="C765" t="s">
        <v>1739</v>
      </c>
      <c r="D765" s="795">
        <v>36759</v>
      </c>
      <c r="E765" t="s">
        <v>105</v>
      </c>
      <c r="F765">
        <v>1</v>
      </c>
      <c r="G765" s="128"/>
    </row>
    <row r="766" spans="1:7" x14ac:dyDescent="0.25">
      <c r="A766" s="174">
        <v>3720</v>
      </c>
      <c r="B766" s="174">
        <v>0</v>
      </c>
      <c r="C766" t="s">
        <v>1740</v>
      </c>
      <c r="D766" s="795">
        <v>37181</v>
      </c>
      <c r="E766" t="s">
        <v>105</v>
      </c>
      <c r="F766">
        <v>1</v>
      </c>
      <c r="G766" s="128"/>
    </row>
    <row r="767" spans="1:7" x14ac:dyDescent="0.25">
      <c r="A767" s="174">
        <v>2789</v>
      </c>
      <c r="B767" s="174">
        <v>19</v>
      </c>
      <c r="C767" t="s">
        <v>1741</v>
      </c>
      <c r="D767" s="795">
        <v>37726</v>
      </c>
      <c r="E767" t="s">
        <v>105</v>
      </c>
      <c r="F767">
        <v>1</v>
      </c>
      <c r="G767" s="128"/>
    </row>
    <row r="768" spans="1:7" x14ac:dyDescent="0.25">
      <c r="A768" s="174">
        <v>2628</v>
      </c>
      <c r="B768" s="174">
        <v>25</v>
      </c>
      <c r="C768" t="s">
        <v>2528</v>
      </c>
      <c r="D768" s="795">
        <v>36818</v>
      </c>
      <c r="E768" t="s">
        <v>105</v>
      </c>
      <c r="F768">
        <v>1</v>
      </c>
      <c r="G768" s="128"/>
    </row>
    <row r="769" spans="1:7" x14ac:dyDescent="0.25">
      <c r="A769" s="174">
        <v>2635</v>
      </c>
      <c r="B769" s="174">
        <v>25</v>
      </c>
      <c r="C769" t="s">
        <v>1744</v>
      </c>
      <c r="D769" s="795">
        <v>37279</v>
      </c>
      <c r="E769" t="s">
        <v>120</v>
      </c>
      <c r="F769">
        <v>1</v>
      </c>
      <c r="G769" s="128"/>
    </row>
    <row r="770" spans="1:7" x14ac:dyDescent="0.25">
      <c r="A770" s="174">
        <v>3042</v>
      </c>
      <c r="B770" s="174">
        <v>9</v>
      </c>
      <c r="C770" t="s">
        <v>1745</v>
      </c>
      <c r="D770" s="795">
        <v>36900</v>
      </c>
      <c r="E770" t="s">
        <v>160</v>
      </c>
      <c r="F770">
        <v>1</v>
      </c>
      <c r="G770" s="128"/>
    </row>
    <row r="771" spans="1:7" x14ac:dyDescent="0.25">
      <c r="A771" s="174">
        <v>1526</v>
      </c>
      <c r="B771" s="174">
        <v>124</v>
      </c>
      <c r="C771" t="s">
        <v>1746</v>
      </c>
      <c r="D771" s="795">
        <v>36676</v>
      </c>
      <c r="E771" t="s">
        <v>105</v>
      </c>
      <c r="F771">
        <v>1</v>
      </c>
      <c r="G771" s="128"/>
    </row>
    <row r="772" spans="1:7" x14ac:dyDescent="0.25">
      <c r="A772" s="174">
        <v>3391</v>
      </c>
      <c r="B772" s="174">
        <v>0</v>
      </c>
      <c r="C772" t="s">
        <v>1747</v>
      </c>
      <c r="D772" s="795">
        <v>36860</v>
      </c>
      <c r="E772" t="s">
        <v>120</v>
      </c>
      <c r="F772">
        <v>1</v>
      </c>
      <c r="G772" s="128"/>
    </row>
    <row r="773" spans="1:7" x14ac:dyDescent="0.25">
      <c r="A773" s="174">
        <v>2009</v>
      </c>
      <c r="B773" s="174">
        <v>61</v>
      </c>
      <c r="C773" t="s">
        <v>1748</v>
      </c>
      <c r="D773" s="795">
        <v>37070</v>
      </c>
      <c r="E773" t="s">
        <v>120</v>
      </c>
      <c r="F773">
        <v>1</v>
      </c>
      <c r="G773" s="128"/>
    </row>
    <row r="774" spans="1:7" x14ac:dyDescent="0.25">
      <c r="A774" s="174">
        <v>2711</v>
      </c>
      <c r="B774" s="174">
        <v>22</v>
      </c>
      <c r="C774" t="s">
        <v>1749</v>
      </c>
      <c r="D774" s="795">
        <v>37086</v>
      </c>
      <c r="E774" t="s">
        <v>99</v>
      </c>
      <c r="F774">
        <v>1</v>
      </c>
      <c r="G774" s="128"/>
    </row>
    <row r="775" spans="1:7" x14ac:dyDescent="0.25">
      <c r="A775" s="174">
        <v>3162</v>
      </c>
      <c r="B775" s="174">
        <v>5</v>
      </c>
      <c r="C775" t="s">
        <v>2529</v>
      </c>
      <c r="D775" s="795">
        <v>37672</v>
      </c>
      <c r="E775" t="s">
        <v>2530</v>
      </c>
      <c r="F775">
        <v>1</v>
      </c>
      <c r="G775" s="128"/>
    </row>
    <row r="776" spans="1:7" x14ac:dyDescent="0.25">
      <c r="A776" s="174">
        <v>3000</v>
      </c>
      <c r="B776" s="174">
        <v>10</v>
      </c>
      <c r="C776" t="s">
        <v>1750</v>
      </c>
      <c r="D776" s="795">
        <v>36526</v>
      </c>
      <c r="E776" t="s">
        <v>1129</v>
      </c>
      <c r="F776">
        <v>1</v>
      </c>
      <c r="G776" s="128"/>
    </row>
    <row r="777" spans="1:7" x14ac:dyDescent="0.25">
      <c r="A777" s="174">
        <v>3485</v>
      </c>
      <c r="B777" s="174">
        <v>0</v>
      </c>
      <c r="C777" t="s">
        <v>2455</v>
      </c>
      <c r="D777" s="795">
        <v>37724</v>
      </c>
      <c r="E777" t="s">
        <v>165</v>
      </c>
      <c r="F777">
        <v>1</v>
      </c>
      <c r="G777" s="128"/>
    </row>
    <row r="778" spans="1:7" x14ac:dyDescent="0.25">
      <c r="A778" s="174">
        <v>2654</v>
      </c>
      <c r="B778" s="174">
        <v>24</v>
      </c>
      <c r="C778" t="s">
        <v>398</v>
      </c>
      <c r="D778" s="795">
        <v>36646</v>
      </c>
      <c r="E778" t="s">
        <v>1143</v>
      </c>
      <c r="F778">
        <v>1</v>
      </c>
      <c r="G778" s="128"/>
    </row>
    <row r="779" spans="1:7" x14ac:dyDescent="0.25">
      <c r="A779" s="174">
        <v>3478</v>
      </c>
      <c r="B779" s="174">
        <v>0</v>
      </c>
      <c r="C779" t="s">
        <v>2531</v>
      </c>
      <c r="D779" s="795">
        <v>36526</v>
      </c>
      <c r="E779" t="s">
        <v>122</v>
      </c>
      <c r="F779">
        <v>1</v>
      </c>
      <c r="G779" s="128"/>
    </row>
    <row r="780" spans="1:7" x14ac:dyDescent="0.25">
      <c r="A780" s="174">
        <v>3721</v>
      </c>
      <c r="B780" s="174">
        <v>0</v>
      </c>
      <c r="C780" t="s">
        <v>1752</v>
      </c>
      <c r="D780" s="795">
        <v>36722</v>
      </c>
      <c r="E780" t="s">
        <v>105</v>
      </c>
      <c r="F780">
        <v>1</v>
      </c>
      <c r="G780" s="128"/>
    </row>
    <row r="781" spans="1:7" x14ac:dyDescent="0.25">
      <c r="A781" s="174">
        <v>3112</v>
      </c>
      <c r="B781" s="174">
        <v>7</v>
      </c>
      <c r="C781" t="s">
        <v>2532</v>
      </c>
      <c r="D781" s="795">
        <v>36740</v>
      </c>
      <c r="E781" t="s">
        <v>1868</v>
      </c>
      <c r="F781">
        <v>1</v>
      </c>
      <c r="G781" s="128"/>
    </row>
    <row r="782" spans="1:7" x14ac:dyDescent="0.25">
      <c r="A782" s="174">
        <v>2028</v>
      </c>
      <c r="B782" s="174">
        <v>59</v>
      </c>
      <c r="C782" t="s">
        <v>1754</v>
      </c>
      <c r="D782" s="795">
        <v>37465</v>
      </c>
      <c r="E782" t="s">
        <v>105</v>
      </c>
      <c r="F782">
        <v>1</v>
      </c>
      <c r="G782" s="128"/>
    </row>
    <row r="783" spans="1:7" x14ac:dyDescent="0.25">
      <c r="A783" s="174">
        <v>3704</v>
      </c>
      <c r="B783" s="174">
        <v>0</v>
      </c>
      <c r="C783" t="s">
        <v>1755</v>
      </c>
      <c r="D783" s="795">
        <v>36672</v>
      </c>
      <c r="E783" t="s">
        <v>200</v>
      </c>
      <c r="F783">
        <v>1</v>
      </c>
      <c r="G783" s="128"/>
    </row>
    <row r="784" spans="1:7" x14ac:dyDescent="0.25">
      <c r="A784" s="174">
        <v>2890</v>
      </c>
      <c r="B784" s="174">
        <v>14</v>
      </c>
      <c r="C784" t="s">
        <v>1756</v>
      </c>
      <c r="D784" s="795">
        <v>36840</v>
      </c>
      <c r="E784" t="s">
        <v>105</v>
      </c>
      <c r="F784">
        <v>1</v>
      </c>
      <c r="G784" s="128"/>
    </row>
    <row r="785" spans="1:7" x14ac:dyDescent="0.25">
      <c r="A785" s="174">
        <v>3679</v>
      </c>
      <c r="B785" s="174">
        <v>0</v>
      </c>
      <c r="C785" t="s">
        <v>1757</v>
      </c>
      <c r="D785" s="795">
        <v>36638</v>
      </c>
      <c r="E785" t="s">
        <v>1063</v>
      </c>
      <c r="F785">
        <v>1</v>
      </c>
      <c r="G785" s="128"/>
    </row>
    <row r="786" spans="1:7" x14ac:dyDescent="0.25">
      <c r="A786" s="174">
        <v>1634</v>
      </c>
      <c r="B786" s="174">
        <v>103</v>
      </c>
      <c r="C786" t="s">
        <v>1758</v>
      </c>
      <c r="D786" s="795">
        <v>37048</v>
      </c>
      <c r="E786" t="s">
        <v>176</v>
      </c>
      <c r="F786">
        <v>1</v>
      </c>
      <c r="G786" s="128"/>
    </row>
    <row r="787" spans="1:7" x14ac:dyDescent="0.25">
      <c r="A787" s="174">
        <v>2296</v>
      </c>
      <c r="B787" s="174">
        <v>43</v>
      </c>
      <c r="C787" t="s">
        <v>1759</v>
      </c>
      <c r="D787" s="795">
        <v>36791</v>
      </c>
      <c r="E787" t="s">
        <v>120</v>
      </c>
      <c r="F787">
        <v>1</v>
      </c>
      <c r="G787" s="128"/>
    </row>
    <row r="788" spans="1:7" x14ac:dyDescent="0.25">
      <c r="A788" s="174">
        <v>1657</v>
      </c>
      <c r="B788" s="174">
        <v>100</v>
      </c>
      <c r="C788" t="s">
        <v>270</v>
      </c>
      <c r="D788" s="795">
        <v>36548</v>
      </c>
      <c r="E788" t="s">
        <v>165</v>
      </c>
      <c r="F788">
        <v>1</v>
      </c>
      <c r="G788" s="128"/>
    </row>
    <row r="789" spans="1:7" x14ac:dyDescent="0.25">
      <c r="A789" s="174">
        <v>3062</v>
      </c>
      <c r="B789" s="174">
        <v>8</v>
      </c>
      <c r="C789" t="s">
        <v>1760</v>
      </c>
      <c r="D789" s="795">
        <v>37461</v>
      </c>
      <c r="E789" t="s">
        <v>74</v>
      </c>
      <c r="F789">
        <v>1</v>
      </c>
      <c r="G789" s="128"/>
    </row>
    <row r="790" spans="1:7" x14ac:dyDescent="0.25">
      <c r="A790" s="174">
        <v>1540</v>
      </c>
      <c r="B790" s="174">
        <v>121</v>
      </c>
      <c r="C790" t="s">
        <v>808</v>
      </c>
      <c r="D790" s="795">
        <v>36840</v>
      </c>
      <c r="E790" t="s">
        <v>160</v>
      </c>
      <c r="F790">
        <v>1</v>
      </c>
      <c r="G790" s="128"/>
    </row>
    <row r="791" spans="1:7" x14ac:dyDescent="0.25">
      <c r="A791" s="174">
        <v>2117</v>
      </c>
      <c r="B791" s="174">
        <v>53</v>
      </c>
      <c r="C791" t="s">
        <v>1761</v>
      </c>
      <c r="D791" s="795">
        <v>37121</v>
      </c>
      <c r="E791" t="s">
        <v>154</v>
      </c>
      <c r="F791">
        <v>1</v>
      </c>
      <c r="G791" s="128"/>
    </row>
    <row r="792" spans="1:7" x14ac:dyDescent="0.25">
      <c r="A792" s="174">
        <v>2764</v>
      </c>
      <c r="B792" s="174">
        <v>20</v>
      </c>
      <c r="C792" t="s">
        <v>1762</v>
      </c>
      <c r="D792" s="795">
        <v>36854</v>
      </c>
      <c r="E792" t="s">
        <v>1763</v>
      </c>
      <c r="F792">
        <v>1</v>
      </c>
      <c r="G792" s="128"/>
    </row>
    <row r="793" spans="1:7" x14ac:dyDescent="0.25">
      <c r="A793" s="174">
        <v>3505</v>
      </c>
      <c r="B793" s="174">
        <v>0</v>
      </c>
      <c r="C793" t="s">
        <v>2533</v>
      </c>
      <c r="D793" s="795">
        <v>37317</v>
      </c>
      <c r="E793" t="s">
        <v>227</v>
      </c>
      <c r="F793">
        <v>1</v>
      </c>
      <c r="G793" s="128"/>
    </row>
    <row r="794" spans="1:7" x14ac:dyDescent="0.25">
      <c r="A794" s="174">
        <v>1667</v>
      </c>
      <c r="B794" s="174">
        <v>99</v>
      </c>
      <c r="C794" t="s">
        <v>681</v>
      </c>
      <c r="D794" s="795">
        <v>37385</v>
      </c>
      <c r="E794" t="s">
        <v>128</v>
      </c>
      <c r="F794">
        <v>1</v>
      </c>
      <c r="G794" s="128"/>
    </row>
    <row r="795" spans="1:7" x14ac:dyDescent="0.25">
      <c r="A795" s="174">
        <v>1028</v>
      </c>
      <c r="B795" s="174">
        <v>231</v>
      </c>
      <c r="C795" t="s">
        <v>399</v>
      </c>
      <c r="D795" s="795">
        <v>37117</v>
      </c>
      <c r="E795" t="s">
        <v>105</v>
      </c>
      <c r="F795">
        <v>1</v>
      </c>
      <c r="G795" s="128"/>
    </row>
    <row r="796" spans="1:7" x14ac:dyDescent="0.25">
      <c r="A796" s="174">
        <v>3648</v>
      </c>
      <c r="B796" s="174">
        <v>0</v>
      </c>
      <c r="C796" t="s">
        <v>1764</v>
      </c>
      <c r="D796" s="795">
        <v>36990</v>
      </c>
      <c r="E796" t="s">
        <v>120</v>
      </c>
      <c r="F796">
        <v>1</v>
      </c>
      <c r="G796" s="128"/>
    </row>
    <row r="797" spans="1:7" x14ac:dyDescent="0.25">
      <c r="A797" s="174">
        <v>2365</v>
      </c>
      <c r="B797" s="174">
        <v>39</v>
      </c>
      <c r="C797" t="s">
        <v>1765</v>
      </c>
      <c r="D797" s="795">
        <v>36532</v>
      </c>
      <c r="E797" t="s">
        <v>138</v>
      </c>
      <c r="F797">
        <v>1</v>
      </c>
      <c r="G797" s="128"/>
    </row>
    <row r="798" spans="1:7" x14ac:dyDescent="0.25">
      <c r="A798" s="174">
        <v>2582</v>
      </c>
      <c r="B798" s="174">
        <v>28</v>
      </c>
      <c r="C798" t="s">
        <v>682</v>
      </c>
      <c r="D798" s="795">
        <v>37294</v>
      </c>
      <c r="E798" t="s">
        <v>1193</v>
      </c>
      <c r="F798">
        <v>1</v>
      </c>
      <c r="G798" s="128"/>
    </row>
    <row r="799" spans="1:7" x14ac:dyDescent="0.25">
      <c r="A799" s="174">
        <v>3139</v>
      </c>
      <c r="B799" s="174">
        <v>6</v>
      </c>
      <c r="C799" t="s">
        <v>1766</v>
      </c>
      <c r="D799" s="795">
        <v>37608</v>
      </c>
      <c r="E799" t="s">
        <v>1078</v>
      </c>
      <c r="F799">
        <v>1</v>
      </c>
      <c r="G799" s="128"/>
    </row>
    <row r="800" spans="1:7" x14ac:dyDescent="0.25">
      <c r="A800" s="174">
        <v>3323</v>
      </c>
      <c r="B800" s="174">
        <v>1</v>
      </c>
      <c r="C800" t="s">
        <v>2534</v>
      </c>
      <c r="D800" s="795">
        <v>37257</v>
      </c>
      <c r="E800" t="s">
        <v>122</v>
      </c>
      <c r="F800">
        <v>1</v>
      </c>
      <c r="G800" s="128"/>
    </row>
    <row r="801" spans="1:7" x14ac:dyDescent="0.25">
      <c r="A801" s="174">
        <v>3576</v>
      </c>
      <c r="B801" s="174">
        <v>0</v>
      </c>
      <c r="C801" t="s">
        <v>1768</v>
      </c>
      <c r="D801" s="795">
        <v>36755</v>
      </c>
      <c r="E801" t="s">
        <v>72</v>
      </c>
      <c r="F801">
        <v>1</v>
      </c>
      <c r="G801" s="128"/>
    </row>
    <row r="802" spans="1:7" x14ac:dyDescent="0.25">
      <c r="A802" s="174">
        <v>3152</v>
      </c>
      <c r="B802" s="174">
        <v>6</v>
      </c>
      <c r="C802" t="s">
        <v>1769</v>
      </c>
      <c r="D802" s="795">
        <v>37192</v>
      </c>
      <c r="E802" t="s">
        <v>1192</v>
      </c>
      <c r="F802">
        <v>1</v>
      </c>
      <c r="G802" s="128"/>
    </row>
    <row r="803" spans="1:7" x14ac:dyDescent="0.25">
      <c r="A803" s="174">
        <v>3768</v>
      </c>
      <c r="B803" s="174">
        <v>0</v>
      </c>
      <c r="C803" t="s">
        <v>1770</v>
      </c>
      <c r="D803" s="795">
        <v>37412</v>
      </c>
      <c r="E803" t="s">
        <v>1400</v>
      </c>
      <c r="F803">
        <v>1</v>
      </c>
      <c r="G803" s="128"/>
    </row>
    <row r="804" spans="1:7" x14ac:dyDescent="0.25">
      <c r="A804" s="174">
        <v>3398</v>
      </c>
      <c r="B804" s="174">
        <v>0</v>
      </c>
      <c r="C804" t="s">
        <v>1771</v>
      </c>
      <c r="D804" s="795">
        <v>37068</v>
      </c>
      <c r="E804" t="s">
        <v>1400</v>
      </c>
      <c r="F804">
        <v>1</v>
      </c>
      <c r="G804" s="128"/>
    </row>
    <row r="805" spans="1:7" x14ac:dyDescent="0.25">
      <c r="A805" s="174">
        <v>3031</v>
      </c>
      <c r="B805" s="174">
        <v>9</v>
      </c>
      <c r="C805" t="s">
        <v>1772</v>
      </c>
      <c r="D805" s="795">
        <v>36991</v>
      </c>
      <c r="E805" t="s">
        <v>1218</v>
      </c>
      <c r="F805">
        <v>1</v>
      </c>
      <c r="G805" s="128"/>
    </row>
    <row r="806" spans="1:7" x14ac:dyDescent="0.25">
      <c r="A806" s="174">
        <v>2588</v>
      </c>
      <c r="B806" s="174">
        <v>28</v>
      </c>
      <c r="C806" t="s">
        <v>1775</v>
      </c>
      <c r="D806" s="795">
        <v>37119</v>
      </c>
      <c r="E806" t="s">
        <v>1776</v>
      </c>
      <c r="F806">
        <v>1</v>
      </c>
      <c r="G806" s="128"/>
    </row>
    <row r="807" spans="1:7" x14ac:dyDescent="0.25">
      <c r="A807" s="174">
        <v>1527</v>
      </c>
      <c r="B807" s="174">
        <v>124</v>
      </c>
      <c r="C807" t="s">
        <v>1777</v>
      </c>
      <c r="D807" s="795">
        <v>37084</v>
      </c>
      <c r="E807" t="s">
        <v>108</v>
      </c>
      <c r="F807">
        <v>1</v>
      </c>
      <c r="G807" s="128"/>
    </row>
    <row r="808" spans="1:7" x14ac:dyDescent="0.25">
      <c r="A808" s="174">
        <v>1792</v>
      </c>
      <c r="B808" s="174">
        <v>84</v>
      </c>
      <c r="C808" t="s">
        <v>272</v>
      </c>
      <c r="D808" s="795">
        <v>36584</v>
      </c>
      <c r="E808" t="s">
        <v>113</v>
      </c>
      <c r="F808">
        <v>1</v>
      </c>
      <c r="G808" s="128"/>
    </row>
    <row r="809" spans="1:7" x14ac:dyDescent="0.25">
      <c r="A809" s="174">
        <v>2906</v>
      </c>
      <c r="B809" s="174">
        <v>14</v>
      </c>
      <c r="C809" t="s">
        <v>2535</v>
      </c>
      <c r="D809" s="795">
        <v>36616</v>
      </c>
      <c r="E809" t="s">
        <v>109</v>
      </c>
      <c r="F809">
        <v>1</v>
      </c>
      <c r="G809" s="128"/>
    </row>
    <row r="810" spans="1:7" x14ac:dyDescent="0.25">
      <c r="A810" s="174">
        <v>3735</v>
      </c>
      <c r="B810" s="174">
        <v>0</v>
      </c>
      <c r="C810" t="s">
        <v>1778</v>
      </c>
      <c r="D810" s="795">
        <v>36822</v>
      </c>
      <c r="E810" t="s">
        <v>183</v>
      </c>
      <c r="F810">
        <v>1</v>
      </c>
      <c r="G810" s="128"/>
    </row>
    <row r="811" spans="1:7" x14ac:dyDescent="0.25">
      <c r="A811" s="174">
        <v>3303</v>
      </c>
      <c r="B811" s="174">
        <v>2</v>
      </c>
      <c r="C811" t="s">
        <v>1779</v>
      </c>
      <c r="D811" s="795">
        <v>37463</v>
      </c>
      <c r="E811" t="s">
        <v>126</v>
      </c>
      <c r="F811">
        <v>1</v>
      </c>
      <c r="G811" s="128"/>
    </row>
    <row r="812" spans="1:7" x14ac:dyDescent="0.25">
      <c r="A812" s="174">
        <v>3293</v>
      </c>
      <c r="B812" s="174">
        <v>2</v>
      </c>
      <c r="C812" t="s">
        <v>1780</v>
      </c>
      <c r="D812" s="795">
        <v>37602</v>
      </c>
      <c r="E812" t="s">
        <v>120</v>
      </c>
      <c r="F812">
        <v>1</v>
      </c>
      <c r="G812" s="128"/>
    </row>
    <row r="813" spans="1:7" x14ac:dyDescent="0.25">
      <c r="A813" s="174">
        <v>2918</v>
      </c>
      <c r="B813" s="174">
        <v>13</v>
      </c>
      <c r="C813" t="s">
        <v>1781</v>
      </c>
      <c r="D813" s="795">
        <v>36790</v>
      </c>
      <c r="E813" t="s">
        <v>1065</v>
      </c>
      <c r="F813">
        <v>1</v>
      </c>
      <c r="G813" s="128"/>
    </row>
    <row r="814" spans="1:7" x14ac:dyDescent="0.25">
      <c r="A814" s="174">
        <v>2174</v>
      </c>
      <c r="B814" s="174">
        <v>49</v>
      </c>
      <c r="C814" t="s">
        <v>1782</v>
      </c>
      <c r="D814" s="795">
        <v>36570</v>
      </c>
      <c r="E814" t="s">
        <v>105</v>
      </c>
      <c r="F814">
        <v>1</v>
      </c>
      <c r="G814" s="128"/>
    </row>
    <row r="815" spans="1:7" x14ac:dyDescent="0.25">
      <c r="A815" s="174">
        <v>3240</v>
      </c>
      <c r="B815" s="174">
        <v>4</v>
      </c>
      <c r="C815" t="s">
        <v>2536</v>
      </c>
      <c r="D815" s="795">
        <v>37180</v>
      </c>
      <c r="E815" t="s">
        <v>1193</v>
      </c>
      <c r="F815">
        <v>1</v>
      </c>
      <c r="G815" s="128"/>
    </row>
    <row r="816" spans="1:7" x14ac:dyDescent="0.25">
      <c r="A816" s="174">
        <v>3325</v>
      </c>
      <c r="B816" s="174">
        <v>1</v>
      </c>
      <c r="C816" t="s">
        <v>1785</v>
      </c>
      <c r="D816" s="795">
        <v>37289</v>
      </c>
      <c r="E816" t="s">
        <v>1143</v>
      </c>
      <c r="F816">
        <v>1</v>
      </c>
      <c r="G816" s="128"/>
    </row>
    <row r="817" spans="1:7" x14ac:dyDescent="0.25">
      <c r="A817" s="174">
        <v>1633</v>
      </c>
      <c r="B817" s="174">
        <v>103</v>
      </c>
      <c r="C817" t="s">
        <v>275</v>
      </c>
      <c r="D817" s="795">
        <v>36998</v>
      </c>
      <c r="E817" t="s">
        <v>99</v>
      </c>
      <c r="F817">
        <v>1</v>
      </c>
      <c r="G817" s="128"/>
    </row>
    <row r="818" spans="1:7" x14ac:dyDescent="0.25">
      <c r="A818" s="174">
        <v>3936</v>
      </c>
      <c r="B818" s="174">
        <v>0</v>
      </c>
      <c r="C818" t="s">
        <v>1786</v>
      </c>
      <c r="D818" s="795">
        <v>36760</v>
      </c>
      <c r="E818" t="s">
        <v>83</v>
      </c>
      <c r="F818">
        <v>1</v>
      </c>
      <c r="G818" s="128"/>
    </row>
    <row r="819" spans="1:7" x14ac:dyDescent="0.25">
      <c r="A819" s="174">
        <v>2444</v>
      </c>
      <c r="B819" s="174">
        <v>34</v>
      </c>
      <c r="C819" t="s">
        <v>520</v>
      </c>
      <c r="D819" s="795">
        <v>36771</v>
      </c>
      <c r="E819" t="s">
        <v>120</v>
      </c>
      <c r="F819">
        <v>1</v>
      </c>
      <c r="G819" s="128"/>
    </row>
    <row r="820" spans="1:7" x14ac:dyDescent="0.25">
      <c r="A820" s="174">
        <v>3320</v>
      </c>
      <c r="B820" s="174">
        <v>1</v>
      </c>
      <c r="C820" t="s">
        <v>2537</v>
      </c>
      <c r="D820" s="795">
        <v>36918</v>
      </c>
      <c r="E820" t="s">
        <v>1121</v>
      </c>
      <c r="F820">
        <v>1</v>
      </c>
      <c r="G820" s="128"/>
    </row>
    <row r="821" spans="1:7" x14ac:dyDescent="0.25">
      <c r="A821" s="174">
        <v>3090</v>
      </c>
      <c r="B821" s="174">
        <v>7</v>
      </c>
      <c r="C821" t="s">
        <v>276</v>
      </c>
      <c r="D821" s="795">
        <v>36869</v>
      </c>
      <c r="E821" t="s">
        <v>105</v>
      </c>
      <c r="F821">
        <v>1</v>
      </c>
      <c r="G821" s="128"/>
    </row>
    <row r="822" spans="1:7" x14ac:dyDescent="0.25">
      <c r="A822" s="174">
        <v>1422</v>
      </c>
      <c r="B822" s="174">
        <v>141</v>
      </c>
      <c r="C822" t="s">
        <v>1787</v>
      </c>
      <c r="D822" s="795">
        <v>36928</v>
      </c>
      <c r="E822" t="s">
        <v>105</v>
      </c>
      <c r="F822">
        <v>1</v>
      </c>
      <c r="G822" s="128"/>
    </row>
    <row r="823" spans="1:7" x14ac:dyDescent="0.25">
      <c r="A823" s="174">
        <v>1058</v>
      </c>
      <c r="B823" s="174">
        <v>224</v>
      </c>
      <c r="C823" t="s">
        <v>521</v>
      </c>
      <c r="D823" s="795">
        <v>36980</v>
      </c>
      <c r="E823" t="s">
        <v>1078</v>
      </c>
      <c r="F823">
        <v>1</v>
      </c>
      <c r="G823" s="128"/>
    </row>
    <row r="824" spans="1:7" x14ac:dyDescent="0.25">
      <c r="A824" s="174">
        <v>3366</v>
      </c>
      <c r="B824" s="174">
        <v>1</v>
      </c>
      <c r="C824" t="s">
        <v>1788</v>
      </c>
      <c r="D824" s="795">
        <v>37464</v>
      </c>
      <c r="E824" t="s">
        <v>1789</v>
      </c>
      <c r="F824">
        <v>1</v>
      </c>
      <c r="G824" s="128"/>
    </row>
    <row r="825" spans="1:7" x14ac:dyDescent="0.25">
      <c r="A825" s="174">
        <v>3321</v>
      </c>
      <c r="B825" s="174">
        <v>1</v>
      </c>
      <c r="C825" t="s">
        <v>1790</v>
      </c>
      <c r="D825" s="795">
        <v>36732</v>
      </c>
      <c r="E825" t="s">
        <v>99</v>
      </c>
      <c r="F825">
        <v>1</v>
      </c>
      <c r="G825" s="128"/>
    </row>
    <row r="826" spans="1:7" x14ac:dyDescent="0.25">
      <c r="A826" s="174">
        <v>3239</v>
      </c>
      <c r="B826" s="174">
        <v>4</v>
      </c>
      <c r="C826" t="s">
        <v>2538</v>
      </c>
      <c r="D826" s="795">
        <v>36856</v>
      </c>
      <c r="E826" t="s">
        <v>109</v>
      </c>
      <c r="F826">
        <v>1</v>
      </c>
      <c r="G826" s="128"/>
    </row>
    <row r="827" spans="1:7" x14ac:dyDescent="0.25">
      <c r="A827" s="174">
        <v>2601</v>
      </c>
      <c r="B827" s="174">
        <v>27</v>
      </c>
      <c r="C827" t="s">
        <v>1791</v>
      </c>
      <c r="D827" s="795">
        <v>36660</v>
      </c>
      <c r="E827" t="s">
        <v>147</v>
      </c>
      <c r="F827">
        <v>1</v>
      </c>
      <c r="G827" s="128"/>
    </row>
    <row r="828" spans="1:7" x14ac:dyDescent="0.25">
      <c r="A828" s="174">
        <v>2990</v>
      </c>
      <c r="B828" s="174">
        <v>10</v>
      </c>
      <c r="C828" t="s">
        <v>1792</v>
      </c>
      <c r="D828" s="795">
        <v>37781</v>
      </c>
      <c r="E828" t="s">
        <v>133</v>
      </c>
      <c r="F828">
        <v>1</v>
      </c>
      <c r="G828" s="128"/>
    </row>
    <row r="829" spans="1:7" x14ac:dyDescent="0.25">
      <c r="A829" s="174">
        <v>2652</v>
      </c>
      <c r="B829" s="174">
        <v>24</v>
      </c>
      <c r="C829" t="s">
        <v>683</v>
      </c>
      <c r="D829" s="795">
        <v>36924</v>
      </c>
      <c r="E829" t="s">
        <v>1063</v>
      </c>
      <c r="F829">
        <v>1</v>
      </c>
      <c r="G829" s="128"/>
    </row>
    <row r="830" spans="1:7" x14ac:dyDescent="0.25">
      <c r="A830" s="174">
        <v>2765</v>
      </c>
      <c r="B830" s="174">
        <v>20</v>
      </c>
      <c r="C830" t="s">
        <v>2456</v>
      </c>
      <c r="D830" s="795">
        <v>36951</v>
      </c>
      <c r="E830" t="s">
        <v>165</v>
      </c>
      <c r="F830">
        <v>1</v>
      </c>
      <c r="G830" s="128"/>
    </row>
    <row r="831" spans="1:7" x14ac:dyDescent="0.25">
      <c r="A831" s="174">
        <v>3598</v>
      </c>
      <c r="B831" s="174">
        <v>0</v>
      </c>
      <c r="C831" t="s">
        <v>2457</v>
      </c>
      <c r="D831" s="795">
        <v>37122</v>
      </c>
      <c r="E831" t="s">
        <v>1143</v>
      </c>
      <c r="F831">
        <v>1</v>
      </c>
      <c r="G831" s="128"/>
    </row>
    <row r="832" spans="1:7" x14ac:dyDescent="0.25">
      <c r="A832" s="174">
        <v>3856</v>
      </c>
      <c r="B832" s="174">
        <v>0</v>
      </c>
      <c r="C832" t="s">
        <v>1794</v>
      </c>
      <c r="D832" s="795">
        <v>37254</v>
      </c>
      <c r="E832" t="s">
        <v>138</v>
      </c>
      <c r="F832">
        <v>1</v>
      </c>
      <c r="G832" s="128"/>
    </row>
    <row r="833" spans="1:7" x14ac:dyDescent="0.25">
      <c r="A833" s="174">
        <v>2218</v>
      </c>
      <c r="B833" s="174">
        <v>46</v>
      </c>
      <c r="C833" t="s">
        <v>401</v>
      </c>
      <c r="D833" s="795">
        <v>36636</v>
      </c>
      <c r="E833" t="s">
        <v>231</v>
      </c>
      <c r="F833">
        <v>1</v>
      </c>
      <c r="G833" s="128"/>
    </row>
    <row r="834" spans="1:7" x14ac:dyDescent="0.25">
      <c r="A834" s="174">
        <v>2607</v>
      </c>
      <c r="B834" s="174">
        <v>26</v>
      </c>
      <c r="C834" t="s">
        <v>277</v>
      </c>
      <c r="D834" s="795">
        <v>36868</v>
      </c>
      <c r="E834" t="s">
        <v>120</v>
      </c>
      <c r="F834">
        <v>1</v>
      </c>
      <c r="G834" s="128"/>
    </row>
    <row r="835" spans="1:7" x14ac:dyDescent="0.25">
      <c r="A835" s="174">
        <v>2100</v>
      </c>
      <c r="B835" s="174">
        <v>54</v>
      </c>
      <c r="C835" t="s">
        <v>1797</v>
      </c>
      <c r="D835" s="795">
        <v>36728</v>
      </c>
      <c r="E835" t="s">
        <v>110</v>
      </c>
      <c r="F835">
        <v>1</v>
      </c>
      <c r="G835" s="128"/>
    </row>
    <row r="836" spans="1:7" x14ac:dyDescent="0.25">
      <c r="A836" s="174">
        <v>2706</v>
      </c>
      <c r="B836" s="174">
        <v>22</v>
      </c>
      <c r="C836" t="s">
        <v>1798</v>
      </c>
      <c r="D836" s="795">
        <v>36775</v>
      </c>
      <c r="E836" t="s">
        <v>122</v>
      </c>
      <c r="F836">
        <v>1</v>
      </c>
      <c r="G836" s="128"/>
    </row>
    <row r="837" spans="1:7" x14ac:dyDescent="0.25">
      <c r="A837" s="174">
        <v>2168</v>
      </c>
      <c r="B837" s="174">
        <v>49</v>
      </c>
      <c r="C837" t="s">
        <v>278</v>
      </c>
      <c r="D837" s="795">
        <v>36615</v>
      </c>
      <c r="E837" t="s">
        <v>1121</v>
      </c>
      <c r="F837">
        <v>1</v>
      </c>
      <c r="G837" s="128"/>
    </row>
    <row r="838" spans="1:7" x14ac:dyDescent="0.25">
      <c r="A838" s="174">
        <v>1813</v>
      </c>
      <c r="B838" s="174">
        <v>81</v>
      </c>
      <c r="C838" t="s">
        <v>1799</v>
      </c>
      <c r="D838" s="795">
        <v>36803</v>
      </c>
      <c r="E838" t="s">
        <v>113</v>
      </c>
      <c r="F838">
        <v>1</v>
      </c>
      <c r="G838" s="128"/>
    </row>
    <row r="839" spans="1:7" x14ac:dyDescent="0.25">
      <c r="A839" s="174">
        <v>3032</v>
      </c>
      <c r="B839" s="174">
        <v>9</v>
      </c>
      <c r="C839" t="s">
        <v>1801</v>
      </c>
      <c r="D839" s="795">
        <v>36573</v>
      </c>
      <c r="E839" t="s">
        <v>122</v>
      </c>
      <c r="F839">
        <v>1</v>
      </c>
      <c r="G839" s="128"/>
    </row>
    <row r="840" spans="1:7" x14ac:dyDescent="0.25">
      <c r="A840" s="174">
        <v>3818</v>
      </c>
      <c r="B840" s="174">
        <v>0</v>
      </c>
      <c r="C840" t="s">
        <v>1802</v>
      </c>
      <c r="D840" s="795">
        <v>38255</v>
      </c>
      <c r="E840" t="s">
        <v>105</v>
      </c>
      <c r="F840">
        <v>1</v>
      </c>
      <c r="G840" s="128"/>
    </row>
    <row r="841" spans="1:7" x14ac:dyDescent="0.25">
      <c r="A841" s="174">
        <v>2818</v>
      </c>
      <c r="B841" s="174">
        <v>17</v>
      </c>
      <c r="C841" t="s">
        <v>1803</v>
      </c>
      <c r="D841" s="795">
        <v>36809</v>
      </c>
      <c r="E841" t="s">
        <v>1804</v>
      </c>
      <c r="F841">
        <v>1</v>
      </c>
      <c r="G841" s="128"/>
    </row>
    <row r="842" spans="1:7" x14ac:dyDescent="0.25">
      <c r="A842" s="174">
        <v>2702</v>
      </c>
      <c r="B842" s="174">
        <v>22</v>
      </c>
      <c r="C842" t="s">
        <v>522</v>
      </c>
      <c r="D842" s="795">
        <v>36695</v>
      </c>
      <c r="E842" t="s">
        <v>1330</v>
      </c>
      <c r="F842">
        <v>1</v>
      </c>
      <c r="G842" s="128"/>
    </row>
    <row r="843" spans="1:7" x14ac:dyDescent="0.25">
      <c r="A843" s="174">
        <v>3307</v>
      </c>
      <c r="B843" s="174">
        <v>2</v>
      </c>
      <c r="C843" t="s">
        <v>1805</v>
      </c>
      <c r="D843" s="795">
        <v>36825</v>
      </c>
      <c r="E843" t="s">
        <v>74</v>
      </c>
      <c r="F843">
        <v>1</v>
      </c>
      <c r="G843" s="128"/>
    </row>
    <row r="844" spans="1:7" x14ac:dyDescent="0.25">
      <c r="A844" s="174">
        <v>3166</v>
      </c>
      <c r="B844" s="174">
        <v>5</v>
      </c>
      <c r="C844" t="s">
        <v>2539</v>
      </c>
      <c r="D844" s="795">
        <v>36526</v>
      </c>
      <c r="E844" t="s">
        <v>122</v>
      </c>
      <c r="F844">
        <v>1</v>
      </c>
      <c r="G844" s="128"/>
    </row>
    <row r="845" spans="1:7" x14ac:dyDescent="0.25">
      <c r="A845" s="174">
        <v>2791</v>
      </c>
      <c r="B845" s="174">
        <v>19</v>
      </c>
      <c r="C845" t="s">
        <v>1806</v>
      </c>
      <c r="D845" s="795">
        <v>37025</v>
      </c>
      <c r="E845" t="s">
        <v>127</v>
      </c>
      <c r="F845">
        <v>1</v>
      </c>
      <c r="G845" s="128"/>
    </row>
    <row r="846" spans="1:7" x14ac:dyDescent="0.25">
      <c r="A846" s="174">
        <v>3658</v>
      </c>
      <c r="B846" s="174">
        <v>0</v>
      </c>
      <c r="C846" t="s">
        <v>1809</v>
      </c>
      <c r="D846" s="795">
        <v>36574</v>
      </c>
      <c r="E846" t="s">
        <v>290</v>
      </c>
      <c r="F846">
        <v>1</v>
      </c>
      <c r="G846" s="128"/>
    </row>
    <row r="847" spans="1:7" x14ac:dyDescent="0.25">
      <c r="A847" s="174">
        <v>2610</v>
      </c>
      <c r="B847" s="174">
        <v>26</v>
      </c>
      <c r="C847" t="s">
        <v>279</v>
      </c>
      <c r="D847" s="795">
        <v>36699</v>
      </c>
      <c r="E847" t="s">
        <v>120</v>
      </c>
      <c r="F847">
        <v>1</v>
      </c>
      <c r="G847" s="128"/>
    </row>
    <row r="848" spans="1:7" x14ac:dyDescent="0.25">
      <c r="A848" s="174">
        <v>3291</v>
      </c>
      <c r="B848" s="174">
        <v>2</v>
      </c>
      <c r="C848" t="s">
        <v>1810</v>
      </c>
      <c r="D848" s="795">
        <v>37723</v>
      </c>
      <c r="E848" t="s">
        <v>120</v>
      </c>
      <c r="F848">
        <v>1</v>
      </c>
      <c r="G848" s="128"/>
    </row>
    <row r="849" spans="1:7" x14ac:dyDescent="0.25">
      <c r="A849" s="174">
        <v>3003</v>
      </c>
      <c r="B849" s="174">
        <v>10</v>
      </c>
      <c r="C849" t="s">
        <v>1811</v>
      </c>
      <c r="D849" s="795">
        <v>37238</v>
      </c>
      <c r="E849" t="s">
        <v>1334</v>
      </c>
      <c r="F849">
        <v>1</v>
      </c>
      <c r="G849" s="128"/>
    </row>
    <row r="850" spans="1:7" x14ac:dyDescent="0.25">
      <c r="A850" s="174">
        <v>943</v>
      </c>
      <c r="B850" s="174">
        <v>256</v>
      </c>
      <c r="C850" t="s">
        <v>1812</v>
      </c>
      <c r="D850" s="795">
        <v>37062</v>
      </c>
      <c r="E850" t="s">
        <v>1813</v>
      </c>
      <c r="F850">
        <v>1</v>
      </c>
      <c r="G850" s="128"/>
    </row>
    <row r="851" spans="1:7" x14ac:dyDescent="0.25">
      <c r="A851" s="174">
        <v>2569</v>
      </c>
      <c r="B851" s="174">
        <v>29</v>
      </c>
      <c r="C851" t="s">
        <v>2458</v>
      </c>
      <c r="D851" s="795">
        <v>37825</v>
      </c>
      <c r="E851" t="s">
        <v>2459</v>
      </c>
      <c r="F851">
        <v>1</v>
      </c>
      <c r="G851" s="128"/>
    </row>
    <row r="852" spans="1:7" x14ac:dyDescent="0.25">
      <c r="A852" s="174">
        <v>2802</v>
      </c>
      <c r="B852" s="174">
        <v>18</v>
      </c>
      <c r="C852" t="s">
        <v>524</v>
      </c>
      <c r="D852" s="795">
        <v>36787</v>
      </c>
      <c r="E852" t="s">
        <v>72</v>
      </c>
      <c r="F852">
        <v>1</v>
      </c>
      <c r="G852" s="128"/>
    </row>
    <row r="853" spans="1:7" x14ac:dyDescent="0.25">
      <c r="A853" s="174">
        <v>1843</v>
      </c>
      <c r="B853" s="174">
        <v>77</v>
      </c>
      <c r="C853" t="s">
        <v>525</v>
      </c>
      <c r="D853" s="795">
        <v>36678</v>
      </c>
      <c r="E853" t="s">
        <v>72</v>
      </c>
      <c r="F853">
        <v>1</v>
      </c>
      <c r="G853" s="128"/>
    </row>
    <row r="854" spans="1:7" x14ac:dyDescent="0.25">
      <c r="A854" s="174">
        <v>3136</v>
      </c>
      <c r="B854" s="174">
        <v>6</v>
      </c>
      <c r="C854" t="s">
        <v>1815</v>
      </c>
      <c r="D854" s="795">
        <v>36931</v>
      </c>
      <c r="E854" t="s">
        <v>1143</v>
      </c>
      <c r="F854">
        <v>1</v>
      </c>
      <c r="G854" s="128"/>
    </row>
    <row r="855" spans="1:7" x14ac:dyDescent="0.25">
      <c r="A855" s="174">
        <v>2343</v>
      </c>
      <c r="B855" s="174">
        <v>40</v>
      </c>
      <c r="C855" t="s">
        <v>1816</v>
      </c>
      <c r="D855" s="795">
        <v>37405</v>
      </c>
      <c r="E855" t="s">
        <v>73</v>
      </c>
      <c r="F855">
        <v>1</v>
      </c>
      <c r="G855" s="128"/>
    </row>
    <row r="856" spans="1:7" x14ac:dyDescent="0.25">
      <c r="A856" s="174">
        <v>1918</v>
      </c>
      <c r="B856" s="174">
        <v>71</v>
      </c>
      <c r="C856" t="s">
        <v>1817</v>
      </c>
      <c r="D856" s="795">
        <v>36906</v>
      </c>
      <c r="E856" t="s">
        <v>104</v>
      </c>
      <c r="F856">
        <v>1</v>
      </c>
      <c r="G856" s="128"/>
    </row>
    <row r="857" spans="1:7" x14ac:dyDescent="0.25">
      <c r="A857" s="174">
        <v>2682</v>
      </c>
      <c r="B857" s="174">
        <v>23</v>
      </c>
      <c r="C857" t="s">
        <v>1818</v>
      </c>
      <c r="D857" s="795">
        <v>36870</v>
      </c>
      <c r="E857" t="s">
        <v>227</v>
      </c>
      <c r="F857">
        <v>1</v>
      </c>
      <c r="G857" s="128"/>
    </row>
    <row r="858" spans="1:7" x14ac:dyDescent="0.25">
      <c r="A858" s="174">
        <v>3630</v>
      </c>
      <c r="B858" s="174">
        <v>0</v>
      </c>
      <c r="C858" t="s">
        <v>1819</v>
      </c>
      <c r="D858" s="795">
        <v>36788</v>
      </c>
      <c r="E858" t="s">
        <v>166</v>
      </c>
      <c r="F858">
        <v>1</v>
      </c>
      <c r="G858" s="128"/>
    </row>
    <row r="859" spans="1:7" x14ac:dyDescent="0.25">
      <c r="A859" s="174">
        <v>3587</v>
      </c>
      <c r="B859" s="174">
        <v>0</v>
      </c>
      <c r="C859" t="s">
        <v>1820</v>
      </c>
      <c r="D859" s="795">
        <v>37706</v>
      </c>
      <c r="E859" t="s">
        <v>120</v>
      </c>
      <c r="F859">
        <v>1</v>
      </c>
      <c r="G859" s="128"/>
    </row>
    <row r="860" spans="1:7" x14ac:dyDescent="0.25">
      <c r="A860" s="174">
        <v>3182</v>
      </c>
      <c r="B860" s="174">
        <v>5</v>
      </c>
      <c r="C860" t="s">
        <v>1822</v>
      </c>
      <c r="D860" s="795">
        <v>36537</v>
      </c>
      <c r="E860" t="s">
        <v>213</v>
      </c>
      <c r="F860">
        <v>1</v>
      </c>
      <c r="G860" s="128"/>
    </row>
    <row r="861" spans="1:7" x14ac:dyDescent="0.25">
      <c r="A861" s="174">
        <v>2411</v>
      </c>
      <c r="B861" s="174">
        <v>36</v>
      </c>
      <c r="C861" t="s">
        <v>526</v>
      </c>
      <c r="D861" s="795">
        <v>36749</v>
      </c>
      <c r="E861" t="s">
        <v>72</v>
      </c>
      <c r="F861">
        <v>1</v>
      </c>
      <c r="G861" s="128"/>
    </row>
    <row r="862" spans="1:7" x14ac:dyDescent="0.25">
      <c r="A862" s="174">
        <v>3577</v>
      </c>
      <c r="B862" s="174">
        <v>0</v>
      </c>
      <c r="C862" t="s">
        <v>1823</v>
      </c>
      <c r="D862" s="795">
        <v>36924</v>
      </c>
      <c r="E862" t="s">
        <v>72</v>
      </c>
      <c r="F862">
        <v>1</v>
      </c>
      <c r="G862" s="128"/>
    </row>
    <row r="863" spans="1:7" x14ac:dyDescent="0.25">
      <c r="A863" s="174">
        <v>3726</v>
      </c>
      <c r="B863" s="174">
        <v>0</v>
      </c>
      <c r="C863" t="s">
        <v>1824</v>
      </c>
      <c r="D863" s="795">
        <v>36886</v>
      </c>
      <c r="E863" t="s">
        <v>105</v>
      </c>
      <c r="F863">
        <v>1</v>
      </c>
      <c r="G863" s="128"/>
    </row>
    <row r="864" spans="1:7" x14ac:dyDescent="0.25">
      <c r="A864" s="174">
        <v>1933</v>
      </c>
      <c r="B864" s="174">
        <v>69</v>
      </c>
      <c r="C864" t="s">
        <v>280</v>
      </c>
      <c r="D864" s="795">
        <v>36818</v>
      </c>
      <c r="E864" t="s">
        <v>120</v>
      </c>
      <c r="F864">
        <v>1</v>
      </c>
      <c r="G864" s="128"/>
    </row>
    <row r="865" spans="1:7" x14ac:dyDescent="0.25">
      <c r="A865" s="174">
        <v>2928</v>
      </c>
      <c r="B865" s="174">
        <v>13</v>
      </c>
      <c r="C865" t="s">
        <v>1825</v>
      </c>
      <c r="D865" s="795">
        <v>36787</v>
      </c>
      <c r="E865" t="s">
        <v>165</v>
      </c>
      <c r="F865">
        <v>1</v>
      </c>
      <c r="G865" s="128"/>
    </row>
    <row r="866" spans="1:7" x14ac:dyDescent="0.25">
      <c r="A866" s="174">
        <v>3516</v>
      </c>
      <c r="B866" s="174">
        <v>0</v>
      </c>
      <c r="C866" t="s">
        <v>2540</v>
      </c>
      <c r="D866" s="795">
        <v>36837</v>
      </c>
      <c r="E866" t="s">
        <v>164</v>
      </c>
      <c r="F866">
        <v>1</v>
      </c>
      <c r="G866" s="128"/>
    </row>
    <row r="867" spans="1:7" x14ac:dyDescent="0.25">
      <c r="A867" s="174">
        <v>3046</v>
      </c>
      <c r="B867" s="174">
        <v>9</v>
      </c>
      <c r="C867" t="s">
        <v>1826</v>
      </c>
      <c r="D867" s="795">
        <v>36765</v>
      </c>
      <c r="E867" t="s">
        <v>1171</v>
      </c>
      <c r="F867">
        <v>1</v>
      </c>
      <c r="G867" s="128"/>
    </row>
    <row r="868" spans="1:7" x14ac:dyDescent="0.25">
      <c r="A868" s="174">
        <v>1895</v>
      </c>
      <c r="B868" s="174">
        <v>73</v>
      </c>
      <c r="C868" t="s">
        <v>809</v>
      </c>
      <c r="D868" s="795">
        <v>36584</v>
      </c>
      <c r="E868" t="s">
        <v>469</v>
      </c>
      <c r="F868">
        <v>1</v>
      </c>
      <c r="G868" s="128"/>
    </row>
    <row r="869" spans="1:7" x14ac:dyDescent="0.25">
      <c r="A869" s="174">
        <v>2849</v>
      </c>
      <c r="B869" s="174">
        <v>16</v>
      </c>
      <c r="C869" t="s">
        <v>1827</v>
      </c>
      <c r="D869" s="795">
        <v>36913</v>
      </c>
      <c r="E869" t="s">
        <v>113</v>
      </c>
      <c r="F869">
        <v>1</v>
      </c>
      <c r="G869" s="128"/>
    </row>
    <row r="870" spans="1:7" x14ac:dyDescent="0.25">
      <c r="A870" s="174">
        <v>3207</v>
      </c>
      <c r="B870" s="174">
        <v>4</v>
      </c>
      <c r="C870" t="s">
        <v>2460</v>
      </c>
      <c r="D870" s="795">
        <v>37248</v>
      </c>
      <c r="E870" t="s">
        <v>99</v>
      </c>
      <c r="F870">
        <v>1</v>
      </c>
      <c r="G870" s="128"/>
    </row>
    <row r="871" spans="1:7" x14ac:dyDescent="0.25">
      <c r="A871" s="174">
        <v>2977</v>
      </c>
      <c r="B871" s="174">
        <v>11</v>
      </c>
      <c r="C871" t="s">
        <v>1828</v>
      </c>
      <c r="D871" s="795">
        <v>37203</v>
      </c>
      <c r="E871" t="s">
        <v>105</v>
      </c>
      <c r="F871">
        <v>1</v>
      </c>
      <c r="G871" s="128"/>
    </row>
    <row r="872" spans="1:7" x14ac:dyDescent="0.25">
      <c r="A872" s="174">
        <v>1771</v>
      </c>
      <c r="B872" s="174">
        <v>86</v>
      </c>
      <c r="C872" t="s">
        <v>1829</v>
      </c>
      <c r="D872" s="795">
        <v>36699</v>
      </c>
      <c r="E872" t="s">
        <v>1191</v>
      </c>
      <c r="F872">
        <v>1</v>
      </c>
      <c r="G872" s="128"/>
    </row>
    <row r="873" spans="1:7" x14ac:dyDescent="0.25">
      <c r="A873" s="174">
        <v>3742</v>
      </c>
      <c r="B873" s="174">
        <v>0</v>
      </c>
      <c r="C873" t="s">
        <v>1830</v>
      </c>
      <c r="D873" s="795">
        <v>37465</v>
      </c>
      <c r="E873" t="s">
        <v>1155</v>
      </c>
      <c r="F873">
        <v>1</v>
      </c>
      <c r="G873" s="128"/>
    </row>
    <row r="874" spans="1:7" x14ac:dyDescent="0.25">
      <c r="A874" s="174">
        <v>3563</v>
      </c>
      <c r="B874" s="174">
        <v>0</v>
      </c>
      <c r="C874" t="s">
        <v>1831</v>
      </c>
      <c r="D874" s="795">
        <v>37035</v>
      </c>
      <c r="E874" t="s">
        <v>1214</v>
      </c>
      <c r="F874">
        <v>1</v>
      </c>
      <c r="G874" s="128"/>
    </row>
    <row r="875" spans="1:7" x14ac:dyDescent="0.25">
      <c r="A875" s="174">
        <v>2680</v>
      </c>
      <c r="B875" s="174">
        <v>23</v>
      </c>
      <c r="C875" t="s">
        <v>527</v>
      </c>
      <c r="D875" s="795">
        <v>37176</v>
      </c>
      <c r="E875" t="s">
        <v>138</v>
      </c>
      <c r="F875">
        <v>1</v>
      </c>
      <c r="G875" s="128"/>
    </row>
    <row r="876" spans="1:7" x14ac:dyDescent="0.25">
      <c r="A876" s="174">
        <v>3106</v>
      </c>
      <c r="B876" s="174">
        <v>7</v>
      </c>
      <c r="C876" t="s">
        <v>1833</v>
      </c>
      <c r="D876" s="795">
        <v>37354</v>
      </c>
      <c r="E876" t="s">
        <v>74</v>
      </c>
      <c r="F876">
        <v>1</v>
      </c>
      <c r="G876" s="128"/>
    </row>
    <row r="877" spans="1:7" x14ac:dyDescent="0.25">
      <c r="A877" s="174">
        <v>3425</v>
      </c>
      <c r="B877" s="174">
        <v>0</v>
      </c>
      <c r="C877" t="s">
        <v>1834</v>
      </c>
      <c r="D877" s="795">
        <v>36971</v>
      </c>
      <c r="E877" t="s">
        <v>1218</v>
      </c>
      <c r="F877">
        <v>1</v>
      </c>
      <c r="G877" s="128"/>
    </row>
    <row r="878" spans="1:7" x14ac:dyDescent="0.25">
      <c r="A878" s="174">
        <v>1493</v>
      </c>
      <c r="B878" s="174">
        <v>129</v>
      </c>
      <c r="C878" t="s">
        <v>528</v>
      </c>
      <c r="D878" s="795">
        <v>36922</v>
      </c>
      <c r="E878" t="s">
        <v>105</v>
      </c>
      <c r="F878">
        <v>1</v>
      </c>
      <c r="G878" s="128"/>
    </row>
    <row r="879" spans="1:7" x14ac:dyDescent="0.25">
      <c r="A879" s="174">
        <v>1804</v>
      </c>
      <c r="B879" s="174">
        <v>83</v>
      </c>
      <c r="C879" t="s">
        <v>281</v>
      </c>
      <c r="D879" s="795">
        <v>37090</v>
      </c>
      <c r="E879" t="s">
        <v>113</v>
      </c>
      <c r="F879">
        <v>1</v>
      </c>
      <c r="G879" s="128"/>
    </row>
    <row r="880" spans="1:7" x14ac:dyDescent="0.25">
      <c r="A880" s="174">
        <v>2294</v>
      </c>
      <c r="B880" s="174">
        <v>43</v>
      </c>
      <c r="C880" t="s">
        <v>684</v>
      </c>
      <c r="D880" s="795">
        <v>37158</v>
      </c>
      <c r="E880" t="s">
        <v>685</v>
      </c>
      <c r="F880">
        <v>1</v>
      </c>
      <c r="G880" s="128"/>
    </row>
    <row r="881" spans="1:7" x14ac:dyDescent="0.25">
      <c r="A881" s="174">
        <v>2696</v>
      </c>
      <c r="B881" s="174">
        <v>23</v>
      </c>
      <c r="C881" t="s">
        <v>2461</v>
      </c>
      <c r="D881" s="795">
        <v>36662</v>
      </c>
      <c r="E881" t="s">
        <v>1836</v>
      </c>
      <c r="F881">
        <v>1</v>
      </c>
      <c r="G881" s="128"/>
    </row>
    <row r="882" spans="1:7" x14ac:dyDescent="0.25">
      <c r="A882" s="174">
        <v>3110</v>
      </c>
      <c r="B882" s="174">
        <v>7</v>
      </c>
      <c r="C882" t="s">
        <v>1838</v>
      </c>
      <c r="D882" s="795">
        <v>36978</v>
      </c>
      <c r="E882" t="s">
        <v>1330</v>
      </c>
      <c r="F882">
        <v>1</v>
      </c>
      <c r="G882" s="128"/>
    </row>
    <row r="883" spans="1:7" x14ac:dyDescent="0.25">
      <c r="A883" s="174">
        <v>2139</v>
      </c>
      <c r="B883" s="174">
        <v>51</v>
      </c>
      <c r="C883" t="s">
        <v>686</v>
      </c>
      <c r="D883" s="795">
        <v>37265</v>
      </c>
      <c r="E883" t="s">
        <v>105</v>
      </c>
      <c r="F883">
        <v>1</v>
      </c>
      <c r="G883" s="128"/>
    </row>
    <row r="884" spans="1:7" x14ac:dyDescent="0.25">
      <c r="A884" s="174">
        <v>2458</v>
      </c>
      <c r="B884" s="174">
        <v>33</v>
      </c>
      <c r="C884" t="s">
        <v>530</v>
      </c>
      <c r="D884" s="795">
        <v>36526</v>
      </c>
      <c r="E884" t="s">
        <v>122</v>
      </c>
      <c r="F884">
        <v>1</v>
      </c>
      <c r="G884" s="128"/>
    </row>
    <row r="885" spans="1:7" x14ac:dyDescent="0.25">
      <c r="A885" s="174">
        <v>2812</v>
      </c>
      <c r="B885" s="174">
        <v>18</v>
      </c>
      <c r="C885" t="s">
        <v>687</v>
      </c>
      <c r="D885" s="795">
        <v>36815</v>
      </c>
      <c r="E885" t="s">
        <v>120</v>
      </c>
      <c r="F885">
        <v>1</v>
      </c>
      <c r="G885" s="128"/>
    </row>
    <row r="886" spans="1:7" x14ac:dyDescent="0.25">
      <c r="A886" s="174">
        <v>3341</v>
      </c>
      <c r="B886" s="174">
        <v>1</v>
      </c>
      <c r="C886" t="s">
        <v>1839</v>
      </c>
      <c r="D886" s="795">
        <v>36571</v>
      </c>
      <c r="E886" t="s">
        <v>1270</v>
      </c>
      <c r="F886">
        <v>1</v>
      </c>
      <c r="G886" s="128"/>
    </row>
    <row r="887" spans="1:7" x14ac:dyDescent="0.25">
      <c r="A887" s="174">
        <v>2901</v>
      </c>
      <c r="B887" s="174">
        <v>14</v>
      </c>
      <c r="C887" t="s">
        <v>2541</v>
      </c>
      <c r="D887" s="795">
        <v>37452</v>
      </c>
      <c r="E887" t="s">
        <v>111</v>
      </c>
      <c r="F887">
        <v>1</v>
      </c>
      <c r="G887" s="128"/>
    </row>
    <row r="888" spans="1:7" x14ac:dyDescent="0.25">
      <c r="A888" s="174">
        <v>3884</v>
      </c>
      <c r="B888" s="174">
        <v>0</v>
      </c>
      <c r="C888" t="s">
        <v>1840</v>
      </c>
      <c r="D888" s="795">
        <v>37139</v>
      </c>
      <c r="E888" t="s">
        <v>1121</v>
      </c>
      <c r="F888">
        <v>1</v>
      </c>
      <c r="G888" s="128"/>
    </row>
    <row r="889" spans="1:7" x14ac:dyDescent="0.25">
      <c r="A889" s="174">
        <v>2927</v>
      </c>
      <c r="B889" s="174">
        <v>13</v>
      </c>
      <c r="C889" t="s">
        <v>1841</v>
      </c>
      <c r="D889" s="795">
        <v>36685</v>
      </c>
      <c r="E889" t="s">
        <v>120</v>
      </c>
      <c r="F889">
        <v>1</v>
      </c>
      <c r="G889" s="128"/>
    </row>
    <row r="890" spans="1:7" x14ac:dyDescent="0.25">
      <c r="A890" s="174">
        <v>3241</v>
      </c>
      <c r="B890" s="174">
        <v>4</v>
      </c>
      <c r="C890" t="s">
        <v>1841</v>
      </c>
      <c r="D890" s="795">
        <v>36685</v>
      </c>
      <c r="E890" t="s">
        <v>120</v>
      </c>
      <c r="F890">
        <v>1</v>
      </c>
      <c r="G890" s="128"/>
    </row>
    <row r="891" spans="1:7" x14ac:dyDescent="0.25">
      <c r="A891" s="174">
        <v>2527</v>
      </c>
      <c r="B891" s="174">
        <v>31</v>
      </c>
      <c r="C891" t="s">
        <v>1842</v>
      </c>
      <c r="D891" s="795">
        <v>37013</v>
      </c>
      <c r="E891" t="s">
        <v>1419</v>
      </c>
      <c r="F891">
        <v>1</v>
      </c>
      <c r="G891" s="128"/>
    </row>
    <row r="892" spans="1:7" x14ac:dyDescent="0.25">
      <c r="A892" s="174">
        <v>3498</v>
      </c>
      <c r="B892" s="174">
        <v>0</v>
      </c>
      <c r="C892" t="s">
        <v>2542</v>
      </c>
      <c r="D892" s="795">
        <v>38336</v>
      </c>
      <c r="E892" t="s">
        <v>120</v>
      </c>
      <c r="F892">
        <v>1</v>
      </c>
      <c r="G892" s="128"/>
    </row>
    <row r="893" spans="1:7" x14ac:dyDescent="0.25">
      <c r="A893" s="174">
        <v>2752</v>
      </c>
      <c r="B893" s="174">
        <v>20</v>
      </c>
      <c r="C893" t="s">
        <v>286</v>
      </c>
      <c r="D893" s="795">
        <v>37192</v>
      </c>
      <c r="E893" t="s">
        <v>1111</v>
      </c>
      <c r="F893">
        <v>1</v>
      </c>
      <c r="G893" s="128"/>
    </row>
    <row r="894" spans="1:7" x14ac:dyDescent="0.25">
      <c r="A894" s="174">
        <v>1450</v>
      </c>
      <c r="B894" s="174">
        <v>135</v>
      </c>
      <c r="C894" t="s">
        <v>531</v>
      </c>
      <c r="D894" s="795">
        <v>36945</v>
      </c>
      <c r="E894" t="s">
        <v>72</v>
      </c>
      <c r="F894">
        <v>1</v>
      </c>
      <c r="G894" s="128"/>
    </row>
    <row r="895" spans="1:7" x14ac:dyDescent="0.25">
      <c r="A895" s="174">
        <v>2406</v>
      </c>
      <c r="B895" s="174">
        <v>37</v>
      </c>
      <c r="C895" t="s">
        <v>1848</v>
      </c>
      <c r="D895" s="795">
        <v>36535</v>
      </c>
      <c r="E895" t="s">
        <v>1121</v>
      </c>
      <c r="F895">
        <v>1</v>
      </c>
      <c r="G895" s="128"/>
    </row>
    <row r="896" spans="1:7" x14ac:dyDescent="0.25">
      <c r="A896" s="174">
        <v>2371</v>
      </c>
      <c r="B896" s="174">
        <v>38</v>
      </c>
      <c r="C896" t="s">
        <v>532</v>
      </c>
      <c r="D896" s="795">
        <v>36660</v>
      </c>
      <c r="E896" t="s">
        <v>73</v>
      </c>
      <c r="F896">
        <v>1</v>
      </c>
      <c r="G896" s="128"/>
    </row>
    <row r="897" spans="1:7" x14ac:dyDescent="0.25">
      <c r="A897" s="174">
        <v>2589</v>
      </c>
      <c r="B897" s="174">
        <v>28</v>
      </c>
      <c r="C897" t="s">
        <v>1849</v>
      </c>
      <c r="D897" s="795">
        <v>37278</v>
      </c>
      <c r="E897" t="s">
        <v>128</v>
      </c>
      <c r="F897">
        <v>1</v>
      </c>
      <c r="G897" s="128"/>
    </row>
    <row r="898" spans="1:7" x14ac:dyDescent="0.25">
      <c r="A898" s="174">
        <v>2018</v>
      </c>
      <c r="B898" s="174">
        <v>60</v>
      </c>
      <c r="C898" t="s">
        <v>533</v>
      </c>
      <c r="D898" s="795">
        <v>36896</v>
      </c>
      <c r="E898" t="s">
        <v>1193</v>
      </c>
      <c r="F898">
        <v>1</v>
      </c>
      <c r="G898" s="128"/>
    </row>
    <row r="899" spans="1:7" x14ac:dyDescent="0.25">
      <c r="A899" s="174">
        <v>3580</v>
      </c>
      <c r="B899" s="174">
        <v>0</v>
      </c>
      <c r="C899" t="s">
        <v>1850</v>
      </c>
      <c r="D899" s="795">
        <v>36812</v>
      </c>
      <c r="E899" t="s">
        <v>113</v>
      </c>
      <c r="F899">
        <v>1</v>
      </c>
      <c r="G899" s="128"/>
    </row>
    <row r="900" spans="1:7" x14ac:dyDescent="0.25">
      <c r="A900" s="174">
        <v>2787</v>
      </c>
      <c r="B900" s="174">
        <v>19</v>
      </c>
      <c r="C900" t="s">
        <v>2462</v>
      </c>
      <c r="D900" s="795">
        <v>37325</v>
      </c>
      <c r="E900" t="s">
        <v>1150</v>
      </c>
      <c r="F900">
        <v>1</v>
      </c>
      <c r="G900" s="128"/>
    </row>
    <row r="901" spans="1:7" x14ac:dyDescent="0.25">
      <c r="A901" s="174">
        <v>1920</v>
      </c>
      <c r="B901" s="174">
        <v>71</v>
      </c>
      <c r="C901" t="s">
        <v>1852</v>
      </c>
      <c r="D901" s="795">
        <v>36575</v>
      </c>
      <c r="E901" t="s">
        <v>1158</v>
      </c>
      <c r="F901">
        <v>1</v>
      </c>
      <c r="G901" s="128"/>
    </row>
    <row r="902" spans="1:7" x14ac:dyDescent="0.25">
      <c r="A902" s="174">
        <v>2273</v>
      </c>
      <c r="B902" s="174">
        <v>44</v>
      </c>
      <c r="C902" t="s">
        <v>1853</v>
      </c>
      <c r="D902" s="795">
        <v>36885</v>
      </c>
      <c r="E902" t="s">
        <v>103</v>
      </c>
      <c r="F902">
        <v>1</v>
      </c>
      <c r="G902" s="128"/>
    </row>
    <row r="903" spans="1:7" x14ac:dyDescent="0.25">
      <c r="A903" s="174">
        <v>3731</v>
      </c>
      <c r="B903" s="174">
        <v>0</v>
      </c>
      <c r="C903" t="s">
        <v>1854</v>
      </c>
      <c r="D903" s="795">
        <v>37162</v>
      </c>
      <c r="E903" t="s">
        <v>171</v>
      </c>
      <c r="F903">
        <v>1</v>
      </c>
      <c r="G903" s="128"/>
    </row>
    <row r="904" spans="1:7" x14ac:dyDescent="0.25">
      <c r="A904" s="174">
        <v>2665</v>
      </c>
      <c r="B904" s="174">
        <v>24</v>
      </c>
      <c r="C904" t="s">
        <v>1855</v>
      </c>
      <c r="D904" s="795">
        <v>37790</v>
      </c>
      <c r="E904" t="s">
        <v>105</v>
      </c>
      <c r="F904">
        <v>1</v>
      </c>
      <c r="G904" s="128"/>
    </row>
    <row r="905" spans="1:7" x14ac:dyDescent="0.25">
      <c r="A905" s="174">
        <v>2830</v>
      </c>
      <c r="B905" s="174">
        <v>17</v>
      </c>
      <c r="C905" t="s">
        <v>1856</v>
      </c>
      <c r="D905" s="795">
        <v>36935</v>
      </c>
      <c r="E905" t="s">
        <v>1143</v>
      </c>
      <c r="F905">
        <v>1</v>
      </c>
      <c r="G905" s="128"/>
    </row>
    <row r="906" spans="1:7" x14ac:dyDescent="0.25">
      <c r="A906" s="174">
        <v>1665</v>
      </c>
      <c r="B906" s="174">
        <v>99</v>
      </c>
      <c r="C906" t="s">
        <v>288</v>
      </c>
      <c r="D906" s="795">
        <v>36754</v>
      </c>
      <c r="E906" t="s">
        <v>163</v>
      </c>
      <c r="F906">
        <v>1</v>
      </c>
      <c r="G906" s="128"/>
    </row>
    <row r="907" spans="1:7" x14ac:dyDescent="0.25">
      <c r="A907" s="174">
        <v>2540</v>
      </c>
      <c r="B907" s="174">
        <v>30</v>
      </c>
      <c r="C907" t="s">
        <v>1857</v>
      </c>
      <c r="D907" s="795">
        <v>37454</v>
      </c>
      <c r="E907" t="s">
        <v>120</v>
      </c>
      <c r="F907">
        <v>1</v>
      </c>
      <c r="G907" s="128"/>
    </row>
    <row r="908" spans="1:7" x14ac:dyDescent="0.25">
      <c r="A908" s="174">
        <v>2271</v>
      </c>
      <c r="B908" s="174">
        <v>44</v>
      </c>
      <c r="C908" t="s">
        <v>1858</v>
      </c>
      <c r="D908" s="795">
        <v>37690</v>
      </c>
      <c r="E908" t="s">
        <v>105</v>
      </c>
      <c r="F908">
        <v>1</v>
      </c>
      <c r="G908" s="128"/>
    </row>
    <row r="909" spans="1:7" x14ac:dyDescent="0.25">
      <c r="A909" s="174">
        <v>1814</v>
      </c>
      <c r="B909" s="174">
        <v>81</v>
      </c>
      <c r="C909" t="s">
        <v>535</v>
      </c>
      <c r="D909" s="795">
        <v>36749</v>
      </c>
      <c r="E909" t="s">
        <v>113</v>
      </c>
      <c r="F909">
        <v>1</v>
      </c>
      <c r="G909" s="128"/>
    </row>
    <row r="910" spans="1:7" x14ac:dyDescent="0.25">
      <c r="A910" s="174">
        <v>3921</v>
      </c>
      <c r="B910" s="174">
        <v>0</v>
      </c>
      <c r="C910" t="s">
        <v>2543</v>
      </c>
      <c r="D910" s="795">
        <v>37274</v>
      </c>
      <c r="E910" t="s">
        <v>127</v>
      </c>
      <c r="F910">
        <v>1</v>
      </c>
      <c r="G910" s="128"/>
    </row>
    <row r="911" spans="1:7" x14ac:dyDescent="0.25">
      <c r="A911" s="174">
        <v>2525</v>
      </c>
      <c r="B911" s="174">
        <v>31</v>
      </c>
      <c r="C911" t="s">
        <v>2463</v>
      </c>
      <c r="D911" s="795">
        <v>36681</v>
      </c>
      <c r="E911" t="s">
        <v>164</v>
      </c>
      <c r="F911">
        <v>1</v>
      </c>
      <c r="G911" s="128"/>
    </row>
    <row r="912" spans="1:7" x14ac:dyDescent="0.25">
      <c r="A912" s="174">
        <v>2262</v>
      </c>
      <c r="B912" s="174">
        <v>44</v>
      </c>
      <c r="C912" t="s">
        <v>536</v>
      </c>
      <c r="D912" s="795">
        <v>36526</v>
      </c>
      <c r="E912" t="s">
        <v>1859</v>
      </c>
      <c r="F912">
        <v>1</v>
      </c>
      <c r="G912" s="128"/>
    </row>
    <row r="913" spans="1:7" x14ac:dyDescent="0.25">
      <c r="A913" s="174">
        <v>2258</v>
      </c>
      <c r="B913" s="174">
        <v>45</v>
      </c>
      <c r="C913" t="s">
        <v>1860</v>
      </c>
      <c r="D913" s="795">
        <v>36812</v>
      </c>
      <c r="E913" t="s">
        <v>176</v>
      </c>
      <c r="F913">
        <v>1</v>
      </c>
      <c r="G913" s="128"/>
    </row>
    <row r="914" spans="1:7" x14ac:dyDescent="0.25">
      <c r="A914" s="174">
        <v>3066</v>
      </c>
      <c r="B914" s="174">
        <v>8</v>
      </c>
      <c r="C914" t="s">
        <v>1861</v>
      </c>
      <c r="D914" s="795">
        <v>36938</v>
      </c>
      <c r="E914" t="s">
        <v>105</v>
      </c>
      <c r="F914">
        <v>1</v>
      </c>
      <c r="G914" s="128"/>
    </row>
    <row r="915" spans="1:7" x14ac:dyDescent="0.25">
      <c r="A915" s="174">
        <v>2478</v>
      </c>
      <c r="B915" s="174">
        <v>33</v>
      </c>
      <c r="C915" t="s">
        <v>1862</v>
      </c>
      <c r="D915" s="795">
        <v>36866</v>
      </c>
      <c r="E915" t="s">
        <v>246</v>
      </c>
      <c r="F915">
        <v>1</v>
      </c>
      <c r="G915" s="128"/>
    </row>
    <row r="916" spans="1:7" x14ac:dyDescent="0.25">
      <c r="A916" s="174">
        <v>2923</v>
      </c>
      <c r="B916" s="174">
        <v>13</v>
      </c>
      <c r="C916" t="s">
        <v>1864</v>
      </c>
      <c r="D916" s="795">
        <v>37306</v>
      </c>
      <c r="E916" t="s">
        <v>105</v>
      </c>
      <c r="F916">
        <v>1</v>
      </c>
      <c r="G916" s="128"/>
    </row>
    <row r="917" spans="1:7" x14ac:dyDescent="0.25">
      <c r="A917" s="174">
        <v>3385</v>
      </c>
      <c r="B917" s="174">
        <v>0</v>
      </c>
      <c r="C917" t="s">
        <v>1865</v>
      </c>
      <c r="D917" s="795">
        <v>38442</v>
      </c>
      <c r="E917" t="s">
        <v>105</v>
      </c>
      <c r="F917">
        <v>1</v>
      </c>
      <c r="G917" s="128"/>
    </row>
    <row r="918" spans="1:7" x14ac:dyDescent="0.25">
      <c r="A918" s="174">
        <v>3375</v>
      </c>
      <c r="B918" s="174">
        <v>1</v>
      </c>
      <c r="C918" t="s">
        <v>1866</v>
      </c>
      <c r="D918" s="795">
        <v>37287</v>
      </c>
      <c r="E918" t="s">
        <v>127</v>
      </c>
      <c r="F918">
        <v>1</v>
      </c>
      <c r="G918" s="128"/>
    </row>
    <row r="919" spans="1:7" x14ac:dyDescent="0.25">
      <c r="A919" s="174">
        <v>3539</v>
      </c>
      <c r="B919" s="174">
        <v>0</v>
      </c>
      <c r="C919" t="s">
        <v>2544</v>
      </c>
      <c r="D919" s="795">
        <v>37622</v>
      </c>
      <c r="E919" t="s">
        <v>1143</v>
      </c>
      <c r="F919">
        <v>1</v>
      </c>
      <c r="G919" s="128"/>
    </row>
    <row r="920" spans="1:7" x14ac:dyDescent="0.25">
      <c r="A920" s="174">
        <v>2967</v>
      </c>
      <c r="B920" s="174">
        <v>11</v>
      </c>
      <c r="C920" t="s">
        <v>1869</v>
      </c>
      <c r="D920" s="795">
        <v>36558</v>
      </c>
      <c r="E920" t="s">
        <v>213</v>
      </c>
      <c r="F920">
        <v>1</v>
      </c>
      <c r="G920" s="128"/>
    </row>
    <row r="921" spans="1:7" x14ac:dyDescent="0.25">
      <c r="A921" s="174">
        <v>3665</v>
      </c>
      <c r="B921" s="174">
        <v>0</v>
      </c>
      <c r="C921" t="s">
        <v>1870</v>
      </c>
      <c r="D921" s="795">
        <v>36645</v>
      </c>
      <c r="E921" t="s">
        <v>120</v>
      </c>
      <c r="F921">
        <v>1</v>
      </c>
      <c r="G921" s="128"/>
    </row>
    <row r="922" spans="1:7" x14ac:dyDescent="0.25">
      <c r="A922" s="174">
        <v>2148</v>
      </c>
      <c r="B922" s="174">
        <v>50</v>
      </c>
      <c r="C922" t="s">
        <v>537</v>
      </c>
      <c r="D922" s="795">
        <v>36915</v>
      </c>
      <c r="E922" t="s">
        <v>105</v>
      </c>
      <c r="F922">
        <v>1</v>
      </c>
      <c r="G922" s="128"/>
    </row>
    <row r="923" spans="1:7" x14ac:dyDescent="0.25">
      <c r="A923" s="174">
        <v>1310</v>
      </c>
      <c r="B923" s="174">
        <v>161</v>
      </c>
      <c r="C923" t="s">
        <v>538</v>
      </c>
      <c r="D923" s="795">
        <v>36976</v>
      </c>
      <c r="E923" t="s">
        <v>1069</v>
      </c>
      <c r="F923">
        <v>1</v>
      </c>
      <c r="G923" s="128"/>
    </row>
    <row r="924" spans="1:7" x14ac:dyDescent="0.25">
      <c r="A924" s="174">
        <v>3626</v>
      </c>
      <c r="B924" s="174">
        <v>0</v>
      </c>
      <c r="C924" t="s">
        <v>2464</v>
      </c>
      <c r="D924" s="795">
        <v>37174</v>
      </c>
      <c r="E924" t="s">
        <v>231</v>
      </c>
      <c r="F924">
        <v>1</v>
      </c>
      <c r="G924" s="128"/>
    </row>
    <row r="925" spans="1:7" x14ac:dyDescent="0.25">
      <c r="A925" s="174">
        <v>2659</v>
      </c>
      <c r="B925" s="174">
        <v>24</v>
      </c>
      <c r="C925" t="s">
        <v>1872</v>
      </c>
      <c r="D925" s="795">
        <v>36767</v>
      </c>
      <c r="E925" t="s">
        <v>1078</v>
      </c>
      <c r="F925">
        <v>1</v>
      </c>
      <c r="G925" s="128"/>
    </row>
    <row r="926" spans="1:7" x14ac:dyDescent="0.25">
      <c r="A926" s="174">
        <v>3934</v>
      </c>
      <c r="B926" s="174">
        <v>0</v>
      </c>
      <c r="C926" t="s">
        <v>1873</v>
      </c>
      <c r="D926" s="795">
        <v>36747</v>
      </c>
      <c r="E926" t="s">
        <v>105</v>
      </c>
      <c r="F926">
        <v>1</v>
      </c>
      <c r="G926" s="128"/>
    </row>
    <row r="927" spans="1:7" x14ac:dyDescent="0.25">
      <c r="A927" s="174">
        <v>2229</v>
      </c>
      <c r="B927" s="174">
        <v>46</v>
      </c>
      <c r="C927" t="s">
        <v>1874</v>
      </c>
      <c r="D927" s="795">
        <v>36705</v>
      </c>
      <c r="E927" t="s">
        <v>1875</v>
      </c>
      <c r="F927">
        <v>1</v>
      </c>
      <c r="G927" s="128"/>
    </row>
    <row r="928" spans="1:7" x14ac:dyDescent="0.25">
      <c r="A928" s="174">
        <v>2929</v>
      </c>
      <c r="B928" s="174">
        <v>13</v>
      </c>
      <c r="C928" t="s">
        <v>1876</v>
      </c>
      <c r="D928" s="795">
        <v>36556</v>
      </c>
      <c r="E928" t="s">
        <v>138</v>
      </c>
      <c r="F928">
        <v>1</v>
      </c>
      <c r="G928" s="128"/>
    </row>
    <row r="929" spans="1:7" x14ac:dyDescent="0.25">
      <c r="A929" s="174">
        <v>3429</v>
      </c>
      <c r="B929" s="174">
        <v>0</v>
      </c>
      <c r="C929" t="s">
        <v>1877</v>
      </c>
      <c r="D929" s="795">
        <v>37510</v>
      </c>
      <c r="E929" t="s">
        <v>1143</v>
      </c>
      <c r="F929">
        <v>1</v>
      </c>
      <c r="G929" s="128"/>
    </row>
    <row r="930" spans="1:7" x14ac:dyDescent="0.25">
      <c r="A930" s="174">
        <v>1926</v>
      </c>
      <c r="B930" s="174">
        <v>70</v>
      </c>
      <c r="C930" t="s">
        <v>688</v>
      </c>
      <c r="D930" s="795">
        <v>36778</v>
      </c>
      <c r="E930" t="s">
        <v>105</v>
      </c>
      <c r="F930">
        <v>1</v>
      </c>
      <c r="G930" s="128"/>
    </row>
    <row r="931" spans="1:7" x14ac:dyDescent="0.25">
      <c r="A931" s="174">
        <v>3252</v>
      </c>
      <c r="B931" s="174">
        <v>3</v>
      </c>
      <c r="C931" t="s">
        <v>1878</v>
      </c>
      <c r="D931" s="795">
        <v>37193</v>
      </c>
      <c r="E931" t="s">
        <v>105</v>
      </c>
      <c r="F931">
        <v>1</v>
      </c>
      <c r="G931" s="128"/>
    </row>
    <row r="932" spans="1:7" x14ac:dyDescent="0.25">
      <c r="A932" s="174">
        <v>3578</v>
      </c>
      <c r="B932" s="174">
        <v>0</v>
      </c>
      <c r="C932" t="s">
        <v>1879</v>
      </c>
      <c r="D932" s="795">
        <v>37082</v>
      </c>
      <c r="E932" t="s">
        <v>72</v>
      </c>
      <c r="F932">
        <v>1</v>
      </c>
      <c r="G932" s="128"/>
    </row>
    <row r="933" spans="1:7" x14ac:dyDescent="0.25">
      <c r="A933" s="174">
        <v>1251</v>
      </c>
      <c r="B933" s="174">
        <v>174</v>
      </c>
      <c r="C933" t="s">
        <v>1881</v>
      </c>
      <c r="D933" s="795">
        <v>36930</v>
      </c>
      <c r="E933" t="s">
        <v>1107</v>
      </c>
      <c r="F933">
        <v>1</v>
      </c>
      <c r="G933" s="128"/>
    </row>
    <row r="934" spans="1:7" x14ac:dyDescent="0.25">
      <c r="A934" s="174">
        <v>2502</v>
      </c>
      <c r="B934" s="174">
        <v>32</v>
      </c>
      <c r="C934" t="s">
        <v>810</v>
      </c>
      <c r="D934" s="795">
        <v>36839</v>
      </c>
      <c r="E934" t="s">
        <v>1875</v>
      </c>
      <c r="F934">
        <v>1</v>
      </c>
      <c r="G934" s="128"/>
    </row>
    <row r="935" spans="1:7" x14ac:dyDescent="0.25">
      <c r="A935" s="174">
        <v>3878</v>
      </c>
      <c r="B935" s="174">
        <v>0</v>
      </c>
      <c r="C935" t="s">
        <v>2465</v>
      </c>
      <c r="D935" s="795">
        <v>37386</v>
      </c>
      <c r="E935" t="s">
        <v>165</v>
      </c>
      <c r="F935">
        <v>1</v>
      </c>
      <c r="G935" s="128"/>
    </row>
    <row r="936" spans="1:7" x14ac:dyDescent="0.25">
      <c r="A936" s="174">
        <v>3308</v>
      </c>
      <c r="B936" s="174">
        <v>2</v>
      </c>
      <c r="C936" t="s">
        <v>1883</v>
      </c>
      <c r="D936" s="795">
        <v>36725</v>
      </c>
      <c r="E936" t="s">
        <v>1107</v>
      </c>
      <c r="F936">
        <v>1</v>
      </c>
      <c r="G936" s="128"/>
    </row>
    <row r="937" spans="1:7" x14ac:dyDescent="0.25">
      <c r="A937" s="174">
        <v>2541</v>
      </c>
      <c r="B937" s="174">
        <v>30</v>
      </c>
      <c r="C937" t="s">
        <v>689</v>
      </c>
      <c r="D937" s="795">
        <v>36651</v>
      </c>
      <c r="E937" t="s">
        <v>120</v>
      </c>
      <c r="F937">
        <v>1</v>
      </c>
      <c r="G937" s="128"/>
    </row>
    <row r="938" spans="1:7" x14ac:dyDescent="0.25">
      <c r="A938" s="174">
        <v>2501</v>
      </c>
      <c r="B938" s="174">
        <v>32</v>
      </c>
      <c r="C938" t="s">
        <v>1884</v>
      </c>
      <c r="D938" s="795">
        <v>36684</v>
      </c>
      <c r="E938" t="s">
        <v>180</v>
      </c>
      <c r="F938">
        <v>1</v>
      </c>
      <c r="G938" s="128"/>
    </row>
    <row r="939" spans="1:7" x14ac:dyDescent="0.25">
      <c r="A939" s="174">
        <v>2797</v>
      </c>
      <c r="B939" s="174">
        <v>19</v>
      </c>
      <c r="C939" t="s">
        <v>1887</v>
      </c>
      <c r="D939" s="795">
        <v>37215</v>
      </c>
      <c r="E939" t="s">
        <v>115</v>
      </c>
      <c r="F939">
        <v>1</v>
      </c>
      <c r="G939" s="128"/>
    </row>
    <row r="940" spans="1:7" x14ac:dyDescent="0.25">
      <c r="A940" s="174">
        <v>2681</v>
      </c>
      <c r="B940" s="174">
        <v>23</v>
      </c>
      <c r="C940" t="s">
        <v>541</v>
      </c>
      <c r="D940" s="795">
        <v>37252</v>
      </c>
      <c r="E940" t="s">
        <v>105</v>
      </c>
      <c r="F940">
        <v>1</v>
      </c>
      <c r="G940" s="128"/>
    </row>
    <row r="941" spans="1:7" x14ac:dyDescent="0.25">
      <c r="A941" s="174">
        <v>1749</v>
      </c>
      <c r="B941" s="174">
        <v>87</v>
      </c>
      <c r="C941" t="s">
        <v>403</v>
      </c>
      <c r="D941" s="795">
        <v>37445</v>
      </c>
      <c r="E941" t="s">
        <v>128</v>
      </c>
      <c r="F941">
        <v>1</v>
      </c>
      <c r="G941" s="128"/>
    </row>
    <row r="942" spans="1:7" x14ac:dyDescent="0.25">
      <c r="A942" s="174">
        <v>1861</v>
      </c>
      <c r="B942" s="174">
        <v>75</v>
      </c>
      <c r="C942" t="s">
        <v>1891</v>
      </c>
      <c r="D942" s="795">
        <v>37452</v>
      </c>
      <c r="E942" t="s">
        <v>1078</v>
      </c>
      <c r="F942">
        <v>1</v>
      </c>
      <c r="G942" s="128"/>
    </row>
    <row r="943" spans="1:7" x14ac:dyDescent="0.25">
      <c r="A943" s="174">
        <v>2823</v>
      </c>
      <c r="B943" s="174">
        <v>17</v>
      </c>
      <c r="C943" t="s">
        <v>2545</v>
      </c>
      <c r="D943" s="795">
        <v>37200</v>
      </c>
      <c r="E943" t="s">
        <v>80</v>
      </c>
      <c r="F943">
        <v>1</v>
      </c>
      <c r="G943" s="128"/>
    </row>
    <row r="944" spans="1:7" x14ac:dyDescent="0.25">
      <c r="A944" s="174">
        <v>2324</v>
      </c>
      <c r="B944" s="174">
        <v>41</v>
      </c>
      <c r="C944" t="s">
        <v>811</v>
      </c>
      <c r="D944" s="795">
        <v>36526</v>
      </c>
      <c r="E944" t="s">
        <v>164</v>
      </c>
      <c r="F944">
        <v>1</v>
      </c>
      <c r="G944" s="128"/>
    </row>
    <row r="945" spans="1:7" x14ac:dyDescent="0.25">
      <c r="A945" s="174">
        <v>2521</v>
      </c>
      <c r="B945" s="174">
        <v>31</v>
      </c>
      <c r="C945" t="s">
        <v>2466</v>
      </c>
      <c r="D945" s="795">
        <v>37221</v>
      </c>
      <c r="E945" t="s">
        <v>114</v>
      </c>
      <c r="F945">
        <v>1</v>
      </c>
      <c r="G945" s="128"/>
    </row>
    <row r="946" spans="1:7" x14ac:dyDescent="0.25">
      <c r="A946" s="174">
        <v>2980</v>
      </c>
      <c r="B946" s="174">
        <v>11</v>
      </c>
      <c r="C946" t="s">
        <v>1893</v>
      </c>
      <c r="D946" s="795">
        <v>36959</v>
      </c>
      <c r="E946" t="s">
        <v>1143</v>
      </c>
      <c r="F946">
        <v>1</v>
      </c>
      <c r="G946" s="128"/>
    </row>
    <row r="947" spans="1:7" x14ac:dyDescent="0.25">
      <c r="A947" s="174">
        <v>1639</v>
      </c>
      <c r="B947" s="174">
        <v>102</v>
      </c>
      <c r="C947" t="s">
        <v>812</v>
      </c>
      <c r="D947" s="795">
        <v>36770</v>
      </c>
      <c r="E947" t="s">
        <v>1237</v>
      </c>
      <c r="F947">
        <v>1</v>
      </c>
      <c r="G947" s="128"/>
    </row>
    <row r="948" spans="1:7" x14ac:dyDescent="0.25">
      <c r="A948" s="174">
        <v>2881</v>
      </c>
      <c r="B948" s="174">
        <v>15</v>
      </c>
      <c r="C948" t="s">
        <v>2546</v>
      </c>
      <c r="D948" s="795">
        <v>37294</v>
      </c>
      <c r="E948" t="s">
        <v>109</v>
      </c>
      <c r="F948">
        <v>1</v>
      </c>
      <c r="G948" s="128"/>
    </row>
    <row r="949" spans="1:7" x14ac:dyDescent="0.25">
      <c r="A949" s="174">
        <v>3347</v>
      </c>
      <c r="B949" s="174">
        <v>1</v>
      </c>
      <c r="C949" t="s">
        <v>1894</v>
      </c>
      <c r="D949" s="795">
        <v>36992</v>
      </c>
      <c r="E949" t="s">
        <v>1121</v>
      </c>
      <c r="F949">
        <v>1</v>
      </c>
      <c r="G949" s="128"/>
    </row>
    <row r="950" spans="1:7" x14ac:dyDescent="0.25">
      <c r="A950" s="174">
        <v>2151</v>
      </c>
      <c r="B950" s="174">
        <v>50</v>
      </c>
      <c r="C950" t="s">
        <v>1895</v>
      </c>
      <c r="D950" s="795">
        <v>36908</v>
      </c>
      <c r="E950" t="s">
        <v>176</v>
      </c>
      <c r="F950">
        <v>1</v>
      </c>
      <c r="G950" s="128"/>
    </row>
    <row r="951" spans="1:7" x14ac:dyDescent="0.25">
      <c r="A951" s="174">
        <v>3839</v>
      </c>
      <c r="B951" s="174">
        <v>0</v>
      </c>
      <c r="C951" t="s">
        <v>1896</v>
      </c>
      <c r="D951" s="795">
        <v>37865</v>
      </c>
      <c r="E951" t="s">
        <v>120</v>
      </c>
      <c r="F951">
        <v>1</v>
      </c>
      <c r="G951" s="128"/>
    </row>
    <row r="952" spans="1:7" x14ac:dyDescent="0.25">
      <c r="A952" s="174">
        <v>1656</v>
      </c>
      <c r="B952" s="174">
        <v>100</v>
      </c>
      <c r="C952" t="s">
        <v>542</v>
      </c>
      <c r="D952" s="795">
        <v>36678</v>
      </c>
      <c r="E952" t="s">
        <v>103</v>
      </c>
      <c r="F952">
        <v>1</v>
      </c>
      <c r="G952" s="128"/>
    </row>
    <row r="953" spans="1:7" x14ac:dyDescent="0.25">
      <c r="A953" s="174">
        <v>2839</v>
      </c>
      <c r="B953" s="174">
        <v>16</v>
      </c>
      <c r="C953" t="s">
        <v>1897</v>
      </c>
      <c r="D953" s="795">
        <v>37063</v>
      </c>
      <c r="E953" t="s">
        <v>120</v>
      </c>
      <c r="F953">
        <v>1</v>
      </c>
      <c r="G953" s="128"/>
    </row>
    <row r="954" spans="1:7" x14ac:dyDescent="0.25">
      <c r="A954" s="174">
        <v>2509</v>
      </c>
      <c r="B954" s="174">
        <v>32</v>
      </c>
      <c r="C954" t="s">
        <v>1899</v>
      </c>
      <c r="D954" s="795">
        <v>36993</v>
      </c>
      <c r="E954" t="s">
        <v>1367</v>
      </c>
      <c r="F954">
        <v>1</v>
      </c>
      <c r="G954" s="128"/>
    </row>
    <row r="955" spans="1:7" x14ac:dyDescent="0.25">
      <c r="A955" s="174">
        <v>3708</v>
      </c>
      <c r="B955" s="174">
        <v>0</v>
      </c>
      <c r="C955" t="s">
        <v>1900</v>
      </c>
      <c r="D955" s="795">
        <v>37356</v>
      </c>
      <c r="E955" t="s">
        <v>1163</v>
      </c>
      <c r="F955">
        <v>1</v>
      </c>
      <c r="G955" s="128"/>
    </row>
    <row r="956" spans="1:7" x14ac:dyDescent="0.25">
      <c r="A956" s="174">
        <v>2454</v>
      </c>
      <c r="B956" s="174">
        <v>34</v>
      </c>
      <c r="C956" t="s">
        <v>1901</v>
      </c>
      <c r="D956" s="795">
        <v>36955</v>
      </c>
      <c r="E956" t="s">
        <v>138</v>
      </c>
      <c r="F956">
        <v>1</v>
      </c>
      <c r="G956" s="128"/>
    </row>
    <row r="957" spans="1:7" x14ac:dyDescent="0.25">
      <c r="A957" s="174">
        <v>2417</v>
      </c>
      <c r="B957" s="174">
        <v>36</v>
      </c>
      <c r="C957" t="s">
        <v>1903</v>
      </c>
      <c r="D957" s="795">
        <v>36777</v>
      </c>
      <c r="E957" t="s">
        <v>614</v>
      </c>
      <c r="F957">
        <v>1</v>
      </c>
      <c r="G957" s="128"/>
    </row>
    <row r="958" spans="1:7" x14ac:dyDescent="0.25">
      <c r="A958" s="174">
        <v>3506</v>
      </c>
      <c r="B958" s="174">
        <v>0</v>
      </c>
      <c r="C958" t="s">
        <v>2547</v>
      </c>
      <c r="D958" s="795">
        <v>37575</v>
      </c>
      <c r="E958" t="s">
        <v>469</v>
      </c>
      <c r="F958">
        <v>1</v>
      </c>
      <c r="G958" s="128"/>
    </row>
    <row r="959" spans="1:7" x14ac:dyDescent="0.25">
      <c r="A959" s="174">
        <v>3690</v>
      </c>
      <c r="B959" s="174">
        <v>0</v>
      </c>
      <c r="C959" t="s">
        <v>1904</v>
      </c>
      <c r="D959" s="795">
        <v>36894</v>
      </c>
      <c r="E959" t="s">
        <v>110</v>
      </c>
      <c r="F959">
        <v>1</v>
      </c>
      <c r="G959" s="128"/>
    </row>
    <row r="960" spans="1:7" x14ac:dyDescent="0.25">
      <c r="A960" s="174">
        <v>3121</v>
      </c>
      <c r="B960" s="174">
        <v>6</v>
      </c>
      <c r="C960" t="s">
        <v>292</v>
      </c>
      <c r="D960" s="795">
        <v>36768</v>
      </c>
      <c r="E960" t="s">
        <v>105</v>
      </c>
      <c r="F960">
        <v>1</v>
      </c>
      <c r="G960" s="128"/>
    </row>
    <row r="961" spans="1:7" x14ac:dyDescent="0.25">
      <c r="A961" s="174">
        <v>1281</v>
      </c>
      <c r="B961" s="174">
        <v>168</v>
      </c>
      <c r="C961" t="s">
        <v>293</v>
      </c>
      <c r="D961" s="795">
        <v>36655</v>
      </c>
      <c r="E961" t="s">
        <v>105</v>
      </c>
      <c r="F961">
        <v>1</v>
      </c>
      <c r="G961" s="128"/>
    </row>
    <row r="962" spans="1:7" x14ac:dyDescent="0.25">
      <c r="A962" s="174">
        <v>2639</v>
      </c>
      <c r="B962" s="174">
        <v>25</v>
      </c>
      <c r="C962" t="s">
        <v>1905</v>
      </c>
      <c r="D962" s="795">
        <v>36580</v>
      </c>
      <c r="E962" t="s">
        <v>1354</v>
      </c>
      <c r="F962">
        <v>1</v>
      </c>
      <c r="G962" s="128"/>
    </row>
    <row r="963" spans="1:7" x14ac:dyDescent="0.25">
      <c r="A963" s="174">
        <v>2171</v>
      </c>
      <c r="B963" s="174">
        <v>49</v>
      </c>
      <c r="C963" t="s">
        <v>543</v>
      </c>
      <c r="D963" s="795">
        <v>36892</v>
      </c>
      <c r="E963" t="s">
        <v>105</v>
      </c>
      <c r="F963">
        <v>1</v>
      </c>
      <c r="G963" s="128"/>
    </row>
    <row r="964" spans="1:7" x14ac:dyDescent="0.25">
      <c r="A964" s="174">
        <v>3249</v>
      </c>
      <c r="B964" s="174">
        <v>3</v>
      </c>
      <c r="C964" t="s">
        <v>294</v>
      </c>
      <c r="D964" s="795">
        <v>36727</v>
      </c>
      <c r="E964" t="s">
        <v>120</v>
      </c>
      <c r="F964">
        <v>1</v>
      </c>
      <c r="G964" s="128"/>
    </row>
    <row r="965" spans="1:7" x14ac:dyDescent="0.25">
      <c r="A965" s="174">
        <v>3244</v>
      </c>
      <c r="B965" s="174">
        <v>4</v>
      </c>
      <c r="C965" t="s">
        <v>1906</v>
      </c>
      <c r="D965" s="795">
        <v>37278</v>
      </c>
      <c r="E965" t="s">
        <v>208</v>
      </c>
      <c r="F965">
        <v>1</v>
      </c>
      <c r="G965" s="128"/>
    </row>
    <row r="966" spans="1:7" x14ac:dyDescent="0.25">
      <c r="A966" s="174">
        <v>2311</v>
      </c>
      <c r="B966" s="174">
        <v>42</v>
      </c>
      <c r="C966" t="s">
        <v>690</v>
      </c>
      <c r="D966" s="795">
        <v>36995</v>
      </c>
      <c r="E966" t="s">
        <v>120</v>
      </c>
      <c r="F966">
        <v>1</v>
      </c>
      <c r="G966" s="128"/>
    </row>
    <row r="967" spans="1:7" x14ac:dyDescent="0.25">
      <c r="A967" s="174">
        <v>2646</v>
      </c>
      <c r="B967" s="174">
        <v>25</v>
      </c>
      <c r="C967" t="s">
        <v>1907</v>
      </c>
      <c r="D967" s="795">
        <v>36581</v>
      </c>
      <c r="E967" t="s">
        <v>1083</v>
      </c>
      <c r="F967">
        <v>1</v>
      </c>
      <c r="G967" s="128"/>
    </row>
    <row r="968" spans="1:7" x14ac:dyDescent="0.25">
      <c r="A968" s="174">
        <v>3392</v>
      </c>
      <c r="B968" s="174">
        <v>0</v>
      </c>
      <c r="C968" t="s">
        <v>1908</v>
      </c>
      <c r="D968" s="795">
        <v>37475</v>
      </c>
      <c r="E968" t="s">
        <v>122</v>
      </c>
      <c r="F968">
        <v>1</v>
      </c>
      <c r="G968" s="128"/>
    </row>
    <row r="969" spans="1:7" x14ac:dyDescent="0.25">
      <c r="A969" s="174">
        <v>3168</v>
      </c>
      <c r="B969" s="174">
        <v>5</v>
      </c>
      <c r="C969" t="s">
        <v>1910</v>
      </c>
      <c r="D969" s="795">
        <v>37257</v>
      </c>
      <c r="E969" t="s">
        <v>104</v>
      </c>
      <c r="F969">
        <v>1</v>
      </c>
      <c r="G969" s="128"/>
    </row>
    <row r="970" spans="1:7" x14ac:dyDescent="0.25">
      <c r="A970" s="174">
        <v>2488</v>
      </c>
      <c r="B970" s="174">
        <v>32</v>
      </c>
      <c r="C970" t="s">
        <v>544</v>
      </c>
      <c r="D970" s="795">
        <v>36526</v>
      </c>
      <c r="E970" t="s">
        <v>122</v>
      </c>
      <c r="F970">
        <v>1</v>
      </c>
      <c r="G970" s="128"/>
    </row>
    <row r="971" spans="1:7" x14ac:dyDescent="0.25">
      <c r="A971" s="174">
        <v>3888</v>
      </c>
      <c r="B971" s="174">
        <v>0</v>
      </c>
      <c r="C971" t="s">
        <v>1911</v>
      </c>
      <c r="D971" s="795">
        <v>37722</v>
      </c>
      <c r="E971" t="s">
        <v>120</v>
      </c>
      <c r="F971">
        <v>1</v>
      </c>
      <c r="G971" s="128"/>
    </row>
    <row r="972" spans="1:7" x14ac:dyDescent="0.25">
      <c r="A972" s="174">
        <v>3467</v>
      </c>
      <c r="B972" s="174">
        <v>0</v>
      </c>
      <c r="C972" t="s">
        <v>2548</v>
      </c>
      <c r="D972" s="795">
        <v>37903</v>
      </c>
      <c r="E972" t="s">
        <v>109</v>
      </c>
      <c r="F972">
        <v>1</v>
      </c>
      <c r="G972" s="128"/>
    </row>
    <row r="973" spans="1:7" x14ac:dyDescent="0.25">
      <c r="A973" s="174">
        <v>3236</v>
      </c>
      <c r="B973" s="174">
        <v>4</v>
      </c>
      <c r="C973" t="s">
        <v>1912</v>
      </c>
      <c r="D973" s="795">
        <v>36680</v>
      </c>
      <c r="E973" t="s">
        <v>1121</v>
      </c>
      <c r="F973">
        <v>1</v>
      </c>
      <c r="G973" s="128"/>
    </row>
    <row r="974" spans="1:7" x14ac:dyDescent="0.25">
      <c r="A974" s="174">
        <v>3517</v>
      </c>
      <c r="B974" s="174">
        <v>0</v>
      </c>
      <c r="C974" t="s">
        <v>2549</v>
      </c>
      <c r="D974" s="795">
        <v>36787</v>
      </c>
      <c r="E974" t="s">
        <v>74</v>
      </c>
      <c r="F974">
        <v>1</v>
      </c>
      <c r="G974" s="128"/>
    </row>
    <row r="975" spans="1:7" x14ac:dyDescent="0.25">
      <c r="A975" s="174">
        <v>1979</v>
      </c>
      <c r="B975" s="174">
        <v>63</v>
      </c>
      <c r="C975" t="s">
        <v>545</v>
      </c>
      <c r="D975" s="795">
        <v>37015</v>
      </c>
      <c r="E975" t="s">
        <v>112</v>
      </c>
      <c r="F975">
        <v>1</v>
      </c>
      <c r="G975" s="128"/>
    </row>
    <row r="976" spans="1:7" x14ac:dyDescent="0.25">
      <c r="A976" s="174">
        <v>1461</v>
      </c>
      <c r="B976" s="174">
        <v>133</v>
      </c>
      <c r="C976" t="s">
        <v>295</v>
      </c>
      <c r="D976" s="795">
        <v>36573</v>
      </c>
      <c r="E976" t="s">
        <v>105</v>
      </c>
      <c r="F976">
        <v>1</v>
      </c>
      <c r="G976" s="128"/>
    </row>
    <row r="977" spans="1:7" x14ac:dyDescent="0.25">
      <c r="A977" s="174">
        <v>3937</v>
      </c>
      <c r="B977" s="174">
        <v>0</v>
      </c>
      <c r="C977" t="s">
        <v>1913</v>
      </c>
      <c r="D977" s="795">
        <v>37016</v>
      </c>
      <c r="E977" t="s">
        <v>164</v>
      </c>
      <c r="F977">
        <v>1</v>
      </c>
      <c r="G977" s="128"/>
    </row>
    <row r="978" spans="1:7" x14ac:dyDescent="0.25">
      <c r="A978" s="174">
        <v>3751</v>
      </c>
      <c r="B978" s="174">
        <v>0</v>
      </c>
      <c r="C978" t="s">
        <v>1914</v>
      </c>
      <c r="D978" s="795">
        <v>37162</v>
      </c>
      <c r="E978" t="s">
        <v>105</v>
      </c>
      <c r="F978">
        <v>1</v>
      </c>
      <c r="G978" s="128"/>
    </row>
    <row r="979" spans="1:7" x14ac:dyDescent="0.25">
      <c r="A979" s="174">
        <v>2819</v>
      </c>
      <c r="B979" s="174">
        <v>17</v>
      </c>
      <c r="C979" t="s">
        <v>2550</v>
      </c>
      <c r="D979" s="795">
        <v>37846</v>
      </c>
      <c r="E979" t="s">
        <v>73</v>
      </c>
      <c r="F979">
        <v>1</v>
      </c>
      <c r="G979" s="128"/>
    </row>
    <row r="980" spans="1:7" x14ac:dyDescent="0.25">
      <c r="A980" s="174">
        <v>3423</v>
      </c>
      <c r="B980" s="174">
        <v>0</v>
      </c>
      <c r="C980" t="s">
        <v>1915</v>
      </c>
      <c r="D980" s="795">
        <v>37190</v>
      </c>
      <c r="E980" t="s">
        <v>1218</v>
      </c>
      <c r="F980">
        <v>1</v>
      </c>
      <c r="G980" s="128"/>
    </row>
    <row r="981" spans="1:7" x14ac:dyDescent="0.25">
      <c r="A981" s="174">
        <v>3348</v>
      </c>
      <c r="B981" s="174">
        <v>1</v>
      </c>
      <c r="C981" t="s">
        <v>1916</v>
      </c>
      <c r="D981" s="795">
        <v>38280</v>
      </c>
      <c r="E981" t="s">
        <v>105</v>
      </c>
      <c r="F981">
        <v>1</v>
      </c>
      <c r="G981" s="128"/>
    </row>
    <row r="982" spans="1:7" x14ac:dyDescent="0.25">
      <c r="A982" s="174">
        <v>2084</v>
      </c>
      <c r="B982" s="174">
        <v>55</v>
      </c>
      <c r="C982" t="s">
        <v>546</v>
      </c>
      <c r="D982" s="795">
        <v>36555</v>
      </c>
      <c r="E982" t="s">
        <v>139</v>
      </c>
      <c r="F982">
        <v>1</v>
      </c>
      <c r="G982" s="128"/>
    </row>
    <row r="983" spans="1:7" x14ac:dyDescent="0.25">
      <c r="A983" s="174">
        <v>2223</v>
      </c>
      <c r="B983" s="174">
        <v>46</v>
      </c>
      <c r="C983" t="s">
        <v>814</v>
      </c>
      <c r="D983" s="795">
        <v>37125</v>
      </c>
      <c r="E983" t="s">
        <v>105</v>
      </c>
      <c r="F983">
        <v>1</v>
      </c>
      <c r="G983" s="128"/>
    </row>
    <row r="984" spans="1:7" x14ac:dyDescent="0.25">
      <c r="A984" s="174">
        <v>1770</v>
      </c>
      <c r="B984" s="174">
        <v>86</v>
      </c>
      <c r="C984" t="s">
        <v>547</v>
      </c>
      <c r="D984" s="795">
        <v>36784</v>
      </c>
      <c r="E984" t="s">
        <v>103</v>
      </c>
      <c r="F984">
        <v>1</v>
      </c>
      <c r="G984" s="128"/>
    </row>
    <row r="985" spans="1:7" x14ac:dyDescent="0.25">
      <c r="A985" s="174">
        <v>3737</v>
      </c>
      <c r="B985" s="174">
        <v>0</v>
      </c>
      <c r="C985" t="s">
        <v>1917</v>
      </c>
      <c r="D985" s="795">
        <v>37068</v>
      </c>
      <c r="E985" t="s">
        <v>105</v>
      </c>
      <c r="F985">
        <v>1</v>
      </c>
      <c r="G985" s="128"/>
    </row>
    <row r="986" spans="1:7" x14ac:dyDescent="0.25">
      <c r="A986" s="174">
        <v>2768</v>
      </c>
      <c r="B986" s="174">
        <v>20</v>
      </c>
      <c r="C986" t="s">
        <v>816</v>
      </c>
      <c r="D986" s="795">
        <v>36780</v>
      </c>
      <c r="E986" t="s">
        <v>163</v>
      </c>
      <c r="F986">
        <v>1</v>
      </c>
      <c r="G986" s="128"/>
    </row>
    <row r="987" spans="1:7" x14ac:dyDescent="0.25">
      <c r="A987" s="174">
        <v>2811</v>
      </c>
      <c r="B987" s="174">
        <v>18</v>
      </c>
      <c r="C987" t="s">
        <v>1918</v>
      </c>
      <c r="D987" s="795">
        <v>36685</v>
      </c>
      <c r="E987" t="s">
        <v>119</v>
      </c>
      <c r="F987">
        <v>1</v>
      </c>
      <c r="G987" s="128"/>
    </row>
    <row r="988" spans="1:7" x14ac:dyDescent="0.25">
      <c r="A988" s="174">
        <v>3616</v>
      </c>
      <c r="B988" s="174">
        <v>0</v>
      </c>
      <c r="C988" t="s">
        <v>1919</v>
      </c>
      <c r="D988" s="795">
        <v>36996</v>
      </c>
      <c r="E988" t="s">
        <v>118</v>
      </c>
      <c r="F988">
        <v>1</v>
      </c>
      <c r="G988" s="128"/>
    </row>
    <row r="989" spans="1:7" x14ac:dyDescent="0.25">
      <c r="A989" s="174">
        <v>2542</v>
      </c>
      <c r="B989" s="174">
        <v>30</v>
      </c>
      <c r="C989" t="s">
        <v>691</v>
      </c>
      <c r="D989" s="795">
        <v>36848</v>
      </c>
      <c r="E989" t="s">
        <v>685</v>
      </c>
      <c r="F989">
        <v>1</v>
      </c>
      <c r="G989" s="128"/>
    </row>
    <row r="990" spans="1:7" x14ac:dyDescent="0.25">
      <c r="A990" s="174">
        <v>2978</v>
      </c>
      <c r="B990" s="174">
        <v>11</v>
      </c>
      <c r="C990" t="s">
        <v>1920</v>
      </c>
      <c r="D990" s="795">
        <v>36735</v>
      </c>
      <c r="E990" t="s">
        <v>1107</v>
      </c>
      <c r="F990">
        <v>1</v>
      </c>
      <c r="G990" s="128"/>
    </row>
    <row r="991" spans="1:7" x14ac:dyDescent="0.25">
      <c r="A991" s="174">
        <v>1831</v>
      </c>
      <c r="B991" s="174">
        <v>79</v>
      </c>
      <c r="C991" t="s">
        <v>1921</v>
      </c>
      <c r="D991" s="795">
        <v>36885</v>
      </c>
      <c r="E991" t="s">
        <v>120</v>
      </c>
      <c r="F991">
        <v>1</v>
      </c>
      <c r="G991" s="128"/>
    </row>
    <row r="992" spans="1:7" x14ac:dyDescent="0.25">
      <c r="A992" s="174">
        <v>949</v>
      </c>
      <c r="B992" s="174">
        <v>254</v>
      </c>
      <c r="C992" t="s">
        <v>297</v>
      </c>
      <c r="D992" s="795">
        <v>36838</v>
      </c>
      <c r="E992" t="s">
        <v>103</v>
      </c>
      <c r="F992">
        <v>1</v>
      </c>
      <c r="G992" s="128"/>
    </row>
    <row r="993" spans="1:7" x14ac:dyDescent="0.25">
      <c r="A993" s="174">
        <v>2658</v>
      </c>
      <c r="B993" s="174">
        <v>24</v>
      </c>
      <c r="C993" t="s">
        <v>1922</v>
      </c>
      <c r="D993" s="795">
        <v>36676</v>
      </c>
      <c r="E993" t="s">
        <v>1867</v>
      </c>
      <c r="F993">
        <v>1</v>
      </c>
      <c r="G993" s="128"/>
    </row>
    <row r="994" spans="1:7" x14ac:dyDescent="0.25">
      <c r="A994" s="174">
        <v>2105</v>
      </c>
      <c r="B994" s="174">
        <v>54</v>
      </c>
      <c r="C994" t="s">
        <v>1923</v>
      </c>
      <c r="D994" s="795">
        <v>36555</v>
      </c>
      <c r="E994" t="s">
        <v>1129</v>
      </c>
      <c r="F994">
        <v>1</v>
      </c>
      <c r="G994" s="128"/>
    </row>
    <row r="995" spans="1:7" x14ac:dyDescent="0.25">
      <c r="A995" s="174">
        <v>3468</v>
      </c>
      <c r="B995" s="174">
        <v>0</v>
      </c>
      <c r="C995" t="s">
        <v>2551</v>
      </c>
      <c r="D995" s="795">
        <v>37784</v>
      </c>
      <c r="E995" t="s">
        <v>109</v>
      </c>
      <c r="F995">
        <v>1</v>
      </c>
      <c r="G995" s="128"/>
    </row>
    <row r="996" spans="1:7" x14ac:dyDescent="0.25">
      <c r="A996" s="174">
        <v>3540</v>
      </c>
      <c r="B996" s="174">
        <v>0</v>
      </c>
      <c r="C996" t="s">
        <v>2552</v>
      </c>
      <c r="D996" s="795">
        <v>37727</v>
      </c>
      <c r="E996" t="s">
        <v>251</v>
      </c>
      <c r="F996">
        <v>1</v>
      </c>
      <c r="G996" s="128"/>
    </row>
    <row r="997" spans="1:7" x14ac:dyDescent="0.25">
      <c r="A997" s="174">
        <v>2974</v>
      </c>
      <c r="B997" s="174">
        <v>11</v>
      </c>
      <c r="C997" t="s">
        <v>1926</v>
      </c>
      <c r="D997" s="795">
        <v>37024</v>
      </c>
      <c r="E997" t="s">
        <v>165</v>
      </c>
      <c r="F997">
        <v>1</v>
      </c>
      <c r="G997" s="128"/>
    </row>
    <row r="998" spans="1:7" x14ac:dyDescent="0.25">
      <c r="A998" s="174">
        <v>1794</v>
      </c>
      <c r="B998" s="174">
        <v>84</v>
      </c>
      <c r="C998" t="s">
        <v>1927</v>
      </c>
      <c r="D998" s="795">
        <v>37134</v>
      </c>
      <c r="E998" t="s">
        <v>1928</v>
      </c>
      <c r="F998">
        <v>1</v>
      </c>
      <c r="G998" s="128"/>
    </row>
    <row r="999" spans="1:7" x14ac:dyDescent="0.25">
      <c r="A999" s="174">
        <v>1705</v>
      </c>
      <c r="B999" s="174">
        <v>94</v>
      </c>
      <c r="C999" t="s">
        <v>1929</v>
      </c>
      <c r="D999" s="795">
        <v>37134</v>
      </c>
      <c r="E999" t="s">
        <v>1928</v>
      </c>
      <c r="F999">
        <v>1</v>
      </c>
      <c r="G999" s="128"/>
    </row>
    <row r="1000" spans="1:7" x14ac:dyDescent="0.25">
      <c r="A1000" s="174">
        <v>3006</v>
      </c>
      <c r="B1000" s="174">
        <v>10</v>
      </c>
      <c r="C1000" t="s">
        <v>1930</v>
      </c>
      <c r="D1000" s="795">
        <v>36635</v>
      </c>
      <c r="E1000" t="s">
        <v>1121</v>
      </c>
      <c r="F1000">
        <v>1</v>
      </c>
      <c r="G1000" s="128"/>
    </row>
    <row r="1001" spans="1:7" x14ac:dyDescent="0.25">
      <c r="A1001" s="174">
        <v>2835</v>
      </c>
      <c r="B1001" s="174">
        <v>16</v>
      </c>
      <c r="C1001" t="s">
        <v>298</v>
      </c>
      <c r="D1001" s="795">
        <v>36526</v>
      </c>
      <c r="E1001" t="s">
        <v>105</v>
      </c>
      <c r="F1001">
        <v>1</v>
      </c>
      <c r="G1001" s="128"/>
    </row>
    <row r="1002" spans="1:7" x14ac:dyDescent="0.25">
      <c r="A1002" s="174">
        <v>1869</v>
      </c>
      <c r="B1002" s="174">
        <v>74</v>
      </c>
      <c r="C1002" t="s">
        <v>550</v>
      </c>
      <c r="D1002" s="795">
        <v>36967</v>
      </c>
      <c r="E1002" t="s">
        <v>105</v>
      </c>
      <c r="F1002">
        <v>1</v>
      </c>
      <c r="G1002" s="128"/>
    </row>
    <row r="1003" spans="1:7" x14ac:dyDescent="0.25">
      <c r="A1003" s="174">
        <v>1474</v>
      </c>
      <c r="B1003" s="174">
        <v>132</v>
      </c>
      <c r="C1003" t="s">
        <v>817</v>
      </c>
      <c r="D1003" s="795">
        <v>37315</v>
      </c>
      <c r="E1003" t="s">
        <v>109</v>
      </c>
      <c r="F1003">
        <v>1</v>
      </c>
      <c r="G1003" s="128"/>
    </row>
    <row r="1004" spans="1:7" x14ac:dyDescent="0.25">
      <c r="A1004" s="174">
        <v>2124</v>
      </c>
      <c r="B1004" s="174">
        <v>52</v>
      </c>
      <c r="C1004" t="s">
        <v>551</v>
      </c>
      <c r="D1004" s="795">
        <v>37034</v>
      </c>
      <c r="E1004" t="s">
        <v>72</v>
      </c>
      <c r="F1004">
        <v>1</v>
      </c>
      <c r="G1004" s="128"/>
    </row>
    <row r="1005" spans="1:7" x14ac:dyDescent="0.25">
      <c r="A1005" s="174">
        <v>2875</v>
      </c>
      <c r="B1005" s="174">
        <v>15</v>
      </c>
      <c r="C1005" t="s">
        <v>551</v>
      </c>
      <c r="D1005" s="795">
        <v>37257</v>
      </c>
      <c r="E1005" t="s">
        <v>141</v>
      </c>
      <c r="F1005">
        <v>1</v>
      </c>
      <c r="G1005" s="128"/>
    </row>
    <row r="1006" spans="1:7" x14ac:dyDescent="0.25">
      <c r="A1006" s="174">
        <v>3548</v>
      </c>
      <c r="B1006" s="174">
        <v>0</v>
      </c>
      <c r="C1006" t="s">
        <v>551</v>
      </c>
      <c r="D1006" s="795">
        <v>37735</v>
      </c>
      <c r="E1006" t="s">
        <v>99</v>
      </c>
      <c r="F1006">
        <v>1</v>
      </c>
      <c r="G1006" s="128"/>
    </row>
    <row r="1007" spans="1:7" x14ac:dyDescent="0.25">
      <c r="A1007" s="174">
        <v>2414</v>
      </c>
      <c r="B1007" s="174">
        <v>36</v>
      </c>
      <c r="C1007" t="s">
        <v>301</v>
      </c>
      <c r="D1007" s="795">
        <v>36564</v>
      </c>
      <c r="E1007" t="s">
        <v>170</v>
      </c>
      <c r="F1007">
        <v>1</v>
      </c>
      <c r="G1007" s="128"/>
    </row>
    <row r="1008" spans="1:7" x14ac:dyDescent="0.25">
      <c r="A1008" s="174">
        <v>2536</v>
      </c>
      <c r="B1008" s="174">
        <v>30</v>
      </c>
      <c r="C1008" t="s">
        <v>552</v>
      </c>
      <c r="D1008" s="795">
        <v>37140</v>
      </c>
      <c r="E1008" t="s">
        <v>72</v>
      </c>
      <c r="F1008">
        <v>1</v>
      </c>
      <c r="G1008" s="128"/>
    </row>
    <row r="1009" spans="1:7" x14ac:dyDescent="0.25">
      <c r="A1009" s="174">
        <v>1588</v>
      </c>
      <c r="B1009" s="174">
        <v>112</v>
      </c>
      <c r="C1009" t="s">
        <v>1931</v>
      </c>
      <c r="D1009" s="795">
        <v>36763</v>
      </c>
      <c r="E1009" t="s">
        <v>120</v>
      </c>
      <c r="F1009">
        <v>1</v>
      </c>
      <c r="G1009" s="128"/>
    </row>
    <row r="1010" spans="1:7" x14ac:dyDescent="0.25">
      <c r="A1010" s="174">
        <v>2644</v>
      </c>
      <c r="B1010" s="174">
        <v>25</v>
      </c>
      <c r="C1010" t="s">
        <v>818</v>
      </c>
      <c r="D1010" s="795">
        <v>36665</v>
      </c>
      <c r="E1010" t="s">
        <v>105</v>
      </c>
      <c r="F1010">
        <v>1</v>
      </c>
      <c r="G1010" s="128"/>
    </row>
    <row r="1011" spans="1:7" x14ac:dyDescent="0.25">
      <c r="A1011" s="174">
        <v>2022</v>
      </c>
      <c r="B1011" s="174">
        <v>60</v>
      </c>
      <c r="C1011" t="s">
        <v>819</v>
      </c>
      <c r="D1011" s="795">
        <v>36564</v>
      </c>
      <c r="E1011" t="s">
        <v>1063</v>
      </c>
      <c r="F1011">
        <v>1</v>
      </c>
      <c r="G1011" s="128"/>
    </row>
    <row r="1012" spans="1:7" x14ac:dyDescent="0.25">
      <c r="A1012" s="174">
        <v>1347</v>
      </c>
      <c r="B1012" s="174">
        <v>154</v>
      </c>
      <c r="C1012" t="s">
        <v>692</v>
      </c>
      <c r="D1012" s="795">
        <v>36782</v>
      </c>
      <c r="E1012" t="s">
        <v>74</v>
      </c>
      <c r="F1012">
        <v>1</v>
      </c>
      <c r="G1012" s="128"/>
    </row>
    <row r="1013" spans="1:7" x14ac:dyDescent="0.25">
      <c r="A1013" s="174">
        <v>3043</v>
      </c>
      <c r="B1013" s="174">
        <v>9</v>
      </c>
      <c r="C1013" t="s">
        <v>1933</v>
      </c>
      <c r="D1013" s="795">
        <v>37257</v>
      </c>
      <c r="E1013" t="s">
        <v>74</v>
      </c>
      <c r="F1013">
        <v>1</v>
      </c>
      <c r="G1013" s="128"/>
    </row>
    <row r="1014" spans="1:7" x14ac:dyDescent="0.25">
      <c r="A1014" s="174">
        <v>2844</v>
      </c>
      <c r="B1014" s="174">
        <v>16</v>
      </c>
      <c r="C1014" t="s">
        <v>2553</v>
      </c>
      <c r="D1014" s="795">
        <v>37845</v>
      </c>
      <c r="E1014" t="s">
        <v>73</v>
      </c>
      <c r="F1014">
        <v>1</v>
      </c>
      <c r="G1014" s="128"/>
    </row>
    <row r="1015" spans="1:7" x14ac:dyDescent="0.25">
      <c r="A1015" s="174">
        <v>3765</v>
      </c>
      <c r="B1015" s="174">
        <v>0</v>
      </c>
      <c r="C1015" t="s">
        <v>1934</v>
      </c>
      <c r="D1015" s="795">
        <v>37140</v>
      </c>
      <c r="E1015" t="s">
        <v>120</v>
      </c>
      <c r="F1015">
        <v>1</v>
      </c>
      <c r="G1015" s="128"/>
    </row>
    <row r="1016" spans="1:7" x14ac:dyDescent="0.25">
      <c r="A1016" s="174">
        <v>2697</v>
      </c>
      <c r="B1016" s="174">
        <v>23</v>
      </c>
      <c r="C1016" t="s">
        <v>1935</v>
      </c>
      <c r="D1016" s="795">
        <v>37656</v>
      </c>
      <c r="E1016" t="s">
        <v>105</v>
      </c>
      <c r="F1016">
        <v>1</v>
      </c>
      <c r="G1016" s="128"/>
    </row>
    <row r="1017" spans="1:7" x14ac:dyDescent="0.25">
      <c r="A1017" s="174">
        <v>3769</v>
      </c>
      <c r="B1017" s="174">
        <v>0</v>
      </c>
      <c r="C1017" t="s">
        <v>1937</v>
      </c>
      <c r="D1017" s="795">
        <v>37343</v>
      </c>
      <c r="E1017" t="s">
        <v>1171</v>
      </c>
      <c r="F1017">
        <v>1</v>
      </c>
      <c r="G1017" s="128"/>
    </row>
    <row r="1018" spans="1:7" x14ac:dyDescent="0.25">
      <c r="A1018" s="174">
        <v>2669</v>
      </c>
      <c r="B1018" s="174">
        <v>24</v>
      </c>
      <c r="C1018" t="s">
        <v>1938</v>
      </c>
      <c r="D1018" s="795">
        <v>37228</v>
      </c>
      <c r="E1018" t="s">
        <v>120</v>
      </c>
      <c r="F1018">
        <v>1</v>
      </c>
      <c r="G1018" s="128"/>
    </row>
    <row r="1019" spans="1:7" x14ac:dyDescent="0.25">
      <c r="A1019" s="174">
        <v>3019</v>
      </c>
      <c r="B1019" s="174">
        <v>10</v>
      </c>
      <c r="C1019" t="s">
        <v>1939</v>
      </c>
      <c r="D1019" s="795">
        <v>37228</v>
      </c>
      <c r="E1019" t="s">
        <v>120</v>
      </c>
      <c r="F1019">
        <v>1</v>
      </c>
      <c r="G1019" s="128"/>
    </row>
    <row r="1020" spans="1:7" x14ac:dyDescent="0.25">
      <c r="A1020" s="174">
        <v>1306</v>
      </c>
      <c r="B1020" s="174">
        <v>162</v>
      </c>
      <c r="C1020" t="s">
        <v>303</v>
      </c>
      <c r="D1020" s="795">
        <v>36641</v>
      </c>
      <c r="E1020" t="s">
        <v>257</v>
      </c>
      <c r="F1020">
        <v>1</v>
      </c>
      <c r="G1020" s="128"/>
    </row>
    <row r="1021" spans="1:7" x14ac:dyDescent="0.25">
      <c r="A1021" s="174">
        <v>2467</v>
      </c>
      <c r="B1021" s="174">
        <v>33</v>
      </c>
      <c r="C1021" t="s">
        <v>553</v>
      </c>
      <c r="D1021" s="795">
        <v>36560</v>
      </c>
      <c r="E1021" t="s">
        <v>99</v>
      </c>
      <c r="F1021">
        <v>1</v>
      </c>
      <c r="G1021" s="128"/>
    </row>
    <row r="1022" spans="1:7" x14ac:dyDescent="0.25">
      <c r="A1022" s="174">
        <v>3879</v>
      </c>
      <c r="B1022" s="174">
        <v>0</v>
      </c>
      <c r="C1022" t="s">
        <v>1940</v>
      </c>
      <c r="D1022" s="795">
        <v>37500</v>
      </c>
      <c r="E1022" t="s">
        <v>165</v>
      </c>
      <c r="F1022">
        <v>1</v>
      </c>
      <c r="G1022" s="128"/>
    </row>
    <row r="1023" spans="1:7" x14ac:dyDescent="0.25">
      <c r="A1023" s="174">
        <v>3504</v>
      </c>
      <c r="B1023" s="174">
        <v>0</v>
      </c>
      <c r="C1023" t="s">
        <v>2554</v>
      </c>
      <c r="D1023" s="795">
        <v>37631</v>
      </c>
      <c r="E1023" t="s">
        <v>99</v>
      </c>
      <c r="F1023">
        <v>1</v>
      </c>
      <c r="G1023" s="128"/>
    </row>
    <row r="1024" spans="1:7" x14ac:dyDescent="0.25">
      <c r="A1024" s="174">
        <v>2533</v>
      </c>
      <c r="B1024" s="174">
        <v>30</v>
      </c>
      <c r="C1024" t="s">
        <v>554</v>
      </c>
      <c r="D1024" s="795">
        <v>37027</v>
      </c>
      <c r="E1024" t="s">
        <v>1069</v>
      </c>
      <c r="F1024">
        <v>1</v>
      </c>
      <c r="G1024" s="128"/>
    </row>
    <row r="1025" spans="1:7" x14ac:dyDescent="0.25">
      <c r="A1025" s="174">
        <v>1856</v>
      </c>
      <c r="B1025" s="174">
        <v>75</v>
      </c>
      <c r="C1025" t="s">
        <v>305</v>
      </c>
      <c r="D1025" s="795">
        <v>37317</v>
      </c>
      <c r="E1025" t="s">
        <v>110</v>
      </c>
      <c r="F1025">
        <v>1</v>
      </c>
      <c r="G1025" s="128"/>
    </row>
    <row r="1026" spans="1:7" x14ac:dyDescent="0.25">
      <c r="A1026" s="174">
        <v>2380</v>
      </c>
      <c r="B1026" s="174">
        <v>38</v>
      </c>
      <c r="C1026" t="s">
        <v>1943</v>
      </c>
      <c r="D1026" s="795">
        <v>37672</v>
      </c>
      <c r="E1026" t="s">
        <v>105</v>
      </c>
      <c r="F1026">
        <v>1</v>
      </c>
      <c r="G1026" s="128"/>
    </row>
    <row r="1027" spans="1:7" x14ac:dyDescent="0.25">
      <c r="A1027" s="174">
        <v>3289</v>
      </c>
      <c r="B1027" s="174">
        <v>2</v>
      </c>
      <c r="C1027" t="s">
        <v>1944</v>
      </c>
      <c r="D1027" s="795">
        <v>36959</v>
      </c>
      <c r="E1027" t="s">
        <v>120</v>
      </c>
      <c r="F1027">
        <v>1</v>
      </c>
      <c r="G1027" s="128"/>
    </row>
    <row r="1028" spans="1:7" x14ac:dyDescent="0.25">
      <c r="A1028" s="174">
        <v>3754</v>
      </c>
      <c r="B1028" s="174">
        <v>0</v>
      </c>
      <c r="C1028" t="s">
        <v>1945</v>
      </c>
      <c r="D1028" s="795">
        <v>36526</v>
      </c>
      <c r="E1028" t="s">
        <v>1155</v>
      </c>
      <c r="F1028">
        <v>1</v>
      </c>
      <c r="G1028" s="128"/>
    </row>
    <row r="1029" spans="1:7" x14ac:dyDescent="0.25">
      <c r="A1029" s="174">
        <v>3861</v>
      </c>
      <c r="B1029" s="174">
        <v>0</v>
      </c>
      <c r="C1029" t="s">
        <v>1946</v>
      </c>
      <c r="D1029" s="795">
        <v>37069</v>
      </c>
      <c r="E1029" t="s">
        <v>1867</v>
      </c>
      <c r="F1029">
        <v>1</v>
      </c>
      <c r="G1029" s="128"/>
    </row>
    <row r="1030" spans="1:7" x14ac:dyDescent="0.25">
      <c r="A1030" s="174">
        <v>3655</v>
      </c>
      <c r="B1030" s="174">
        <v>0</v>
      </c>
      <c r="C1030" t="s">
        <v>1947</v>
      </c>
      <c r="D1030" s="795">
        <v>37080</v>
      </c>
      <c r="E1030" t="s">
        <v>227</v>
      </c>
      <c r="F1030">
        <v>1</v>
      </c>
      <c r="G1030" s="128"/>
    </row>
    <row r="1031" spans="1:7" x14ac:dyDescent="0.25">
      <c r="A1031" s="174">
        <v>1521</v>
      </c>
      <c r="B1031" s="174">
        <v>125</v>
      </c>
      <c r="C1031" t="s">
        <v>555</v>
      </c>
      <c r="D1031" s="795">
        <v>36555</v>
      </c>
      <c r="E1031" t="s">
        <v>103</v>
      </c>
      <c r="F1031">
        <v>1</v>
      </c>
      <c r="G1031" s="128"/>
    </row>
    <row r="1032" spans="1:7" x14ac:dyDescent="0.25">
      <c r="A1032" s="174">
        <v>3637</v>
      </c>
      <c r="B1032" s="174">
        <v>0</v>
      </c>
      <c r="C1032" t="s">
        <v>1948</v>
      </c>
      <c r="D1032" s="795">
        <v>36892</v>
      </c>
      <c r="E1032" t="s">
        <v>105</v>
      </c>
      <c r="F1032">
        <v>1</v>
      </c>
      <c r="G1032" s="128"/>
    </row>
    <row r="1033" spans="1:7" x14ac:dyDescent="0.25">
      <c r="A1033" s="174">
        <v>1763</v>
      </c>
      <c r="B1033" s="174">
        <v>87</v>
      </c>
      <c r="C1033" t="s">
        <v>1949</v>
      </c>
      <c r="D1033" s="795">
        <v>36919</v>
      </c>
      <c r="E1033" t="s">
        <v>120</v>
      </c>
      <c r="F1033">
        <v>1</v>
      </c>
      <c r="G1033" s="128"/>
    </row>
    <row r="1034" spans="1:7" x14ac:dyDescent="0.25">
      <c r="A1034" s="174">
        <v>3404</v>
      </c>
      <c r="B1034" s="174">
        <v>0</v>
      </c>
      <c r="C1034" t="s">
        <v>1950</v>
      </c>
      <c r="D1034" s="795">
        <v>36778</v>
      </c>
      <c r="E1034" t="s">
        <v>114</v>
      </c>
      <c r="F1034">
        <v>1</v>
      </c>
      <c r="G1034" s="128"/>
    </row>
    <row r="1035" spans="1:7" x14ac:dyDescent="0.25">
      <c r="A1035" s="174">
        <v>1976</v>
      </c>
      <c r="B1035" s="174">
        <v>64</v>
      </c>
      <c r="C1035" t="s">
        <v>820</v>
      </c>
      <c r="D1035" s="795">
        <v>36830</v>
      </c>
      <c r="E1035" t="s">
        <v>1367</v>
      </c>
      <c r="F1035">
        <v>1</v>
      </c>
      <c r="G1035" s="128"/>
    </row>
    <row r="1036" spans="1:7" x14ac:dyDescent="0.25">
      <c r="A1036" s="174">
        <v>3415</v>
      </c>
      <c r="B1036" s="174">
        <v>0</v>
      </c>
      <c r="C1036" t="s">
        <v>1951</v>
      </c>
      <c r="D1036" s="795">
        <v>38391</v>
      </c>
      <c r="E1036" t="s">
        <v>1143</v>
      </c>
      <c r="F1036">
        <v>1</v>
      </c>
      <c r="G1036" s="128"/>
    </row>
    <row r="1037" spans="1:7" x14ac:dyDescent="0.25">
      <c r="A1037" s="174">
        <v>2930</v>
      </c>
      <c r="B1037" s="174">
        <v>13</v>
      </c>
      <c r="C1037" t="s">
        <v>1953</v>
      </c>
      <c r="D1037" s="795">
        <v>36526</v>
      </c>
      <c r="E1037" t="s">
        <v>83</v>
      </c>
      <c r="F1037">
        <v>1</v>
      </c>
      <c r="G1037" s="128"/>
    </row>
    <row r="1038" spans="1:7" x14ac:dyDescent="0.25">
      <c r="A1038" s="174">
        <v>3196</v>
      </c>
      <c r="B1038" s="174">
        <v>4</v>
      </c>
      <c r="C1038" t="s">
        <v>1955</v>
      </c>
      <c r="D1038" s="795">
        <v>36706</v>
      </c>
      <c r="E1038" t="s">
        <v>140</v>
      </c>
      <c r="F1038">
        <v>1</v>
      </c>
      <c r="G1038" s="128"/>
    </row>
    <row r="1039" spans="1:7" x14ac:dyDescent="0.25">
      <c r="A1039" s="174">
        <v>2630</v>
      </c>
      <c r="B1039" s="174">
        <v>25</v>
      </c>
      <c r="C1039" t="s">
        <v>556</v>
      </c>
      <c r="D1039" s="795">
        <v>37217</v>
      </c>
      <c r="E1039" t="s">
        <v>105</v>
      </c>
      <c r="F1039">
        <v>1</v>
      </c>
      <c r="G1039" s="128"/>
    </row>
    <row r="1040" spans="1:7" x14ac:dyDescent="0.25">
      <c r="A1040" s="174">
        <v>3617</v>
      </c>
      <c r="B1040" s="174">
        <v>0</v>
      </c>
      <c r="C1040" t="s">
        <v>1956</v>
      </c>
      <c r="D1040" s="795">
        <v>36822</v>
      </c>
      <c r="E1040" t="s">
        <v>145</v>
      </c>
      <c r="F1040">
        <v>1</v>
      </c>
      <c r="G1040" s="128"/>
    </row>
    <row r="1041" spans="1:7" x14ac:dyDescent="0.25">
      <c r="A1041" s="174">
        <v>3507</v>
      </c>
      <c r="B1041" s="174">
        <v>0</v>
      </c>
      <c r="C1041" t="s">
        <v>2555</v>
      </c>
      <c r="D1041" s="795">
        <v>37347</v>
      </c>
      <c r="E1041" t="s">
        <v>166</v>
      </c>
      <c r="F1041">
        <v>1</v>
      </c>
      <c r="G1041" s="128"/>
    </row>
    <row r="1042" spans="1:7" x14ac:dyDescent="0.25">
      <c r="A1042" s="174">
        <v>2267</v>
      </c>
      <c r="B1042" s="174">
        <v>44</v>
      </c>
      <c r="C1042" t="s">
        <v>557</v>
      </c>
      <c r="D1042" s="795">
        <v>37051</v>
      </c>
      <c r="E1042" t="s">
        <v>105</v>
      </c>
      <c r="F1042">
        <v>1</v>
      </c>
      <c r="G1042" s="128"/>
    </row>
    <row r="1043" spans="1:7" x14ac:dyDescent="0.25">
      <c r="A1043" s="174">
        <v>3436</v>
      </c>
      <c r="B1043" s="174">
        <v>0</v>
      </c>
      <c r="C1043" t="s">
        <v>1957</v>
      </c>
      <c r="D1043" s="795">
        <v>37419</v>
      </c>
      <c r="E1043" t="s">
        <v>105</v>
      </c>
      <c r="F1043">
        <v>1</v>
      </c>
      <c r="G1043" s="128"/>
    </row>
    <row r="1044" spans="1:7" x14ac:dyDescent="0.25">
      <c r="A1044" s="174">
        <v>2288</v>
      </c>
      <c r="B1044" s="174">
        <v>43</v>
      </c>
      <c r="C1044" t="s">
        <v>558</v>
      </c>
      <c r="D1044" s="795">
        <v>36793</v>
      </c>
      <c r="E1044" t="s">
        <v>559</v>
      </c>
      <c r="F1044">
        <v>1</v>
      </c>
      <c r="G1044" s="128"/>
    </row>
    <row r="1045" spans="1:7" x14ac:dyDescent="0.25">
      <c r="A1045" s="174">
        <v>3354</v>
      </c>
      <c r="B1045" s="174">
        <v>1</v>
      </c>
      <c r="C1045" t="s">
        <v>1958</v>
      </c>
      <c r="D1045" s="795">
        <v>37169</v>
      </c>
      <c r="E1045" t="s">
        <v>1218</v>
      </c>
      <c r="F1045">
        <v>1</v>
      </c>
      <c r="G1045" s="128"/>
    </row>
    <row r="1046" spans="1:7" x14ac:dyDescent="0.25">
      <c r="A1046" s="174">
        <v>2883</v>
      </c>
      <c r="B1046" s="174">
        <v>15</v>
      </c>
      <c r="C1046" t="s">
        <v>1959</v>
      </c>
      <c r="D1046" s="795">
        <v>36704</v>
      </c>
      <c r="E1046" t="s">
        <v>614</v>
      </c>
      <c r="F1046">
        <v>1</v>
      </c>
      <c r="G1046" s="128"/>
    </row>
    <row r="1047" spans="1:7" x14ac:dyDescent="0.25">
      <c r="A1047" s="174">
        <v>1263</v>
      </c>
      <c r="B1047" s="174">
        <v>171</v>
      </c>
      <c r="C1047" t="s">
        <v>693</v>
      </c>
      <c r="D1047" s="795">
        <v>37147</v>
      </c>
      <c r="E1047" t="s">
        <v>105</v>
      </c>
      <c r="F1047">
        <v>1</v>
      </c>
      <c r="G1047" s="128"/>
    </row>
    <row r="1048" spans="1:7" x14ac:dyDescent="0.25">
      <c r="A1048" s="174">
        <v>2111</v>
      </c>
      <c r="B1048" s="174">
        <v>53</v>
      </c>
      <c r="C1048" t="s">
        <v>560</v>
      </c>
      <c r="D1048" s="795">
        <v>37341</v>
      </c>
      <c r="E1048" t="s">
        <v>73</v>
      </c>
      <c r="F1048">
        <v>1</v>
      </c>
      <c r="G1048" s="128"/>
    </row>
    <row r="1049" spans="1:7" x14ac:dyDescent="0.25">
      <c r="A1049" s="174">
        <v>2955</v>
      </c>
      <c r="B1049" s="174">
        <v>12</v>
      </c>
      <c r="C1049" t="s">
        <v>1960</v>
      </c>
      <c r="D1049" s="795">
        <v>36675</v>
      </c>
      <c r="E1049" t="s">
        <v>1961</v>
      </c>
      <c r="F1049">
        <v>1</v>
      </c>
      <c r="G1049" s="128"/>
    </row>
    <row r="1050" spans="1:7" x14ac:dyDescent="0.25">
      <c r="A1050" s="174">
        <v>2281</v>
      </c>
      <c r="B1050" s="174">
        <v>44</v>
      </c>
      <c r="C1050" t="s">
        <v>821</v>
      </c>
      <c r="D1050" s="795">
        <v>36945</v>
      </c>
      <c r="E1050" t="s">
        <v>208</v>
      </c>
      <c r="F1050">
        <v>1</v>
      </c>
      <c r="G1050" s="128"/>
    </row>
    <row r="1051" spans="1:7" x14ac:dyDescent="0.25">
      <c r="A1051" s="174">
        <v>1774</v>
      </c>
      <c r="B1051" s="174">
        <v>86</v>
      </c>
      <c r="C1051" t="s">
        <v>1962</v>
      </c>
      <c r="D1051" s="795">
        <v>36985</v>
      </c>
      <c r="E1051" t="s">
        <v>176</v>
      </c>
      <c r="F1051">
        <v>1</v>
      </c>
      <c r="G1051" s="128"/>
    </row>
    <row r="1052" spans="1:7" x14ac:dyDescent="0.25">
      <c r="A1052" s="174">
        <v>2920</v>
      </c>
      <c r="B1052" s="174">
        <v>13</v>
      </c>
      <c r="C1052" t="s">
        <v>1964</v>
      </c>
      <c r="D1052" s="795">
        <v>36571</v>
      </c>
      <c r="E1052" t="s">
        <v>1076</v>
      </c>
      <c r="F1052">
        <v>1</v>
      </c>
      <c r="G1052" s="128"/>
    </row>
    <row r="1053" spans="1:7" x14ac:dyDescent="0.25">
      <c r="A1053" s="174">
        <v>2089</v>
      </c>
      <c r="B1053" s="174">
        <v>55</v>
      </c>
      <c r="C1053" t="s">
        <v>694</v>
      </c>
      <c r="D1053" s="795">
        <v>36636</v>
      </c>
      <c r="E1053" t="s">
        <v>120</v>
      </c>
      <c r="F1053">
        <v>1</v>
      </c>
      <c r="G1053" s="128"/>
    </row>
    <row r="1054" spans="1:7" x14ac:dyDescent="0.25">
      <c r="A1054" s="174">
        <v>3674</v>
      </c>
      <c r="B1054" s="174">
        <v>0</v>
      </c>
      <c r="C1054" t="s">
        <v>1965</v>
      </c>
      <c r="D1054" s="795">
        <v>36909</v>
      </c>
      <c r="E1054" t="s">
        <v>1367</v>
      </c>
      <c r="F1054">
        <v>1</v>
      </c>
      <c r="G1054" s="128"/>
    </row>
    <row r="1055" spans="1:7" x14ac:dyDescent="0.25">
      <c r="A1055" s="174">
        <v>3508</v>
      </c>
      <c r="B1055" s="174">
        <v>0</v>
      </c>
      <c r="C1055" t="s">
        <v>2556</v>
      </c>
      <c r="D1055" s="795">
        <v>37117</v>
      </c>
      <c r="E1055" t="s">
        <v>164</v>
      </c>
      <c r="F1055">
        <v>1</v>
      </c>
      <c r="G1055" s="128"/>
    </row>
    <row r="1056" spans="1:7" x14ac:dyDescent="0.25">
      <c r="A1056" s="174">
        <v>3680</v>
      </c>
      <c r="B1056" s="174">
        <v>0</v>
      </c>
      <c r="C1056" t="s">
        <v>1966</v>
      </c>
      <c r="D1056" s="795">
        <v>36658</v>
      </c>
      <c r="E1056" t="s">
        <v>1063</v>
      </c>
      <c r="F1056">
        <v>1</v>
      </c>
      <c r="G1056" s="128"/>
    </row>
    <row r="1057" spans="1:7" x14ac:dyDescent="0.25">
      <c r="A1057" s="174">
        <v>3451</v>
      </c>
      <c r="B1057" s="174">
        <v>0</v>
      </c>
      <c r="C1057" t="s">
        <v>1967</v>
      </c>
      <c r="D1057" s="795">
        <v>37262</v>
      </c>
      <c r="E1057" t="s">
        <v>1139</v>
      </c>
      <c r="F1057">
        <v>1</v>
      </c>
      <c r="G1057" s="128"/>
    </row>
    <row r="1058" spans="1:7" x14ac:dyDescent="0.25">
      <c r="A1058" s="174">
        <v>3700</v>
      </c>
      <c r="B1058" s="174">
        <v>0</v>
      </c>
      <c r="C1058" t="s">
        <v>1968</v>
      </c>
      <c r="D1058" s="795">
        <v>36886</v>
      </c>
      <c r="E1058" t="s">
        <v>1234</v>
      </c>
      <c r="F1058">
        <v>1</v>
      </c>
      <c r="G1058" s="128"/>
    </row>
    <row r="1059" spans="1:7" x14ac:dyDescent="0.25">
      <c r="A1059" s="174">
        <v>2056</v>
      </c>
      <c r="B1059" s="174">
        <v>57</v>
      </c>
      <c r="C1059" t="s">
        <v>1969</v>
      </c>
      <c r="D1059" s="795">
        <v>37390</v>
      </c>
      <c r="E1059" t="s">
        <v>80</v>
      </c>
      <c r="F1059">
        <v>1</v>
      </c>
      <c r="G1059" s="128"/>
    </row>
    <row r="1060" spans="1:7" x14ac:dyDescent="0.25">
      <c r="A1060" s="174">
        <v>3749</v>
      </c>
      <c r="B1060" s="174">
        <v>0</v>
      </c>
      <c r="C1060" t="s">
        <v>1970</v>
      </c>
      <c r="D1060" s="795">
        <v>36945</v>
      </c>
      <c r="E1060" t="s">
        <v>1506</v>
      </c>
      <c r="F1060">
        <v>1</v>
      </c>
      <c r="G1060" s="128"/>
    </row>
    <row r="1061" spans="1:7" x14ac:dyDescent="0.25">
      <c r="A1061" s="174">
        <v>3175</v>
      </c>
      <c r="B1061" s="174">
        <v>5</v>
      </c>
      <c r="C1061" t="s">
        <v>1971</v>
      </c>
      <c r="D1061" s="795">
        <v>37643</v>
      </c>
      <c r="E1061" t="s">
        <v>105</v>
      </c>
      <c r="F1061">
        <v>1</v>
      </c>
      <c r="G1061" s="128"/>
    </row>
    <row r="1062" spans="1:7" x14ac:dyDescent="0.25">
      <c r="A1062" s="174">
        <v>2629</v>
      </c>
      <c r="B1062" s="174">
        <v>25</v>
      </c>
      <c r="C1062" t="s">
        <v>564</v>
      </c>
      <c r="D1062" s="795">
        <v>36936</v>
      </c>
      <c r="E1062" t="s">
        <v>129</v>
      </c>
      <c r="F1062">
        <v>1</v>
      </c>
      <c r="G1062" s="128"/>
    </row>
    <row r="1063" spans="1:7" x14ac:dyDescent="0.25">
      <c r="A1063" s="174">
        <v>3243</v>
      </c>
      <c r="B1063" s="174">
        <v>4</v>
      </c>
      <c r="C1063" t="s">
        <v>1972</v>
      </c>
      <c r="D1063" s="795">
        <v>37298</v>
      </c>
      <c r="E1063" t="s">
        <v>1143</v>
      </c>
      <c r="F1063">
        <v>1</v>
      </c>
      <c r="G1063" s="128"/>
    </row>
    <row r="1064" spans="1:7" x14ac:dyDescent="0.25">
      <c r="A1064" s="174">
        <v>2121</v>
      </c>
      <c r="B1064" s="174">
        <v>52</v>
      </c>
      <c r="C1064" t="s">
        <v>308</v>
      </c>
      <c r="D1064" s="795">
        <v>36600</v>
      </c>
      <c r="E1064" t="s">
        <v>105</v>
      </c>
      <c r="F1064">
        <v>1</v>
      </c>
      <c r="G1064" s="128"/>
    </row>
    <row r="1065" spans="1:7" x14ac:dyDescent="0.25">
      <c r="A1065" s="174">
        <v>3728</v>
      </c>
      <c r="B1065" s="174">
        <v>0</v>
      </c>
      <c r="C1065" t="s">
        <v>1973</v>
      </c>
      <c r="D1065" s="795">
        <v>37322</v>
      </c>
      <c r="E1065" t="s">
        <v>110</v>
      </c>
      <c r="F1065">
        <v>1</v>
      </c>
      <c r="G1065" s="128"/>
    </row>
    <row r="1066" spans="1:7" x14ac:dyDescent="0.25">
      <c r="A1066" s="174">
        <v>3927</v>
      </c>
      <c r="B1066" s="174">
        <v>0</v>
      </c>
      <c r="C1066" t="s">
        <v>1974</v>
      </c>
      <c r="D1066" s="795">
        <v>37361</v>
      </c>
      <c r="E1066" t="s">
        <v>120</v>
      </c>
      <c r="F1066">
        <v>1</v>
      </c>
      <c r="G1066" s="128"/>
    </row>
    <row r="1067" spans="1:7" x14ac:dyDescent="0.25">
      <c r="A1067" s="174">
        <v>3141</v>
      </c>
      <c r="B1067" s="174">
        <v>6</v>
      </c>
      <c r="C1067" t="s">
        <v>1975</v>
      </c>
      <c r="D1067" s="795">
        <v>37218</v>
      </c>
      <c r="E1067" t="s">
        <v>1214</v>
      </c>
      <c r="F1067">
        <v>1</v>
      </c>
      <c r="G1067" s="128"/>
    </row>
    <row r="1068" spans="1:7" x14ac:dyDescent="0.25">
      <c r="A1068" s="174">
        <v>3831</v>
      </c>
      <c r="B1068" s="174">
        <v>0</v>
      </c>
      <c r="C1068" t="s">
        <v>1976</v>
      </c>
      <c r="D1068" s="795">
        <v>38065</v>
      </c>
      <c r="E1068" t="s">
        <v>105</v>
      </c>
      <c r="F1068">
        <v>1</v>
      </c>
      <c r="G1068" s="128"/>
    </row>
    <row r="1069" spans="1:7" x14ac:dyDescent="0.25">
      <c r="A1069" s="174">
        <v>3268</v>
      </c>
      <c r="B1069" s="174">
        <v>3</v>
      </c>
      <c r="C1069" t="s">
        <v>1977</v>
      </c>
      <c r="D1069" s="795">
        <v>36998</v>
      </c>
      <c r="E1069" t="s">
        <v>103</v>
      </c>
      <c r="F1069">
        <v>1</v>
      </c>
      <c r="G1069" s="128"/>
    </row>
    <row r="1070" spans="1:7" x14ac:dyDescent="0.25">
      <c r="A1070" s="174">
        <v>3741</v>
      </c>
      <c r="B1070" s="174">
        <v>0</v>
      </c>
      <c r="C1070" t="s">
        <v>1978</v>
      </c>
      <c r="D1070" s="795">
        <v>37618</v>
      </c>
      <c r="E1070" t="s">
        <v>1105</v>
      </c>
      <c r="F1070">
        <v>1</v>
      </c>
      <c r="G1070" s="128"/>
    </row>
    <row r="1071" spans="1:7" x14ac:dyDescent="0.25">
      <c r="A1071" s="174">
        <v>2753</v>
      </c>
      <c r="B1071" s="174">
        <v>20</v>
      </c>
      <c r="C1071" t="s">
        <v>1979</v>
      </c>
      <c r="D1071" s="795">
        <v>37384</v>
      </c>
      <c r="E1071" t="s">
        <v>117</v>
      </c>
      <c r="F1071">
        <v>1</v>
      </c>
      <c r="G1071" s="128"/>
    </row>
    <row r="1072" spans="1:7" x14ac:dyDescent="0.25">
      <c r="A1072" s="174">
        <v>2453</v>
      </c>
      <c r="B1072" s="174">
        <v>34</v>
      </c>
      <c r="C1072" t="s">
        <v>1980</v>
      </c>
      <c r="D1072" s="795">
        <v>37421</v>
      </c>
      <c r="E1072" t="s">
        <v>1315</v>
      </c>
      <c r="F1072">
        <v>1</v>
      </c>
      <c r="G1072" s="128"/>
    </row>
    <row r="1073" spans="1:7" x14ac:dyDescent="0.25">
      <c r="A1073" s="174">
        <v>1708</v>
      </c>
      <c r="B1073" s="174">
        <v>93</v>
      </c>
      <c r="C1073" t="s">
        <v>695</v>
      </c>
      <c r="D1073" s="795">
        <v>36712</v>
      </c>
      <c r="E1073" t="s">
        <v>105</v>
      </c>
      <c r="F1073">
        <v>1</v>
      </c>
      <c r="G1073" s="128"/>
    </row>
    <row r="1074" spans="1:7" x14ac:dyDescent="0.25">
      <c r="A1074" s="174">
        <v>2946</v>
      </c>
      <c r="B1074" s="174">
        <v>12</v>
      </c>
      <c r="C1074" t="s">
        <v>1981</v>
      </c>
      <c r="D1074" s="795">
        <v>37257</v>
      </c>
      <c r="E1074" t="s">
        <v>105</v>
      </c>
      <c r="F1074">
        <v>1</v>
      </c>
      <c r="G1074" s="128"/>
    </row>
    <row r="1075" spans="1:7" x14ac:dyDescent="0.25">
      <c r="A1075" s="174">
        <v>3387</v>
      </c>
      <c r="B1075" s="174">
        <v>0</v>
      </c>
      <c r="C1075" t="s">
        <v>1982</v>
      </c>
      <c r="D1075" s="795">
        <v>36736</v>
      </c>
      <c r="E1075" t="s">
        <v>105</v>
      </c>
      <c r="F1075">
        <v>1</v>
      </c>
      <c r="G1075" s="128"/>
    </row>
    <row r="1076" spans="1:7" x14ac:dyDescent="0.25">
      <c r="A1076" s="174">
        <v>1181</v>
      </c>
      <c r="B1076" s="174">
        <v>191</v>
      </c>
      <c r="C1076" t="s">
        <v>1983</v>
      </c>
      <c r="D1076" s="795">
        <v>37298</v>
      </c>
      <c r="E1076" t="s">
        <v>120</v>
      </c>
      <c r="F1076">
        <v>1</v>
      </c>
      <c r="G1076" s="128"/>
    </row>
    <row r="1077" spans="1:7" x14ac:dyDescent="0.25">
      <c r="A1077" s="174">
        <v>3550</v>
      </c>
      <c r="B1077" s="174">
        <v>0</v>
      </c>
      <c r="C1077" t="s">
        <v>1984</v>
      </c>
      <c r="D1077" s="795">
        <v>37377</v>
      </c>
      <c r="E1077" t="s">
        <v>113</v>
      </c>
      <c r="F1077">
        <v>1</v>
      </c>
      <c r="G1077" s="128"/>
    </row>
    <row r="1078" spans="1:7" x14ac:dyDescent="0.25">
      <c r="A1078" s="174">
        <v>3633</v>
      </c>
      <c r="B1078" s="174">
        <v>0</v>
      </c>
      <c r="C1078" t="s">
        <v>1985</v>
      </c>
      <c r="D1078" s="795">
        <v>37909</v>
      </c>
      <c r="E1078" t="s">
        <v>1234</v>
      </c>
      <c r="F1078">
        <v>1</v>
      </c>
      <c r="G1078" s="128"/>
    </row>
    <row r="1079" spans="1:7" x14ac:dyDescent="0.25">
      <c r="A1079" s="174">
        <v>3681</v>
      </c>
      <c r="B1079" s="174">
        <v>0</v>
      </c>
      <c r="C1079" t="s">
        <v>1986</v>
      </c>
      <c r="D1079" s="795">
        <v>37150</v>
      </c>
      <c r="E1079" t="s">
        <v>1063</v>
      </c>
      <c r="F1079">
        <v>1</v>
      </c>
      <c r="G1079" s="128"/>
    </row>
    <row r="1080" spans="1:7" x14ac:dyDescent="0.25">
      <c r="A1080" s="174">
        <v>2741</v>
      </c>
      <c r="B1080" s="174">
        <v>20</v>
      </c>
      <c r="C1080" t="s">
        <v>310</v>
      </c>
      <c r="D1080" s="795">
        <v>36557</v>
      </c>
      <c r="E1080" t="s">
        <v>163</v>
      </c>
      <c r="F1080">
        <v>1</v>
      </c>
      <c r="G1080" s="128"/>
    </row>
    <row r="1081" spans="1:7" x14ac:dyDescent="0.25">
      <c r="A1081" s="174">
        <v>3479</v>
      </c>
      <c r="B1081" s="174">
        <v>0</v>
      </c>
      <c r="C1081" t="s">
        <v>2557</v>
      </c>
      <c r="D1081" s="795">
        <v>36526</v>
      </c>
      <c r="E1081" t="s">
        <v>122</v>
      </c>
      <c r="F1081">
        <v>1</v>
      </c>
      <c r="G1081" s="128"/>
    </row>
    <row r="1082" spans="1:7" x14ac:dyDescent="0.25">
      <c r="A1082" s="174">
        <v>3762</v>
      </c>
      <c r="B1082" s="174">
        <v>0</v>
      </c>
      <c r="C1082" t="s">
        <v>1988</v>
      </c>
      <c r="D1082" s="795">
        <v>36540</v>
      </c>
      <c r="E1082" t="s">
        <v>365</v>
      </c>
      <c r="F1082">
        <v>1</v>
      </c>
      <c r="G1082" s="128"/>
    </row>
    <row r="1083" spans="1:7" x14ac:dyDescent="0.25">
      <c r="A1083" s="174">
        <v>2761</v>
      </c>
      <c r="B1083" s="174">
        <v>20</v>
      </c>
      <c r="C1083" t="s">
        <v>1990</v>
      </c>
      <c r="D1083" s="795">
        <v>36700</v>
      </c>
      <c r="E1083" t="s">
        <v>140</v>
      </c>
      <c r="F1083">
        <v>1</v>
      </c>
      <c r="G1083" s="128"/>
    </row>
    <row r="1084" spans="1:7" x14ac:dyDescent="0.25">
      <c r="A1084" s="174">
        <v>3210</v>
      </c>
      <c r="B1084" s="174">
        <v>4</v>
      </c>
      <c r="C1084" t="s">
        <v>1991</v>
      </c>
      <c r="D1084" s="795">
        <v>36641</v>
      </c>
      <c r="E1084" t="s">
        <v>1992</v>
      </c>
      <c r="F1084">
        <v>1</v>
      </c>
      <c r="G1084" s="128"/>
    </row>
    <row r="1085" spans="1:7" x14ac:dyDescent="0.25">
      <c r="A1085" s="174">
        <v>2431</v>
      </c>
      <c r="B1085" s="174">
        <v>35</v>
      </c>
      <c r="C1085" t="s">
        <v>1993</v>
      </c>
      <c r="D1085" s="795">
        <v>37004</v>
      </c>
      <c r="E1085" t="s">
        <v>138</v>
      </c>
      <c r="F1085">
        <v>1</v>
      </c>
      <c r="G1085" s="128"/>
    </row>
    <row r="1086" spans="1:7" x14ac:dyDescent="0.25">
      <c r="A1086" s="174">
        <v>3419</v>
      </c>
      <c r="B1086" s="174">
        <v>0</v>
      </c>
      <c r="C1086" t="s">
        <v>567</v>
      </c>
      <c r="D1086" s="795">
        <v>37263</v>
      </c>
      <c r="E1086" t="s">
        <v>1143</v>
      </c>
      <c r="F1086">
        <v>1</v>
      </c>
      <c r="G1086" s="128"/>
    </row>
    <row r="1087" spans="1:7" x14ac:dyDescent="0.25">
      <c r="A1087" s="174">
        <v>3417</v>
      </c>
      <c r="B1087" s="174">
        <v>0</v>
      </c>
      <c r="C1087" t="s">
        <v>1994</v>
      </c>
      <c r="D1087" s="795">
        <v>37261</v>
      </c>
      <c r="E1087" t="s">
        <v>1218</v>
      </c>
      <c r="F1087">
        <v>1</v>
      </c>
      <c r="G1087" s="128"/>
    </row>
    <row r="1088" spans="1:7" x14ac:dyDescent="0.25">
      <c r="A1088" s="174">
        <v>3021</v>
      </c>
      <c r="B1088" s="174">
        <v>10</v>
      </c>
      <c r="C1088" t="s">
        <v>2467</v>
      </c>
      <c r="D1088" s="795">
        <v>37391</v>
      </c>
      <c r="E1088" t="s">
        <v>136</v>
      </c>
      <c r="F1088">
        <v>1</v>
      </c>
      <c r="G1088" s="128"/>
    </row>
    <row r="1089" spans="1:7" x14ac:dyDescent="0.25">
      <c r="A1089" s="174">
        <v>3853</v>
      </c>
      <c r="B1089" s="174">
        <v>0</v>
      </c>
      <c r="C1089" t="s">
        <v>568</v>
      </c>
      <c r="D1089" s="795">
        <v>36721</v>
      </c>
      <c r="E1089" t="s">
        <v>127</v>
      </c>
      <c r="F1089">
        <v>1</v>
      </c>
      <c r="G1089" s="128"/>
    </row>
    <row r="1090" spans="1:7" x14ac:dyDescent="0.25">
      <c r="A1090" s="174">
        <v>3117</v>
      </c>
      <c r="B1090" s="174">
        <v>7</v>
      </c>
      <c r="C1090" t="s">
        <v>1996</v>
      </c>
      <c r="D1090" s="795">
        <v>36956</v>
      </c>
      <c r="E1090" t="s">
        <v>120</v>
      </c>
      <c r="F1090">
        <v>1</v>
      </c>
      <c r="G1090" s="128"/>
    </row>
    <row r="1091" spans="1:7" x14ac:dyDescent="0.25">
      <c r="A1091" s="174">
        <v>3322</v>
      </c>
      <c r="B1091" s="174">
        <v>1</v>
      </c>
      <c r="C1091" t="s">
        <v>2558</v>
      </c>
      <c r="D1091" s="795">
        <v>37155</v>
      </c>
      <c r="E1091" t="s">
        <v>427</v>
      </c>
      <c r="F1091">
        <v>1</v>
      </c>
      <c r="G1091" s="128"/>
    </row>
    <row r="1092" spans="1:7" x14ac:dyDescent="0.25">
      <c r="A1092" s="174">
        <v>3428</v>
      </c>
      <c r="B1092" s="174">
        <v>0</v>
      </c>
      <c r="C1092" t="s">
        <v>1998</v>
      </c>
      <c r="D1092" s="795">
        <v>37661</v>
      </c>
      <c r="E1092" t="s">
        <v>105</v>
      </c>
      <c r="F1092">
        <v>1</v>
      </c>
      <c r="G1092" s="128"/>
    </row>
    <row r="1093" spans="1:7" x14ac:dyDescent="0.25">
      <c r="A1093" s="174">
        <v>3133</v>
      </c>
      <c r="B1093" s="174">
        <v>6</v>
      </c>
      <c r="C1093" t="s">
        <v>1999</v>
      </c>
      <c r="D1093" s="795">
        <v>36892</v>
      </c>
      <c r="E1093" t="s">
        <v>120</v>
      </c>
      <c r="F1093">
        <v>1</v>
      </c>
      <c r="G1093" s="128"/>
    </row>
    <row r="1094" spans="1:7" x14ac:dyDescent="0.25">
      <c r="A1094" s="174">
        <v>3211</v>
      </c>
      <c r="B1094" s="174">
        <v>4</v>
      </c>
      <c r="C1094" t="s">
        <v>2000</v>
      </c>
      <c r="D1094" s="795">
        <v>37200</v>
      </c>
      <c r="E1094" t="s">
        <v>72</v>
      </c>
      <c r="F1094">
        <v>1</v>
      </c>
      <c r="G1094" s="128"/>
    </row>
    <row r="1095" spans="1:7" x14ac:dyDescent="0.25">
      <c r="A1095" s="174">
        <v>3509</v>
      </c>
      <c r="B1095" s="174">
        <v>0</v>
      </c>
      <c r="C1095" t="s">
        <v>2559</v>
      </c>
      <c r="D1095" s="795">
        <v>37656</v>
      </c>
      <c r="E1095" t="s">
        <v>180</v>
      </c>
      <c r="F1095">
        <v>1</v>
      </c>
      <c r="G1095" s="128"/>
    </row>
    <row r="1096" spans="1:7" x14ac:dyDescent="0.25">
      <c r="A1096" s="174">
        <v>2671</v>
      </c>
      <c r="B1096" s="174">
        <v>24</v>
      </c>
      <c r="C1096" t="s">
        <v>822</v>
      </c>
      <c r="D1096" s="795">
        <v>36538</v>
      </c>
      <c r="E1096" t="s">
        <v>1111</v>
      </c>
      <c r="F1096">
        <v>1</v>
      </c>
      <c r="G1096" s="128"/>
    </row>
    <row r="1097" spans="1:7" x14ac:dyDescent="0.25">
      <c r="A1097" s="174">
        <v>2191</v>
      </c>
      <c r="B1097" s="174">
        <v>48</v>
      </c>
      <c r="C1097" t="s">
        <v>2002</v>
      </c>
      <c r="D1097" s="795">
        <v>37008</v>
      </c>
      <c r="E1097" t="s">
        <v>120</v>
      </c>
      <c r="F1097">
        <v>1</v>
      </c>
      <c r="G1097" s="128"/>
    </row>
    <row r="1098" spans="1:7" x14ac:dyDescent="0.25">
      <c r="A1098" s="174">
        <v>3462</v>
      </c>
      <c r="B1098" s="174">
        <v>0</v>
      </c>
      <c r="C1098" t="s">
        <v>2560</v>
      </c>
      <c r="D1098" s="795">
        <v>37400</v>
      </c>
      <c r="E1098" t="s">
        <v>99</v>
      </c>
      <c r="F1098">
        <v>1</v>
      </c>
      <c r="G1098" s="128"/>
    </row>
    <row r="1099" spans="1:7" x14ac:dyDescent="0.25">
      <c r="A1099" s="174">
        <v>3074</v>
      </c>
      <c r="B1099" s="174">
        <v>8</v>
      </c>
      <c r="C1099" t="s">
        <v>2003</v>
      </c>
      <c r="D1099" s="795">
        <v>36998</v>
      </c>
      <c r="E1099" t="s">
        <v>127</v>
      </c>
      <c r="F1099">
        <v>1</v>
      </c>
      <c r="G1099" s="128"/>
    </row>
    <row r="1100" spans="1:7" x14ac:dyDescent="0.25">
      <c r="A1100" s="174">
        <v>2555</v>
      </c>
      <c r="B1100" s="174">
        <v>29</v>
      </c>
      <c r="C1100" t="s">
        <v>569</v>
      </c>
      <c r="D1100" s="795">
        <v>37046</v>
      </c>
      <c r="E1100" t="s">
        <v>106</v>
      </c>
      <c r="F1100">
        <v>1</v>
      </c>
      <c r="G1100" s="128"/>
    </row>
    <row r="1101" spans="1:7" x14ac:dyDescent="0.25">
      <c r="A1101" s="174">
        <v>2568</v>
      </c>
      <c r="B1101" s="174">
        <v>29</v>
      </c>
      <c r="C1101" t="s">
        <v>2004</v>
      </c>
      <c r="D1101" s="795">
        <v>37469</v>
      </c>
      <c r="E1101" t="s">
        <v>1143</v>
      </c>
      <c r="F1101">
        <v>1</v>
      </c>
      <c r="G1101" s="128"/>
    </row>
    <row r="1102" spans="1:7" x14ac:dyDescent="0.25">
      <c r="A1102" s="174">
        <v>2466</v>
      </c>
      <c r="B1102" s="174">
        <v>33</v>
      </c>
      <c r="C1102" t="s">
        <v>696</v>
      </c>
      <c r="D1102" s="795">
        <v>36795</v>
      </c>
      <c r="E1102" t="s">
        <v>222</v>
      </c>
      <c r="F1102">
        <v>1</v>
      </c>
      <c r="G1102" s="128"/>
    </row>
    <row r="1103" spans="1:7" x14ac:dyDescent="0.25">
      <c r="A1103" s="174">
        <v>2172</v>
      </c>
      <c r="B1103" s="174">
        <v>49</v>
      </c>
      <c r="C1103" t="s">
        <v>697</v>
      </c>
      <c r="D1103" s="795">
        <v>36877</v>
      </c>
      <c r="E1103" t="s">
        <v>126</v>
      </c>
      <c r="F1103">
        <v>1</v>
      </c>
      <c r="G1103" s="128"/>
    </row>
    <row r="1104" spans="1:7" x14ac:dyDescent="0.25">
      <c r="A1104" s="174">
        <v>3396</v>
      </c>
      <c r="B1104" s="174">
        <v>0</v>
      </c>
      <c r="C1104" t="s">
        <v>2006</v>
      </c>
      <c r="D1104" s="795">
        <v>36627</v>
      </c>
      <c r="E1104" t="s">
        <v>1222</v>
      </c>
      <c r="F1104">
        <v>1</v>
      </c>
      <c r="G1104" s="128"/>
    </row>
    <row r="1105" spans="1:7" x14ac:dyDescent="0.25">
      <c r="A1105" s="174">
        <v>2455</v>
      </c>
      <c r="B1105" s="174">
        <v>34</v>
      </c>
      <c r="C1105" t="s">
        <v>2007</v>
      </c>
      <c r="D1105" s="795">
        <v>37229</v>
      </c>
      <c r="E1105" t="s">
        <v>113</v>
      </c>
      <c r="F1105">
        <v>1</v>
      </c>
      <c r="G1105" s="128"/>
    </row>
    <row r="1106" spans="1:7" x14ac:dyDescent="0.25">
      <c r="A1106" s="174">
        <v>2736</v>
      </c>
      <c r="B1106" s="174">
        <v>21</v>
      </c>
      <c r="C1106" t="s">
        <v>823</v>
      </c>
      <c r="D1106" s="795">
        <v>36623</v>
      </c>
      <c r="E1106" t="s">
        <v>1063</v>
      </c>
      <c r="F1106">
        <v>1</v>
      </c>
      <c r="G1106" s="128"/>
    </row>
    <row r="1107" spans="1:7" x14ac:dyDescent="0.25">
      <c r="A1107" s="174">
        <v>2278</v>
      </c>
      <c r="B1107" s="174">
        <v>44</v>
      </c>
      <c r="C1107" t="s">
        <v>2008</v>
      </c>
      <c r="D1107" s="795">
        <v>36896</v>
      </c>
      <c r="E1107" t="s">
        <v>120</v>
      </c>
      <c r="F1107">
        <v>1</v>
      </c>
      <c r="G1107" s="128"/>
    </row>
    <row r="1108" spans="1:7" x14ac:dyDescent="0.25">
      <c r="A1108" s="174">
        <v>2528</v>
      </c>
      <c r="B1108" s="174">
        <v>31</v>
      </c>
      <c r="C1108" t="s">
        <v>698</v>
      </c>
      <c r="D1108" s="795">
        <v>36684</v>
      </c>
      <c r="E1108" t="s">
        <v>1184</v>
      </c>
      <c r="F1108">
        <v>1</v>
      </c>
      <c r="G1108" s="128"/>
    </row>
    <row r="1109" spans="1:7" x14ac:dyDescent="0.25">
      <c r="A1109" s="174">
        <v>1896</v>
      </c>
      <c r="B1109" s="174">
        <v>72</v>
      </c>
      <c r="C1109" t="s">
        <v>572</v>
      </c>
      <c r="D1109" s="795">
        <v>37041</v>
      </c>
      <c r="E1109" t="s">
        <v>99</v>
      </c>
      <c r="F1109">
        <v>1</v>
      </c>
      <c r="G1109" s="128"/>
    </row>
    <row r="1110" spans="1:7" x14ac:dyDescent="0.25">
      <c r="A1110" s="174">
        <v>2095</v>
      </c>
      <c r="B1110" s="174">
        <v>54</v>
      </c>
      <c r="C1110" t="s">
        <v>573</v>
      </c>
      <c r="D1110" s="795">
        <v>36609</v>
      </c>
      <c r="E1110" t="s">
        <v>72</v>
      </c>
      <c r="F1110">
        <v>1</v>
      </c>
      <c r="G1110" s="128"/>
    </row>
    <row r="1111" spans="1:7" x14ac:dyDescent="0.25">
      <c r="A1111" s="174">
        <v>2004</v>
      </c>
      <c r="B1111" s="174">
        <v>61</v>
      </c>
      <c r="C1111" t="s">
        <v>699</v>
      </c>
      <c r="D1111" s="795">
        <v>36586</v>
      </c>
      <c r="E1111" t="s">
        <v>105</v>
      </c>
      <c r="F1111">
        <v>1</v>
      </c>
      <c r="G1111" s="128"/>
    </row>
    <row r="1112" spans="1:7" x14ac:dyDescent="0.25">
      <c r="A1112" s="174">
        <v>3088</v>
      </c>
      <c r="B1112" s="174">
        <v>8</v>
      </c>
      <c r="C1112" t="s">
        <v>2009</v>
      </c>
      <c r="D1112" s="795">
        <v>37181</v>
      </c>
      <c r="E1112" t="s">
        <v>1367</v>
      </c>
      <c r="F1112">
        <v>1</v>
      </c>
      <c r="G1112" s="128"/>
    </row>
    <row r="1113" spans="1:7" x14ac:dyDescent="0.25">
      <c r="A1113" s="174">
        <v>3422</v>
      </c>
      <c r="B1113" s="174">
        <v>0</v>
      </c>
      <c r="C1113" t="s">
        <v>2468</v>
      </c>
      <c r="D1113" s="795">
        <v>36590</v>
      </c>
      <c r="E1113" t="s">
        <v>1143</v>
      </c>
      <c r="F1113">
        <v>1</v>
      </c>
      <c r="G1113" s="128"/>
    </row>
    <row r="1114" spans="1:7" x14ac:dyDescent="0.25">
      <c r="A1114" s="174">
        <v>2079</v>
      </c>
      <c r="B1114" s="174">
        <v>55</v>
      </c>
      <c r="C1114" t="s">
        <v>311</v>
      </c>
      <c r="D1114" s="795">
        <v>36631</v>
      </c>
      <c r="E1114" t="s">
        <v>142</v>
      </c>
      <c r="F1114">
        <v>1</v>
      </c>
      <c r="G1114" s="128"/>
    </row>
    <row r="1115" spans="1:7" x14ac:dyDescent="0.25">
      <c r="A1115" s="174">
        <v>3928</v>
      </c>
      <c r="B1115" s="174">
        <v>0</v>
      </c>
      <c r="C1115" t="s">
        <v>2011</v>
      </c>
      <c r="D1115" s="795">
        <v>37820</v>
      </c>
      <c r="E1115" t="s">
        <v>120</v>
      </c>
      <c r="F1115">
        <v>1</v>
      </c>
      <c r="G1115" s="128"/>
    </row>
    <row r="1116" spans="1:7" x14ac:dyDescent="0.25">
      <c r="A1116" s="174">
        <v>1992</v>
      </c>
      <c r="B1116" s="174">
        <v>62</v>
      </c>
      <c r="C1116" t="s">
        <v>700</v>
      </c>
      <c r="D1116" s="795">
        <v>36526</v>
      </c>
      <c r="E1116" t="s">
        <v>120</v>
      </c>
      <c r="F1116">
        <v>1</v>
      </c>
      <c r="G1116" s="128"/>
    </row>
    <row r="1117" spans="1:7" x14ac:dyDescent="0.25">
      <c r="A1117" s="174">
        <v>2068</v>
      </c>
      <c r="B1117" s="174">
        <v>56</v>
      </c>
      <c r="C1117" t="s">
        <v>2013</v>
      </c>
      <c r="D1117" s="795">
        <v>37006</v>
      </c>
      <c r="E1117" t="s">
        <v>1334</v>
      </c>
      <c r="F1117">
        <v>1</v>
      </c>
      <c r="G1117" s="128"/>
    </row>
    <row r="1118" spans="1:7" x14ac:dyDescent="0.25">
      <c r="A1118" s="174">
        <v>1575</v>
      </c>
      <c r="B1118" s="174">
        <v>114</v>
      </c>
      <c r="C1118" t="s">
        <v>574</v>
      </c>
      <c r="D1118" s="795">
        <v>36654</v>
      </c>
      <c r="E1118" t="s">
        <v>105</v>
      </c>
      <c r="F1118">
        <v>1</v>
      </c>
      <c r="G1118" s="128"/>
    </row>
    <row r="1119" spans="1:7" x14ac:dyDescent="0.25">
      <c r="A1119" s="174">
        <v>3770</v>
      </c>
      <c r="B1119" s="174">
        <v>0</v>
      </c>
      <c r="C1119" t="s">
        <v>2015</v>
      </c>
      <c r="D1119" s="795">
        <v>37068</v>
      </c>
      <c r="E1119" t="s">
        <v>165</v>
      </c>
      <c r="F1119">
        <v>1</v>
      </c>
      <c r="G1119" s="128"/>
    </row>
    <row r="1120" spans="1:7" x14ac:dyDescent="0.25">
      <c r="A1120" s="174">
        <v>2313</v>
      </c>
      <c r="B1120" s="174">
        <v>42</v>
      </c>
      <c r="C1120" t="s">
        <v>2561</v>
      </c>
      <c r="D1120" s="795">
        <v>37552</v>
      </c>
      <c r="E1120" t="s">
        <v>73</v>
      </c>
      <c r="F1120">
        <v>1</v>
      </c>
      <c r="G1120" s="128"/>
    </row>
    <row r="1121" spans="1:7" x14ac:dyDescent="0.25">
      <c r="A1121" s="174">
        <v>2415</v>
      </c>
      <c r="B1121" s="174">
        <v>36</v>
      </c>
      <c r="C1121" t="s">
        <v>824</v>
      </c>
      <c r="D1121" s="795">
        <v>36898</v>
      </c>
      <c r="E1121" t="s">
        <v>160</v>
      </c>
      <c r="F1121">
        <v>1</v>
      </c>
      <c r="G1121" s="128"/>
    </row>
    <row r="1122" spans="1:7" x14ac:dyDescent="0.25">
      <c r="A1122" s="174">
        <v>3492</v>
      </c>
      <c r="B1122" s="174">
        <v>0</v>
      </c>
      <c r="C1122" t="s">
        <v>2562</v>
      </c>
      <c r="D1122" s="795">
        <v>37951</v>
      </c>
      <c r="E1122" t="s">
        <v>99</v>
      </c>
      <c r="F1122">
        <v>1</v>
      </c>
      <c r="G1122" s="128"/>
    </row>
    <row r="1123" spans="1:7" x14ac:dyDescent="0.25">
      <c r="A1123" s="174">
        <v>2897</v>
      </c>
      <c r="B1123" s="174">
        <v>14</v>
      </c>
      <c r="C1123" t="s">
        <v>2019</v>
      </c>
      <c r="D1123" s="795">
        <v>36732</v>
      </c>
      <c r="E1123" t="s">
        <v>120</v>
      </c>
      <c r="F1123">
        <v>1</v>
      </c>
      <c r="G1123" s="128"/>
    </row>
    <row r="1124" spans="1:7" x14ac:dyDescent="0.25">
      <c r="A1124" s="174">
        <v>2895</v>
      </c>
      <c r="B1124" s="174">
        <v>14</v>
      </c>
      <c r="C1124" t="s">
        <v>2020</v>
      </c>
      <c r="D1124" s="795">
        <v>36874</v>
      </c>
      <c r="E1124" t="s">
        <v>1237</v>
      </c>
      <c r="F1124">
        <v>1</v>
      </c>
      <c r="G1124" s="128"/>
    </row>
    <row r="1125" spans="1:7" x14ac:dyDescent="0.25">
      <c r="A1125" s="174">
        <v>3283</v>
      </c>
      <c r="B1125" s="174">
        <v>2</v>
      </c>
      <c r="C1125" t="s">
        <v>313</v>
      </c>
      <c r="D1125" s="795">
        <v>36754</v>
      </c>
      <c r="E1125" t="s">
        <v>1143</v>
      </c>
      <c r="F1125">
        <v>1</v>
      </c>
      <c r="G1125" s="128"/>
    </row>
    <row r="1126" spans="1:7" x14ac:dyDescent="0.25">
      <c r="A1126" s="174">
        <v>1718</v>
      </c>
      <c r="B1126" s="174">
        <v>92</v>
      </c>
      <c r="C1126" t="s">
        <v>575</v>
      </c>
      <c r="D1126" s="795">
        <v>37143</v>
      </c>
      <c r="E1126" t="s">
        <v>99</v>
      </c>
      <c r="F1126">
        <v>1</v>
      </c>
      <c r="G1126" s="128"/>
    </row>
    <row r="1127" spans="1:7" x14ac:dyDescent="0.25">
      <c r="A1127" s="174">
        <v>2136</v>
      </c>
      <c r="B1127" s="174">
        <v>51</v>
      </c>
      <c r="C1127" t="s">
        <v>576</v>
      </c>
      <c r="D1127" s="795">
        <v>37228</v>
      </c>
      <c r="E1127" t="s">
        <v>165</v>
      </c>
      <c r="F1127">
        <v>1</v>
      </c>
      <c r="G1127" s="128"/>
    </row>
    <row r="1128" spans="1:7" x14ac:dyDescent="0.25">
      <c r="A1128" s="174">
        <v>1733</v>
      </c>
      <c r="B1128" s="174">
        <v>91</v>
      </c>
      <c r="C1128" t="s">
        <v>2022</v>
      </c>
      <c r="D1128" s="795">
        <v>36788</v>
      </c>
      <c r="E1128" t="s">
        <v>1078</v>
      </c>
      <c r="F1128">
        <v>1</v>
      </c>
      <c r="G1128" s="128"/>
    </row>
    <row r="1129" spans="1:7" x14ac:dyDescent="0.25">
      <c r="A1129" s="174">
        <v>3733</v>
      </c>
      <c r="B1129" s="174">
        <v>0</v>
      </c>
      <c r="C1129" t="s">
        <v>2023</v>
      </c>
      <c r="D1129" s="795">
        <v>36948</v>
      </c>
      <c r="E1129" t="s">
        <v>1363</v>
      </c>
      <c r="F1129">
        <v>1</v>
      </c>
      <c r="G1129" s="128"/>
    </row>
    <row r="1130" spans="1:7" x14ac:dyDescent="0.25">
      <c r="A1130" s="174">
        <v>3777</v>
      </c>
      <c r="B1130" s="174">
        <v>0</v>
      </c>
      <c r="C1130" t="s">
        <v>2024</v>
      </c>
      <c r="D1130" s="795">
        <v>36899</v>
      </c>
      <c r="E1130" t="s">
        <v>133</v>
      </c>
      <c r="F1130">
        <v>1</v>
      </c>
      <c r="G1130" s="128"/>
    </row>
    <row r="1131" spans="1:7" x14ac:dyDescent="0.25">
      <c r="A1131" s="174">
        <v>976</v>
      </c>
      <c r="B1131" s="174">
        <v>245</v>
      </c>
      <c r="C1131" t="s">
        <v>2026</v>
      </c>
      <c r="D1131" s="795">
        <v>36526</v>
      </c>
      <c r="E1131" t="s">
        <v>1600</v>
      </c>
      <c r="F1131">
        <v>1</v>
      </c>
      <c r="G1131" s="128"/>
    </row>
    <row r="1132" spans="1:7" x14ac:dyDescent="0.25">
      <c r="A1132" s="174">
        <v>3873</v>
      </c>
      <c r="B1132" s="174">
        <v>0</v>
      </c>
      <c r="C1132" t="s">
        <v>2028</v>
      </c>
      <c r="D1132" s="795">
        <v>37155</v>
      </c>
      <c r="E1132" t="s">
        <v>120</v>
      </c>
      <c r="F1132">
        <v>1</v>
      </c>
      <c r="G1132" s="128"/>
    </row>
    <row r="1133" spans="1:7" x14ac:dyDescent="0.25">
      <c r="A1133" s="174">
        <v>2524</v>
      </c>
      <c r="B1133" s="174">
        <v>31</v>
      </c>
      <c r="C1133" t="s">
        <v>701</v>
      </c>
      <c r="D1133" s="795">
        <v>37302</v>
      </c>
      <c r="E1133" t="s">
        <v>1193</v>
      </c>
      <c r="F1133">
        <v>1</v>
      </c>
      <c r="G1133" s="128"/>
    </row>
    <row r="1134" spans="1:7" x14ac:dyDescent="0.25">
      <c r="A1134" s="174">
        <v>2992</v>
      </c>
      <c r="B1134" s="174">
        <v>10</v>
      </c>
      <c r="C1134" t="s">
        <v>2029</v>
      </c>
      <c r="D1134" s="795">
        <v>37265</v>
      </c>
      <c r="E1134" t="s">
        <v>120</v>
      </c>
      <c r="F1134">
        <v>1</v>
      </c>
      <c r="G1134" s="128"/>
    </row>
    <row r="1135" spans="1:7" x14ac:dyDescent="0.25">
      <c r="A1135" s="174">
        <v>2810</v>
      </c>
      <c r="B1135" s="174">
        <v>18</v>
      </c>
      <c r="C1135" t="s">
        <v>2030</v>
      </c>
      <c r="D1135" s="795">
        <v>36966</v>
      </c>
      <c r="E1135" t="s">
        <v>120</v>
      </c>
      <c r="F1135">
        <v>1</v>
      </c>
      <c r="G1135" s="128"/>
    </row>
    <row r="1136" spans="1:7" x14ac:dyDescent="0.25">
      <c r="A1136" s="174">
        <v>3707</v>
      </c>
      <c r="B1136" s="174">
        <v>0</v>
      </c>
      <c r="C1136" t="s">
        <v>2032</v>
      </c>
      <c r="D1136" s="795">
        <v>37205</v>
      </c>
      <c r="E1136" t="s">
        <v>1163</v>
      </c>
      <c r="F1136">
        <v>1</v>
      </c>
      <c r="G1136" s="128"/>
    </row>
    <row r="1137" spans="1:7" x14ac:dyDescent="0.25">
      <c r="A1137" s="174">
        <v>3124</v>
      </c>
      <c r="B1137" s="174">
        <v>6</v>
      </c>
      <c r="C1137" t="s">
        <v>2033</v>
      </c>
      <c r="D1137" s="795">
        <v>36892</v>
      </c>
      <c r="E1137" t="s">
        <v>120</v>
      </c>
      <c r="F1137">
        <v>1</v>
      </c>
      <c r="G1137" s="128"/>
    </row>
    <row r="1138" spans="1:7" x14ac:dyDescent="0.25">
      <c r="A1138" s="174">
        <v>2010</v>
      </c>
      <c r="B1138" s="174">
        <v>61</v>
      </c>
      <c r="C1138" t="s">
        <v>825</v>
      </c>
      <c r="D1138" s="795">
        <v>36701</v>
      </c>
      <c r="E1138" t="s">
        <v>109</v>
      </c>
      <c r="F1138">
        <v>1</v>
      </c>
      <c r="G1138" s="128"/>
    </row>
    <row r="1139" spans="1:7" x14ac:dyDescent="0.25">
      <c r="A1139" s="174">
        <v>2217</v>
      </c>
      <c r="B1139" s="174">
        <v>46</v>
      </c>
      <c r="C1139" t="s">
        <v>406</v>
      </c>
      <c r="D1139" s="795">
        <v>37255</v>
      </c>
      <c r="E1139" t="s">
        <v>106</v>
      </c>
      <c r="F1139">
        <v>1</v>
      </c>
      <c r="G1139" s="128"/>
    </row>
    <row r="1140" spans="1:7" x14ac:dyDescent="0.25">
      <c r="A1140" s="174">
        <v>3493</v>
      </c>
      <c r="B1140" s="174">
        <v>0</v>
      </c>
      <c r="C1140" t="s">
        <v>2469</v>
      </c>
      <c r="D1140" s="795">
        <v>37697</v>
      </c>
      <c r="E1140" t="s">
        <v>105</v>
      </c>
      <c r="F1140">
        <v>1</v>
      </c>
      <c r="G1140" s="128"/>
    </row>
    <row r="1141" spans="1:7" x14ac:dyDescent="0.25">
      <c r="A1141" s="174">
        <v>3929</v>
      </c>
      <c r="B1141" s="174">
        <v>0</v>
      </c>
      <c r="C1141" t="s">
        <v>2034</v>
      </c>
      <c r="D1141" s="795">
        <v>37388</v>
      </c>
      <c r="E1141" t="s">
        <v>120</v>
      </c>
      <c r="F1141">
        <v>1</v>
      </c>
      <c r="G1141" s="128"/>
    </row>
    <row r="1142" spans="1:7" x14ac:dyDescent="0.25">
      <c r="A1142" s="174">
        <v>3174</v>
      </c>
      <c r="B1142" s="174">
        <v>5</v>
      </c>
      <c r="C1142" t="s">
        <v>2035</v>
      </c>
      <c r="D1142" s="795">
        <v>37202</v>
      </c>
      <c r="E1142" t="s">
        <v>127</v>
      </c>
      <c r="F1142">
        <v>1</v>
      </c>
      <c r="G1142" s="128"/>
    </row>
    <row r="1143" spans="1:7" x14ac:dyDescent="0.25">
      <c r="A1143" s="174">
        <v>3238</v>
      </c>
      <c r="B1143" s="174">
        <v>4</v>
      </c>
      <c r="C1143" t="s">
        <v>2037</v>
      </c>
      <c r="D1143" s="795">
        <v>37213</v>
      </c>
      <c r="E1143" t="s">
        <v>208</v>
      </c>
      <c r="F1143">
        <v>1</v>
      </c>
      <c r="G1143" s="128"/>
    </row>
    <row r="1144" spans="1:7" x14ac:dyDescent="0.25">
      <c r="A1144" s="174">
        <v>2269</v>
      </c>
      <c r="B1144" s="174">
        <v>44</v>
      </c>
      <c r="C1144" t="s">
        <v>577</v>
      </c>
      <c r="D1144" s="795">
        <v>36846</v>
      </c>
      <c r="E1144" t="s">
        <v>74</v>
      </c>
      <c r="F1144">
        <v>1</v>
      </c>
      <c r="G1144" s="128"/>
    </row>
    <row r="1145" spans="1:7" x14ac:dyDescent="0.25">
      <c r="A1145" s="174">
        <v>2048</v>
      </c>
      <c r="B1145" s="174">
        <v>58</v>
      </c>
      <c r="C1145" t="s">
        <v>2039</v>
      </c>
      <c r="D1145" s="795">
        <v>37672</v>
      </c>
      <c r="E1145" t="s">
        <v>1078</v>
      </c>
      <c r="F1145">
        <v>1</v>
      </c>
      <c r="G1145" s="128"/>
    </row>
    <row r="1146" spans="1:7" x14ac:dyDescent="0.25">
      <c r="A1146" s="174">
        <v>3636</v>
      </c>
      <c r="B1146" s="174">
        <v>0</v>
      </c>
      <c r="C1146" t="s">
        <v>2041</v>
      </c>
      <c r="D1146" s="795">
        <v>37249</v>
      </c>
      <c r="E1146" t="s">
        <v>105</v>
      </c>
      <c r="F1146">
        <v>1</v>
      </c>
      <c r="G1146" s="128"/>
    </row>
    <row r="1147" spans="1:7" x14ac:dyDescent="0.25">
      <c r="A1147" s="174">
        <v>2443</v>
      </c>
      <c r="B1147" s="174">
        <v>35</v>
      </c>
      <c r="C1147" t="s">
        <v>2042</v>
      </c>
      <c r="D1147" s="795">
        <v>37060</v>
      </c>
      <c r="E1147" t="s">
        <v>1279</v>
      </c>
      <c r="F1147">
        <v>1</v>
      </c>
      <c r="G1147" s="128"/>
    </row>
    <row r="1148" spans="1:7" x14ac:dyDescent="0.25">
      <c r="A1148" s="174">
        <v>3379</v>
      </c>
      <c r="B1148" s="174">
        <v>0</v>
      </c>
      <c r="C1148" t="s">
        <v>314</v>
      </c>
      <c r="D1148" s="795">
        <v>37101</v>
      </c>
      <c r="E1148" t="s">
        <v>105</v>
      </c>
      <c r="F1148">
        <v>1</v>
      </c>
      <c r="G1148" s="128"/>
    </row>
    <row r="1149" spans="1:7" x14ac:dyDescent="0.25">
      <c r="A1149" s="174">
        <v>3331</v>
      </c>
      <c r="B1149" s="174">
        <v>1</v>
      </c>
      <c r="C1149" t="s">
        <v>2044</v>
      </c>
      <c r="D1149" s="795">
        <v>37806</v>
      </c>
      <c r="E1149" t="s">
        <v>105</v>
      </c>
      <c r="F1149">
        <v>1</v>
      </c>
      <c r="G1149" s="128"/>
    </row>
    <row r="1150" spans="1:7" x14ac:dyDescent="0.25">
      <c r="A1150" s="174">
        <v>1821</v>
      </c>
      <c r="B1150" s="174">
        <v>81</v>
      </c>
      <c r="C1150" t="s">
        <v>702</v>
      </c>
      <c r="D1150" s="795">
        <v>37002</v>
      </c>
      <c r="E1150" t="s">
        <v>104</v>
      </c>
      <c r="F1150">
        <v>1</v>
      </c>
      <c r="G1150" s="128"/>
    </row>
    <row r="1151" spans="1:7" x14ac:dyDescent="0.25">
      <c r="A1151" s="174">
        <v>1488</v>
      </c>
      <c r="B1151" s="174">
        <v>130</v>
      </c>
      <c r="C1151" t="s">
        <v>2045</v>
      </c>
      <c r="D1151" s="795">
        <v>37008</v>
      </c>
      <c r="E1151" t="s">
        <v>1334</v>
      </c>
      <c r="F1151">
        <v>1</v>
      </c>
      <c r="G1151" s="128"/>
    </row>
    <row r="1152" spans="1:7" x14ac:dyDescent="0.25">
      <c r="A1152" s="174">
        <v>2129</v>
      </c>
      <c r="B1152" s="174">
        <v>52</v>
      </c>
      <c r="C1152" t="s">
        <v>2046</v>
      </c>
      <c r="D1152" s="795">
        <v>37099</v>
      </c>
      <c r="E1152" t="s">
        <v>139</v>
      </c>
      <c r="F1152">
        <v>1</v>
      </c>
      <c r="G1152" s="128"/>
    </row>
    <row r="1153" spans="1:7" x14ac:dyDescent="0.25">
      <c r="A1153" s="174">
        <v>3863</v>
      </c>
      <c r="B1153" s="174">
        <v>0</v>
      </c>
      <c r="C1153" t="s">
        <v>2047</v>
      </c>
      <c r="D1153" s="795">
        <v>36601</v>
      </c>
      <c r="E1153" t="s">
        <v>1612</v>
      </c>
      <c r="F1153">
        <v>1</v>
      </c>
      <c r="G1153" s="128"/>
    </row>
    <row r="1154" spans="1:7" x14ac:dyDescent="0.25">
      <c r="A1154" s="174">
        <v>2295</v>
      </c>
      <c r="B1154" s="174">
        <v>43</v>
      </c>
      <c r="C1154" t="s">
        <v>2048</v>
      </c>
      <c r="D1154" s="795">
        <v>36698</v>
      </c>
      <c r="E1154" t="s">
        <v>105</v>
      </c>
      <c r="F1154">
        <v>1</v>
      </c>
      <c r="G1154" s="128"/>
    </row>
    <row r="1155" spans="1:7" x14ac:dyDescent="0.25">
      <c r="A1155" s="174">
        <v>3908</v>
      </c>
      <c r="B1155" s="174">
        <v>0</v>
      </c>
      <c r="C1155" t="s">
        <v>2049</v>
      </c>
      <c r="D1155" s="795">
        <v>36892</v>
      </c>
      <c r="E1155" t="s">
        <v>2050</v>
      </c>
      <c r="F1155">
        <v>1</v>
      </c>
      <c r="G1155" s="128"/>
    </row>
    <row r="1156" spans="1:7" x14ac:dyDescent="0.25">
      <c r="A1156" s="174">
        <v>3526</v>
      </c>
      <c r="B1156" s="174">
        <v>0</v>
      </c>
      <c r="C1156" t="s">
        <v>2563</v>
      </c>
      <c r="D1156" s="795">
        <v>38489</v>
      </c>
      <c r="E1156" t="s">
        <v>99</v>
      </c>
      <c r="F1156">
        <v>1</v>
      </c>
      <c r="G1156" s="128"/>
    </row>
    <row r="1157" spans="1:7" x14ac:dyDescent="0.25">
      <c r="A1157" s="174">
        <v>1282</v>
      </c>
      <c r="B1157" s="174">
        <v>168</v>
      </c>
      <c r="C1157" t="s">
        <v>315</v>
      </c>
      <c r="D1157" s="795">
        <v>36546</v>
      </c>
      <c r="E1157" t="s">
        <v>1143</v>
      </c>
      <c r="F1157">
        <v>1</v>
      </c>
      <c r="G1157" s="128"/>
    </row>
    <row r="1158" spans="1:7" x14ac:dyDescent="0.25">
      <c r="A1158" s="174">
        <v>1713</v>
      </c>
      <c r="B1158" s="174">
        <v>93</v>
      </c>
      <c r="C1158" t="s">
        <v>703</v>
      </c>
      <c r="D1158" s="795">
        <v>36979</v>
      </c>
      <c r="E1158" t="s">
        <v>180</v>
      </c>
      <c r="F1158">
        <v>1</v>
      </c>
      <c r="G1158" s="128"/>
    </row>
    <row r="1159" spans="1:7" x14ac:dyDescent="0.25">
      <c r="A1159" s="174">
        <v>2951</v>
      </c>
      <c r="B1159" s="174">
        <v>12</v>
      </c>
      <c r="C1159" t="s">
        <v>2054</v>
      </c>
      <c r="D1159" s="795">
        <v>36709</v>
      </c>
      <c r="E1159" t="s">
        <v>118</v>
      </c>
      <c r="F1159">
        <v>1</v>
      </c>
      <c r="G1159" s="128"/>
    </row>
    <row r="1160" spans="1:7" x14ac:dyDescent="0.25">
      <c r="A1160" s="174">
        <v>1677</v>
      </c>
      <c r="B1160" s="174">
        <v>97</v>
      </c>
      <c r="C1160" t="s">
        <v>578</v>
      </c>
      <c r="D1160" s="795">
        <v>36775</v>
      </c>
      <c r="E1160" t="s">
        <v>128</v>
      </c>
      <c r="F1160">
        <v>1</v>
      </c>
      <c r="G1160" s="128"/>
    </row>
    <row r="1161" spans="1:7" x14ac:dyDescent="0.25">
      <c r="A1161" s="174">
        <v>3668</v>
      </c>
      <c r="B1161" s="174">
        <v>0</v>
      </c>
      <c r="C1161" t="s">
        <v>2055</v>
      </c>
      <c r="D1161" s="795">
        <v>37081</v>
      </c>
      <c r="E1161" t="s">
        <v>74</v>
      </c>
      <c r="F1161">
        <v>1</v>
      </c>
      <c r="G1161" s="128"/>
    </row>
    <row r="1162" spans="1:7" x14ac:dyDescent="0.25">
      <c r="A1162" s="174">
        <v>1761</v>
      </c>
      <c r="B1162" s="174">
        <v>87</v>
      </c>
      <c r="C1162" t="s">
        <v>2056</v>
      </c>
      <c r="D1162" s="795">
        <v>36696</v>
      </c>
      <c r="E1162" t="s">
        <v>105</v>
      </c>
      <c r="F1162">
        <v>1</v>
      </c>
      <c r="G1162" s="128"/>
    </row>
    <row r="1163" spans="1:7" x14ac:dyDescent="0.25">
      <c r="A1163" s="174">
        <v>2776</v>
      </c>
      <c r="B1163" s="174">
        <v>19</v>
      </c>
      <c r="C1163" t="s">
        <v>2057</v>
      </c>
      <c r="D1163" s="795">
        <v>37461</v>
      </c>
      <c r="E1163" t="s">
        <v>186</v>
      </c>
      <c r="F1163">
        <v>1</v>
      </c>
      <c r="G1163" s="128"/>
    </row>
    <row r="1164" spans="1:7" x14ac:dyDescent="0.25">
      <c r="A1164" s="174">
        <v>3778</v>
      </c>
      <c r="B1164" s="174">
        <v>0</v>
      </c>
      <c r="C1164" t="s">
        <v>2058</v>
      </c>
      <c r="D1164" s="795">
        <v>37198</v>
      </c>
      <c r="E1164" t="s">
        <v>133</v>
      </c>
      <c r="F1164">
        <v>1</v>
      </c>
      <c r="G1164" s="128"/>
    </row>
    <row r="1165" spans="1:7" x14ac:dyDescent="0.25">
      <c r="A1165" s="174">
        <v>2123</v>
      </c>
      <c r="B1165" s="174">
        <v>52</v>
      </c>
      <c r="C1165" t="s">
        <v>704</v>
      </c>
      <c r="D1165" s="795">
        <v>37052</v>
      </c>
      <c r="E1165" t="s">
        <v>105</v>
      </c>
      <c r="F1165">
        <v>1</v>
      </c>
      <c r="G1165" s="128"/>
    </row>
    <row r="1166" spans="1:7" x14ac:dyDescent="0.25">
      <c r="A1166" s="174">
        <v>2314</v>
      </c>
      <c r="B1166" s="174">
        <v>42</v>
      </c>
      <c r="C1166" t="s">
        <v>827</v>
      </c>
      <c r="D1166" s="795">
        <v>37564</v>
      </c>
      <c r="E1166" t="s">
        <v>105</v>
      </c>
      <c r="F1166">
        <v>1</v>
      </c>
      <c r="G1166" s="128"/>
    </row>
    <row r="1167" spans="1:7" x14ac:dyDescent="0.25">
      <c r="A1167" s="174">
        <v>2317</v>
      </c>
      <c r="B1167" s="174">
        <v>41</v>
      </c>
      <c r="C1167" t="s">
        <v>407</v>
      </c>
      <c r="D1167" s="795">
        <v>36545</v>
      </c>
      <c r="E1167" t="s">
        <v>106</v>
      </c>
      <c r="F1167">
        <v>1</v>
      </c>
      <c r="G1167" s="128"/>
    </row>
    <row r="1168" spans="1:7" x14ac:dyDescent="0.25">
      <c r="A1168" s="174">
        <v>3881</v>
      </c>
      <c r="B1168" s="174">
        <v>0</v>
      </c>
      <c r="C1168" t="s">
        <v>2059</v>
      </c>
      <c r="D1168" s="795">
        <v>37037</v>
      </c>
      <c r="E1168" t="s">
        <v>186</v>
      </c>
      <c r="F1168">
        <v>1</v>
      </c>
      <c r="G1168" s="128"/>
    </row>
    <row r="1169" spans="1:7" x14ac:dyDescent="0.25">
      <c r="A1169" s="174">
        <v>2828</v>
      </c>
      <c r="B1169" s="174">
        <v>17</v>
      </c>
      <c r="C1169" t="s">
        <v>2060</v>
      </c>
      <c r="D1169" s="795">
        <v>37257</v>
      </c>
      <c r="E1169" t="s">
        <v>165</v>
      </c>
      <c r="F1169">
        <v>1</v>
      </c>
      <c r="G1169" s="128"/>
    </row>
    <row r="1170" spans="1:7" x14ac:dyDescent="0.25">
      <c r="A1170" s="174">
        <v>3055</v>
      </c>
      <c r="B1170" s="174">
        <v>9</v>
      </c>
      <c r="C1170" t="s">
        <v>579</v>
      </c>
      <c r="D1170" s="795">
        <v>36807</v>
      </c>
      <c r="E1170" t="s">
        <v>127</v>
      </c>
      <c r="F1170">
        <v>1</v>
      </c>
      <c r="G1170" s="128"/>
    </row>
    <row r="1171" spans="1:7" x14ac:dyDescent="0.25">
      <c r="A1171" s="174">
        <v>2917</v>
      </c>
      <c r="B1171" s="174">
        <v>13</v>
      </c>
      <c r="C1171" t="s">
        <v>2061</v>
      </c>
      <c r="D1171" s="795">
        <v>37078</v>
      </c>
      <c r="E1171" t="s">
        <v>117</v>
      </c>
      <c r="F1171">
        <v>1</v>
      </c>
      <c r="G1171" s="128"/>
    </row>
    <row r="1172" spans="1:7" x14ac:dyDescent="0.25">
      <c r="A1172" s="174">
        <v>2820</v>
      </c>
      <c r="B1172" s="174">
        <v>17</v>
      </c>
      <c r="C1172" t="s">
        <v>2062</v>
      </c>
      <c r="D1172" s="795">
        <v>37521</v>
      </c>
      <c r="E1172" t="s">
        <v>105</v>
      </c>
      <c r="F1172">
        <v>1</v>
      </c>
      <c r="G1172" s="128"/>
    </row>
    <row r="1173" spans="1:7" x14ac:dyDescent="0.25">
      <c r="A1173" s="174">
        <v>3491</v>
      </c>
      <c r="B1173" s="174">
        <v>0</v>
      </c>
      <c r="C1173" t="s">
        <v>2564</v>
      </c>
      <c r="D1173" s="795">
        <v>36819</v>
      </c>
      <c r="E1173" t="s">
        <v>1078</v>
      </c>
      <c r="F1173">
        <v>1</v>
      </c>
      <c r="G1173" s="128"/>
    </row>
    <row r="1174" spans="1:7" x14ac:dyDescent="0.25">
      <c r="A1174" s="174">
        <v>3431</v>
      </c>
      <c r="B1174" s="174">
        <v>0</v>
      </c>
      <c r="C1174" t="s">
        <v>2064</v>
      </c>
      <c r="D1174" s="795">
        <v>37412</v>
      </c>
      <c r="E1174" t="s">
        <v>105</v>
      </c>
      <c r="F1174">
        <v>1</v>
      </c>
      <c r="G1174" s="128"/>
    </row>
    <row r="1175" spans="1:7" x14ac:dyDescent="0.25">
      <c r="A1175" s="174">
        <v>3039</v>
      </c>
      <c r="B1175" s="174">
        <v>9</v>
      </c>
      <c r="C1175" t="s">
        <v>2065</v>
      </c>
      <c r="D1175" s="795">
        <v>37052</v>
      </c>
      <c r="E1175" t="s">
        <v>74</v>
      </c>
      <c r="F1175">
        <v>1</v>
      </c>
      <c r="G1175" s="128"/>
    </row>
    <row r="1176" spans="1:7" x14ac:dyDescent="0.25">
      <c r="A1176" s="174">
        <v>2293</v>
      </c>
      <c r="B1176" s="174">
        <v>43</v>
      </c>
      <c r="C1176" t="s">
        <v>2066</v>
      </c>
      <c r="D1176" s="795">
        <v>36871</v>
      </c>
      <c r="E1176" t="s">
        <v>105</v>
      </c>
      <c r="F1176">
        <v>1</v>
      </c>
      <c r="G1176" s="128"/>
    </row>
    <row r="1177" spans="1:7" x14ac:dyDescent="0.25">
      <c r="A1177" s="174">
        <v>1997</v>
      </c>
      <c r="B1177" s="174">
        <v>62</v>
      </c>
      <c r="C1177" t="s">
        <v>2565</v>
      </c>
      <c r="D1177" s="795">
        <v>36662</v>
      </c>
      <c r="E1177" t="s">
        <v>208</v>
      </c>
      <c r="F1177">
        <v>1</v>
      </c>
      <c r="G1177" s="128"/>
    </row>
    <row r="1178" spans="1:7" x14ac:dyDescent="0.25">
      <c r="A1178" s="174">
        <v>3044</v>
      </c>
      <c r="B1178" s="174">
        <v>9</v>
      </c>
      <c r="C1178" t="s">
        <v>2067</v>
      </c>
      <c r="D1178" s="795">
        <v>37707</v>
      </c>
      <c r="E1178" t="s">
        <v>105</v>
      </c>
      <c r="F1178">
        <v>1</v>
      </c>
      <c r="G1178" s="128"/>
    </row>
    <row r="1179" spans="1:7" x14ac:dyDescent="0.25">
      <c r="A1179" s="174">
        <v>2534</v>
      </c>
      <c r="B1179" s="174">
        <v>30</v>
      </c>
      <c r="C1179" t="s">
        <v>706</v>
      </c>
      <c r="D1179" s="795">
        <v>36678</v>
      </c>
      <c r="E1179" t="s">
        <v>1234</v>
      </c>
      <c r="F1179">
        <v>1</v>
      </c>
      <c r="G1179" s="128"/>
    </row>
    <row r="1180" spans="1:7" x14ac:dyDescent="0.25">
      <c r="A1180" s="174">
        <v>2621</v>
      </c>
      <c r="B1180" s="174">
        <v>26</v>
      </c>
      <c r="C1180" t="s">
        <v>2068</v>
      </c>
      <c r="D1180" s="795">
        <v>36806</v>
      </c>
      <c r="E1180" t="s">
        <v>1121</v>
      </c>
      <c r="F1180">
        <v>1</v>
      </c>
      <c r="G1180" s="128"/>
    </row>
    <row r="1181" spans="1:7" x14ac:dyDescent="0.25">
      <c r="A1181" s="174">
        <v>3779</v>
      </c>
      <c r="B1181" s="174">
        <v>0</v>
      </c>
      <c r="C1181" t="s">
        <v>2069</v>
      </c>
      <c r="D1181" s="795">
        <v>36877</v>
      </c>
      <c r="E1181" t="s">
        <v>1961</v>
      </c>
      <c r="F1181">
        <v>1</v>
      </c>
      <c r="G1181" s="128"/>
    </row>
    <row r="1182" spans="1:7" x14ac:dyDescent="0.25">
      <c r="A1182" s="174">
        <v>3248</v>
      </c>
      <c r="B1182" s="174">
        <v>4</v>
      </c>
      <c r="C1182" t="s">
        <v>2070</v>
      </c>
      <c r="D1182" s="795">
        <v>37769</v>
      </c>
      <c r="E1182" t="s">
        <v>105</v>
      </c>
      <c r="F1182">
        <v>1</v>
      </c>
      <c r="G1182" s="128"/>
    </row>
    <row r="1183" spans="1:7" x14ac:dyDescent="0.25">
      <c r="A1183" s="174">
        <v>2656</v>
      </c>
      <c r="B1183" s="174">
        <v>24</v>
      </c>
      <c r="C1183" t="s">
        <v>580</v>
      </c>
      <c r="D1183" s="795">
        <v>36546</v>
      </c>
      <c r="E1183" t="s">
        <v>105</v>
      </c>
      <c r="F1183">
        <v>1</v>
      </c>
      <c r="G1183" s="128"/>
    </row>
    <row r="1184" spans="1:7" x14ac:dyDescent="0.25">
      <c r="A1184" s="174">
        <v>3277</v>
      </c>
      <c r="B1184" s="174">
        <v>3</v>
      </c>
      <c r="C1184" t="s">
        <v>2071</v>
      </c>
      <c r="D1184" s="795">
        <v>36900</v>
      </c>
      <c r="E1184" t="s">
        <v>117</v>
      </c>
      <c r="F1184">
        <v>1</v>
      </c>
      <c r="G1184" s="128"/>
    </row>
    <row r="1185" spans="1:7" x14ac:dyDescent="0.25">
      <c r="A1185" s="174">
        <v>3159</v>
      </c>
      <c r="B1185" s="174">
        <v>5</v>
      </c>
      <c r="C1185" t="s">
        <v>317</v>
      </c>
      <c r="D1185" s="795">
        <v>36588</v>
      </c>
      <c r="E1185" t="s">
        <v>99</v>
      </c>
      <c r="F1185">
        <v>1</v>
      </c>
      <c r="G1185" s="128"/>
    </row>
    <row r="1186" spans="1:7" x14ac:dyDescent="0.25">
      <c r="A1186" s="174">
        <v>2781</v>
      </c>
      <c r="B1186" s="174">
        <v>19</v>
      </c>
      <c r="C1186" t="s">
        <v>2072</v>
      </c>
      <c r="D1186" s="795">
        <v>37471</v>
      </c>
      <c r="E1186" t="s">
        <v>1150</v>
      </c>
      <c r="F1186">
        <v>1</v>
      </c>
      <c r="G1186" s="128"/>
    </row>
    <row r="1187" spans="1:7" x14ac:dyDescent="0.25">
      <c r="A1187" s="174">
        <v>3100</v>
      </c>
      <c r="B1187" s="174">
        <v>7</v>
      </c>
      <c r="C1187" t="s">
        <v>2073</v>
      </c>
      <c r="D1187" s="795">
        <v>37358</v>
      </c>
      <c r="E1187" t="s">
        <v>1286</v>
      </c>
      <c r="F1187">
        <v>1</v>
      </c>
      <c r="G1187" s="128"/>
    </row>
    <row r="1188" spans="1:7" x14ac:dyDescent="0.25">
      <c r="A1188" s="174">
        <v>3145</v>
      </c>
      <c r="B1188" s="174">
        <v>6</v>
      </c>
      <c r="C1188" t="s">
        <v>2074</v>
      </c>
      <c r="D1188" s="795">
        <v>36895</v>
      </c>
      <c r="E1188" t="s">
        <v>105</v>
      </c>
      <c r="F1188">
        <v>1</v>
      </c>
      <c r="G1188" s="128"/>
    </row>
    <row r="1189" spans="1:7" x14ac:dyDescent="0.25">
      <c r="A1189" s="174">
        <v>1077</v>
      </c>
      <c r="B1189" s="174">
        <v>217</v>
      </c>
      <c r="C1189" t="s">
        <v>581</v>
      </c>
      <c r="D1189" s="795">
        <v>36693</v>
      </c>
      <c r="E1189" t="s">
        <v>103</v>
      </c>
      <c r="F1189">
        <v>1</v>
      </c>
      <c r="G1189" s="128"/>
    </row>
    <row r="1190" spans="1:7" x14ac:dyDescent="0.25">
      <c r="A1190" s="174">
        <v>2714</v>
      </c>
      <c r="B1190" s="174">
        <v>22</v>
      </c>
      <c r="C1190" t="s">
        <v>2075</v>
      </c>
      <c r="D1190" s="795">
        <v>36526</v>
      </c>
      <c r="E1190" t="s">
        <v>104</v>
      </c>
      <c r="F1190">
        <v>1</v>
      </c>
      <c r="G1190" s="128"/>
    </row>
    <row r="1191" spans="1:7" x14ac:dyDescent="0.25">
      <c r="A1191" s="174">
        <v>3035</v>
      </c>
      <c r="B1191" s="174">
        <v>9</v>
      </c>
      <c r="C1191" t="s">
        <v>2076</v>
      </c>
      <c r="D1191" s="795">
        <v>36641</v>
      </c>
      <c r="E1191" t="s">
        <v>1083</v>
      </c>
      <c r="F1191">
        <v>1</v>
      </c>
      <c r="G1191" s="128"/>
    </row>
    <row r="1192" spans="1:7" x14ac:dyDescent="0.25">
      <c r="A1192" s="174">
        <v>2867</v>
      </c>
      <c r="B1192" s="174">
        <v>15</v>
      </c>
      <c r="C1192" t="s">
        <v>582</v>
      </c>
      <c r="D1192" s="795">
        <v>36735</v>
      </c>
      <c r="E1192" t="s">
        <v>74</v>
      </c>
      <c r="F1192">
        <v>1</v>
      </c>
      <c r="G1192" s="128"/>
    </row>
    <row r="1193" spans="1:7" x14ac:dyDescent="0.25">
      <c r="A1193" s="174">
        <v>2219</v>
      </c>
      <c r="B1193" s="174">
        <v>46</v>
      </c>
      <c r="C1193" t="s">
        <v>408</v>
      </c>
      <c r="D1193" s="795">
        <v>37132</v>
      </c>
      <c r="E1193" t="s">
        <v>1367</v>
      </c>
      <c r="F1193">
        <v>1</v>
      </c>
      <c r="G1193" s="128"/>
    </row>
    <row r="1194" spans="1:7" x14ac:dyDescent="0.25">
      <c r="A1194" s="174">
        <v>2676</v>
      </c>
      <c r="B1194" s="174">
        <v>24</v>
      </c>
      <c r="C1194" t="s">
        <v>707</v>
      </c>
      <c r="D1194" s="795">
        <v>36762</v>
      </c>
      <c r="E1194" t="s">
        <v>74</v>
      </c>
      <c r="F1194">
        <v>1</v>
      </c>
      <c r="G1194" s="128"/>
    </row>
    <row r="1195" spans="1:7" x14ac:dyDescent="0.25">
      <c r="A1195" s="174">
        <v>1614</v>
      </c>
      <c r="B1195" s="174">
        <v>107</v>
      </c>
      <c r="C1195" t="s">
        <v>2077</v>
      </c>
      <c r="D1195" s="795">
        <v>36739</v>
      </c>
      <c r="E1195" t="s">
        <v>83</v>
      </c>
      <c r="F1195">
        <v>1</v>
      </c>
      <c r="G1195" s="128"/>
    </row>
    <row r="1196" spans="1:7" x14ac:dyDescent="0.25">
      <c r="A1196" s="174">
        <v>2409</v>
      </c>
      <c r="B1196" s="174">
        <v>36</v>
      </c>
      <c r="C1196" t="s">
        <v>318</v>
      </c>
      <c r="D1196" s="795">
        <v>36697</v>
      </c>
      <c r="E1196" t="s">
        <v>110</v>
      </c>
      <c r="F1196">
        <v>1</v>
      </c>
      <c r="G1196" s="128"/>
    </row>
    <row r="1197" spans="1:7" x14ac:dyDescent="0.25">
      <c r="A1197" s="174">
        <v>2691</v>
      </c>
      <c r="B1197" s="174">
        <v>23</v>
      </c>
      <c r="C1197" t="s">
        <v>2078</v>
      </c>
      <c r="D1197" s="795">
        <v>36763</v>
      </c>
      <c r="E1197" t="s">
        <v>111</v>
      </c>
      <c r="F1197">
        <v>1</v>
      </c>
      <c r="G1197" s="128"/>
    </row>
    <row r="1198" spans="1:7" x14ac:dyDescent="0.25">
      <c r="A1198" s="174">
        <v>1946</v>
      </c>
      <c r="B1198" s="174">
        <v>67</v>
      </c>
      <c r="C1198" t="s">
        <v>319</v>
      </c>
      <c r="D1198" s="795">
        <v>37085</v>
      </c>
      <c r="E1198" t="s">
        <v>105</v>
      </c>
      <c r="F1198">
        <v>1</v>
      </c>
      <c r="G1198" s="128"/>
    </row>
    <row r="1199" spans="1:7" x14ac:dyDescent="0.25">
      <c r="A1199" s="174">
        <v>1682</v>
      </c>
      <c r="B1199" s="174">
        <v>96</v>
      </c>
      <c r="C1199" t="s">
        <v>583</v>
      </c>
      <c r="D1199" s="795">
        <v>37504</v>
      </c>
      <c r="E1199" t="s">
        <v>99</v>
      </c>
      <c r="F1199">
        <v>1</v>
      </c>
      <c r="G1199" s="128"/>
    </row>
    <row r="1200" spans="1:7" x14ac:dyDescent="0.25">
      <c r="A1200" s="174">
        <v>2328</v>
      </c>
      <c r="B1200" s="174">
        <v>41</v>
      </c>
      <c r="C1200" t="s">
        <v>2079</v>
      </c>
      <c r="D1200" s="795">
        <v>37238</v>
      </c>
      <c r="E1200" t="s">
        <v>105</v>
      </c>
      <c r="F1200">
        <v>1</v>
      </c>
      <c r="G1200" s="128"/>
    </row>
    <row r="1201" spans="1:7" x14ac:dyDescent="0.25">
      <c r="A1201" s="174">
        <v>3029</v>
      </c>
      <c r="B1201" s="174">
        <v>9</v>
      </c>
      <c r="C1201" t="s">
        <v>2080</v>
      </c>
      <c r="D1201" s="795">
        <v>36740</v>
      </c>
      <c r="E1201" t="s">
        <v>1506</v>
      </c>
      <c r="F1201">
        <v>1</v>
      </c>
      <c r="G1201" s="128"/>
    </row>
    <row r="1202" spans="1:7" x14ac:dyDescent="0.25">
      <c r="A1202" s="174">
        <v>1816</v>
      </c>
      <c r="B1202" s="174">
        <v>81</v>
      </c>
      <c r="C1202" t="s">
        <v>708</v>
      </c>
      <c r="D1202" s="795">
        <v>36528</v>
      </c>
      <c r="E1202" t="s">
        <v>105</v>
      </c>
      <c r="F1202">
        <v>1</v>
      </c>
      <c r="G1202" s="128"/>
    </row>
    <row r="1203" spans="1:7" x14ac:dyDescent="0.25">
      <c r="A1203" s="174">
        <v>2852</v>
      </c>
      <c r="B1203" s="174">
        <v>16</v>
      </c>
      <c r="C1203" t="s">
        <v>2085</v>
      </c>
      <c r="D1203" s="795">
        <v>36546</v>
      </c>
      <c r="E1203" t="s">
        <v>1398</v>
      </c>
      <c r="F1203">
        <v>1</v>
      </c>
      <c r="G1203" s="128"/>
    </row>
    <row r="1204" spans="1:7" x14ac:dyDescent="0.25">
      <c r="A1204" s="174">
        <v>2375</v>
      </c>
      <c r="B1204" s="174">
        <v>38</v>
      </c>
      <c r="C1204" t="s">
        <v>829</v>
      </c>
      <c r="D1204" s="795">
        <v>37120</v>
      </c>
      <c r="E1204" t="s">
        <v>99</v>
      </c>
      <c r="F1204">
        <v>1</v>
      </c>
      <c r="G1204" s="128"/>
    </row>
    <row r="1205" spans="1:7" x14ac:dyDescent="0.25">
      <c r="A1205" s="174">
        <v>2631</v>
      </c>
      <c r="B1205" s="174">
        <v>25</v>
      </c>
      <c r="C1205" t="s">
        <v>584</v>
      </c>
      <c r="D1205" s="795">
        <v>36634</v>
      </c>
      <c r="E1205" t="s">
        <v>72</v>
      </c>
      <c r="F1205">
        <v>1</v>
      </c>
      <c r="G1205" s="128"/>
    </row>
    <row r="1206" spans="1:7" x14ac:dyDescent="0.25">
      <c r="A1206" s="174">
        <v>3335</v>
      </c>
      <c r="B1206" s="174">
        <v>1</v>
      </c>
      <c r="C1206" t="s">
        <v>2087</v>
      </c>
      <c r="D1206" s="795">
        <v>37767</v>
      </c>
      <c r="E1206" t="s">
        <v>120</v>
      </c>
      <c r="F1206">
        <v>1</v>
      </c>
      <c r="G1206" s="128"/>
    </row>
    <row r="1207" spans="1:7" x14ac:dyDescent="0.25">
      <c r="A1207" s="174">
        <v>2299</v>
      </c>
      <c r="B1207" s="174">
        <v>43</v>
      </c>
      <c r="C1207" t="s">
        <v>830</v>
      </c>
      <c r="D1207" s="795">
        <v>37524</v>
      </c>
      <c r="E1207" t="s">
        <v>73</v>
      </c>
      <c r="F1207">
        <v>1</v>
      </c>
      <c r="G1207" s="128"/>
    </row>
    <row r="1208" spans="1:7" x14ac:dyDescent="0.25">
      <c r="A1208" s="174">
        <v>1753</v>
      </c>
      <c r="B1208" s="174">
        <v>87</v>
      </c>
      <c r="C1208" t="s">
        <v>320</v>
      </c>
      <c r="D1208" s="795">
        <v>37459</v>
      </c>
      <c r="E1208" t="s">
        <v>321</v>
      </c>
      <c r="F1208">
        <v>1</v>
      </c>
      <c r="G1208" s="128"/>
    </row>
    <row r="1209" spans="1:7" x14ac:dyDescent="0.25">
      <c r="A1209" s="174">
        <v>3499</v>
      </c>
      <c r="B1209" s="174">
        <v>0</v>
      </c>
      <c r="C1209" t="s">
        <v>2566</v>
      </c>
      <c r="D1209" s="795">
        <v>37470</v>
      </c>
      <c r="E1209" t="s">
        <v>120</v>
      </c>
      <c r="F1209">
        <v>1</v>
      </c>
      <c r="G1209" s="128"/>
    </row>
    <row r="1210" spans="1:7" x14ac:dyDescent="0.25">
      <c r="A1210" s="174">
        <v>3034</v>
      </c>
      <c r="B1210" s="174">
        <v>9</v>
      </c>
      <c r="C1210" t="s">
        <v>2089</v>
      </c>
      <c r="D1210" s="795">
        <v>36722</v>
      </c>
      <c r="E1210" t="s">
        <v>1334</v>
      </c>
      <c r="F1210">
        <v>1</v>
      </c>
      <c r="G1210" s="128"/>
    </row>
    <row r="1211" spans="1:7" x14ac:dyDescent="0.25">
      <c r="A1211" s="174">
        <v>985</v>
      </c>
      <c r="B1211" s="174">
        <v>243</v>
      </c>
      <c r="C1211" t="s">
        <v>322</v>
      </c>
      <c r="D1211" s="795">
        <v>36590</v>
      </c>
      <c r="E1211" t="s">
        <v>163</v>
      </c>
      <c r="F1211">
        <v>1</v>
      </c>
      <c r="G1211" s="128"/>
    </row>
    <row r="1212" spans="1:7" x14ac:dyDescent="0.25">
      <c r="A1212" s="174">
        <v>3483</v>
      </c>
      <c r="B1212" s="174">
        <v>0</v>
      </c>
      <c r="C1212" t="s">
        <v>323</v>
      </c>
      <c r="D1212" s="795">
        <v>36840</v>
      </c>
      <c r="E1212" t="s">
        <v>105</v>
      </c>
      <c r="F1212">
        <v>1</v>
      </c>
      <c r="G1212" s="128"/>
    </row>
    <row r="1213" spans="1:7" x14ac:dyDescent="0.25">
      <c r="A1213" s="174">
        <v>3551</v>
      </c>
      <c r="B1213" s="174">
        <v>0</v>
      </c>
      <c r="C1213" t="s">
        <v>2090</v>
      </c>
      <c r="D1213" s="795">
        <v>36567</v>
      </c>
      <c r="E1213" t="s">
        <v>113</v>
      </c>
      <c r="F1213">
        <v>1</v>
      </c>
      <c r="G1213" s="128"/>
    </row>
    <row r="1214" spans="1:7" x14ac:dyDescent="0.25">
      <c r="A1214" s="174">
        <v>2439</v>
      </c>
      <c r="B1214" s="174">
        <v>35</v>
      </c>
      <c r="C1214" t="s">
        <v>709</v>
      </c>
      <c r="D1214" s="795">
        <v>36711</v>
      </c>
      <c r="E1214" t="s">
        <v>120</v>
      </c>
      <c r="F1214">
        <v>1</v>
      </c>
      <c r="G1214" s="128"/>
    </row>
    <row r="1215" spans="1:7" x14ac:dyDescent="0.25">
      <c r="A1215" s="174">
        <v>2260</v>
      </c>
      <c r="B1215" s="174">
        <v>44</v>
      </c>
      <c r="C1215" t="s">
        <v>710</v>
      </c>
      <c r="D1215" s="795">
        <v>36923</v>
      </c>
      <c r="E1215" t="s">
        <v>669</v>
      </c>
      <c r="F1215">
        <v>1</v>
      </c>
      <c r="G1215" s="128"/>
    </row>
    <row r="1216" spans="1:7" x14ac:dyDescent="0.25">
      <c r="A1216" s="174">
        <v>3930</v>
      </c>
      <c r="B1216" s="174">
        <v>0</v>
      </c>
      <c r="C1216" t="s">
        <v>2092</v>
      </c>
      <c r="D1216" s="795">
        <v>37344</v>
      </c>
      <c r="E1216" t="s">
        <v>120</v>
      </c>
      <c r="F1216">
        <v>1</v>
      </c>
      <c r="G1216" s="128"/>
    </row>
    <row r="1217" spans="1:7" x14ac:dyDescent="0.25">
      <c r="A1217" s="174">
        <v>2576</v>
      </c>
      <c r="B1217" s="174">
        <v>28</v>
      </c>
      <c r="C1217" t="s">
        <v>325</v>
      </c>
      <c r="D1217" s="795">
        <v>36740</v>
      </c>
      <c r="E1217" t="s">
        <v>99</v>
      </c>
      <c r="F1217">
        <v>1</v>
      </c>
      <c r="G1217" s="128"/>
    </row>
    <row r="1218" spans="1:7" x14ac:dyDescent="0.25">
      <c r="A1218" s="174">
        <v>2126</v>
      </c>
      <c r="B1218" s="174">
        <v>52</v>
      </c>
      <c r="C1218" t="s">
        <v>326</v>
      </c>
      <c r="D1218" s="795">
        <v>36790</v>
      </c>
      <c r="E1218" t="s">
        <v>1367</v>
      </c>
      <c r="F1218">
        <v>1</v>
      </c>
      <c r="G1218" s="128"/>
    </row>
    <row r="1219" spans="1:7" x14ac:dyDescent="0.25">
      <c r="A1219" s="174">
        <v>2497</v>
      </c>
      <c r="B1219" s="174">
        <v>32</v>
      </c>
      <c r="C1219" t="s">
        <v>2093</v>
      </c>
      <c r="D1219" s="795">
        <v>37353</v>
      </c>
      <c r="E1219" t="s">
        <v>160</v>
      </c>
      <c r="F1219">
        <v>1</v>
      </c>
      <c r="G1219" s="128"/>
    </row>
    <row r="1220" spans="1:7" x14ac:dyDescent="0.25">
      <c r="A1220" s="174">
        <v>2880</v>
      </c>
      <c r="B1220" s="174">
        <v>15</v>
      </c>
      <c r="C1220" t="s">
        <v>2567</v>
      </c>
      <c r="D1220" s="795">
        <v>37361</v>
      </c>
      <c r="E1220" t="s">
        <v>2524</v>
      </c>
      <c r="F1220">
        <v>1</v>
      </c>
      <c r="G1220" s="128"/>
    </row>
    <row r="1221" spans="1:7" x14ac:dyDescent="0.25">
      <c r="A1221" s="174">
        <v>2510</v>
      </c>
      <c r="B1221" s="174">
        <v>32</v>
      </c>
      <c r="C1221" t="s">
        <v>831</v>
      </c>
      <c r="D1221" s="795">
        <v>36918</v>
      </c>
      <c r="E1221" t="s">
        <v>163</v>
      </c>
      <c r="F1221">
        <v>1</v>
      </c>
      <c r="G1221" s="128"/>
    </row>
    <row r="1222" spans="1:7" x14ac:dyDescent="0.25">
      <c r="A1222" s="174">
        <v>2611</v>
      </c>
      <c r="B1222" s="174">
        <v>26</v>
      </c>
      <c r="C1222" t="s">
        <v>587</v>
      </c>
      <c r="D1222" s="795">
        <v>37190</v>
      </c>
      <c r="E1222" t="s">
        <v>202</v>
      </c>
      <c r="F1222">
        <v>1</v>
      </c>
      <c r="G1222" s="128"/>
    </row>
    <row r="1223" spans="1:7" x14ac:dyDescent="0.25">
      <c r="A1223" s="174">
        <v>3057</v>
      </c>
      <c r="B1223" s="174">
        <v>8</v>
      </c>
      <c r="C1223" t="s">
        <v>327</v>
      </c>
      <c r="D1223" s="795">
        <v>36793</v>
      </c>
      <c r="E1223" t="s">
        <v>105</v>
      </c>
      <c r="F1223">
        <v>1</v>
      </c>
      <c r="G1223" s="128"/>
    </row>
    <row r="1224" spans="1:7" x14ac:dyDescent="0.25">
      <c r="A1224" s="174">
        <v>3313</v>
      </c>
      <c r="B1224" s="174">
        <v>2</v>
      </c>
      <c r="C1224" t="s">
        <v>2094</v>
      </c>
      <c r="D1224" s="795">
        <v>36935</v>
      </c>
      <c r="E1224" t="s">
        <v>105</v>
      </c>
      <c r="F1224">
        <v>1</v>
      </c>
      <c r="G1224" s="128"/>
    </row>
    <row r="1225" spans="1:7" x14ac:dyDescent="0.25">
      <c r="A1225" s="174">
        <v>2966</v>
      </c>
      <c r="B1225" s="174">
        <v>11</v>
      </c>
      <c r="C1225" t="s">
        <v>328</v>
      </c>
      <c r="D1225" s="795">
        <v>36656</v>
      </c>
      <c r="E1225" t="s">
        <v>1516</v>
      </c>
      <c r="F1225">
        <v>1</v>
      </c>
      <c r="G1225" s="128"/>
    </row>
    <row r="1226" spans="1:7" x14ac:dyDescent="0.25">
      <c r="A1226" s="174">
        <v>3880</v>
      </c>
      <c r="B1226" s="174">
        <v>0</v>
      </c>
      <c r="C1226" t="s">
        <v>2096</v>
      </c>
      <c r="D1226" s="795">
        <v>36892</v>
      </c>
      <c r="E1226" t="s">
        <v>165</v>
      </c>
      <c r="F1226">
        <v>1</v>
      </c>
      <c r="G1226" s="128"/>
    </row>
    <row r="1227" spans="1:7" x14ac:dyDescent="0.25">
      <c r="A1227" s="174">
        <v>3808</v>
      </c>
      <c r="B1227" s="174">
        <v>0</v>
      </c>
      <c r="C1227" t="s">
        <v>2097</v>
      </c>
      <c r="D1227" s="795">
        <v>37247</v>
      </c>
      <c r="E1227" t="s">
        <v>115</v>
      </c>
      <c r="F1227">
        <v>1</v>
      </c>
      <c r="G1227" s="128"/>
    </row>
    <row r="1228" spans="1:7" x14ac:dyDescent="0.25">
      <c r="A1228" s="174">
        <v>2882</v>
      </c>
      <c r="B1228" s="174">
        <v>15</v>
      </c>
      <c r="C1228" t="s">
        <v>2098</v>
      </c>
      <c r="D1228" s="795">
        <v>37489</v>
      </c>
      <c r="E1228" t="s">
        <v>290</v>
      </c>
      <c r="F1228">
        <v>1</v>
      </c>
      <c r="G1228" s="128"/>
    </row>
    <row r="1229" spans="1:7" x14ac:dyDescent="0.25">
      <c r="A1229" s="174">
        <v>3253</v>
      </c>
      <c r="B1229" s="174">
        <v>3</v>
      </c>
      <c r="C1229" t="s">
        <v>2099</v>
      </c>
      <c r="D1229" s="795">
        <v>36890</v>
      </c>
      <c r="E1229" t="s">
        <v>614</v>
      </c>
      <c r="F1229">
        <v>1</v>
      </c>
      <c r="G1229" s="128"/>
    </row>
    <row r="1230" spans="1:7" x14ac:dyDescent="0.25">
      <c r="A1230" s="174">
        <v>1927</v>
      </c>
      <c r="B1230" s="174">
        <v>70</v>
      </c>
      <c r="C1230" t="s">
        <v>2100</v>
      </c>
      <c r="D1230" s="795">
        <v>36866</v>
      </c>
      <c r="E1230" t="s">
        <v>1174</v>
      </c>
      <c r="F1230">
        <v>1</v>
      </c>
      <c r="G1230" s="128"/>
    </row>
    <row r="1231" spans="1:7" x14ac:dyDescent="0.25">
      <c r="A1231" s="174">
        <v>2495</v>
      </c>
      <c r="B1231" s="174">
        <v>32</v>
      </c>
      <c r="C1231" t="s">
        <v>2101</v>
      </c>
      <c r="D1231" s="795">
        <v>36838</v>
      </c>
      <c r="E1231" t="s">
        <v>1121</v>
      </c>
      <c r="F1231">
        <v>1</v>
      </c>
      <c r="G1231" s="128"/>
    </row>
    <row r="1232" spans="1:7" x14ac:dyDescent="0.25">
      <c r="A1232" s="174">
        <v>2244</v>
      </c>
      <c r="B1232" s="174">
        <v>45</v>
      </c>
      <c r="C1232" t="s">
        <v>588</v>
      </c>
      <c r="D1232" s="795">
        <v>36713</v>
      </c>
      <c r="E1232" t="s">
        <v>105</v>
      </c>
      <c r="F1232">
        <v>1</v>
      </c>
      <c r="G1232" s="128"/>
    </row>
    <row r="1233" spans="1:7" x14ac:dyDescent="0.25">
      <c r="A1233" s="174">
        <v>1247</v>
      </c>
      <c r="B1233" s="174">
        <v>174</v>
      </c>
      <c r="C1233" t="s">
        <v>711</v>
      </c>
      <c r="D1233" s="795">
        <v>36534</v>
      </c>
      <c r="E1233" t="s">
        <v>99</v>
      </c>
      <c r="F1233">
        <v>1</v>
      </c>
      <c r="G1233" s="128"/>
    </row>
    <row r="1234" spans="1:7" x14ac:dyDescent="0.25">
      <c r="A1234" s="174">
        <v>2766</v>
      </c>
      <c r="B1234" s="174">
        <v>20</v>
      </c>
      <c r="C1234" t="s">
        <v>2568</v>
      </c>
      <c r="D1234" s="795">
        <v>36790</v>
      </c>
      <c r="E1234" t="s">
        <v>1078</v>
      </c>
      <c r="F1234">
        <v>1</v>
      </c>
      <c r="G1234" s="128"/>
    </row>
    <row r="1235" spans="1:7" x14ac:dyDescent="0.25">
      <c r="A1235" s="174">
        <v>3115</v>
      </c>
      <c r="B1235" s="174">
        <v>7</v>
      </c>
      <c r="C1235" t="s">
        <v>2104</v>
      </c>
      <c r="D1235" s="795">
        <v>37404</v>
      </c>
      <c r="E1235" t="s">
        <v>1291</v>
      </c>
      <c r="F1235">
        <v>1</v>
      </c>
      <c r="G1235" s="128"/>
    </row>
    <row r="1236" spans="1:7" x14ac:dyDescent="0.25">
      <c r="A1236" s="174">
        <v>2073</v>
      </c>
      <c r="B1236" s="174">
        <v>56</v>
      </c>
      <c r="C1236" t="s">
        <v>2105</v>
      </c>
      <c r="D1236" s="795">
        <v>36790</v>
      </c>
      <c r="E1236" t="s">
        <v>1078</v>
      </c>
      <c r="F1236">
        <v>1</v>
      </c>
      <c r="G1236" s="128"/>
    </row>
    <row r="1237" spans="1:7" x14ac:dyDescent="0.25">
      <c r="A1237" s="174">
        <v>3672</v>
      </c>
      <c r="B1237" s="174">
        <v>0</v>
      </c>
      <c r="C1237" t="s">
        <v>2106</v>
      </c>
      <c r="D1237" s="795">
        <v>36892</v>
      </c>
      <c r="E1237" t="s">
        <v>136</v>
      </c>
      <c r="F1237">
        <v>1</v>
      </c>
      <c r="G1237" s="128"/>
    </row>
    <row r="1238" spans="1:7" x14ac:dyDescent="0.25">
      <c r="A1238" s="174">
        <v>3774</v>
      </c>
      <c r="B1238" s="174">
        <v>0</v>
      </c>
      <c r="C1238" t="s">
        <v>2107</v>
      </c>
      <c r="D1238" s="795">
        <v>36935</v>
      </c>
      <c r="E1238" t="s">
        <v>120</v>
      </c>
      <c r="F1238">
        <v>1</v>
      </c>
      <c r="G1238" s="128"/>
    </row>
    <row r="1239" spans="1:7" x14ac:dyDescent="0.25">
      <c r="A1239" s="174">
        <v>3332</v>
      </c>
      <c r="B1239" s="174">
        <v>1</v>
      </c>
      <c r="C1239" t="s">
        <v>2108</v>
      </c>
      <c r="D1239" s="795">
        <v>36944</v>
      </c>
      <c r="E1239" t="s">
        <v>138</v>
      </c>
      <c r="F1239">
        <v>1</v>
      </c>
      <c r="G1239" s="128"/>
    </row>
    <row r="1240" spans="1:7" x14ac:dyDescent="0.25">
      <c r="A1240" s="174">
        <v>2383</v>
      </c>
      <c r="B1240" s="174">
        <v>38</v>
      </c>
      <c r="C1240" t="s">
        <v>2109</v>
      </c>
      <c r="D1240" s="795">
        <v>37715</v>
      </c>
      <c r="E1240" t="s">
        <v>120</v>
      </c>
      <c r="F1240">
        <v>1</v>
      </c>
      <c r="G1240" s="128"/>
    </row>
    <row r="1241" spans="1:7" x14ac:dyDescent="0.25">
      <c r="A1241" s="174">
        <v>3202</v>
      </c>
      <c r="B1241" s="174">
        <v>4</v>
      </c>
      <c r="C1241" t="s">
        <v>2110</v>
      </c>
      <c r="D1241" s="795">
        <v>36862</v>
      </c>
      <c r="E1241" t="s">
        <v>1139</v>
      </c>
      <c r="F1241">
        <v>1</v>
      </c>
      <c r="G1241" s="128"/>
    </row>
    <row r="1242" spans="1:7" x14ac:dyDescent="0.25">
      <c r="A1242" s="174">
        <v>1938</v>
      </c>
      <c r="B1242" s="174">
        <v>68</v>
      </c>
      <c r="C1242" t="s">
        <v>589</v>
      </c>
      <c r="D1242" s="795">
        <v>37018</v>
      </c>
      <c r="E1242" t="s">
        <v>99</v>
      </c>
      <c r="F1242">
        <v>1</v>
      </c>
      <c r="G1242" s="128"/>
    </row>
    <row r="1243" spans="1:7" x14ac:dyDescent="0.25">
      <c r="A1243" s="174">
        <v>3857</v>
      </c>
      <c r="B1243" s="174">
        <v>0</v>
      </c>
      <c r="C1243" t="s">
        <v>2111</v>
      </c>
      <c r="D1243" s="795">
        <v>36712</v>
      </c>
      <c r="E1243" t="s">
        <v>1535</v>
      </c>
      <c r="F1243">
        <v>1</v>
      </c>
      <c r="G1243" s="128"/>
    </row>
    <row r="1244" spans="1:7" x14ac:dyDescent="0.25">
      <c r="A1244" s="174">
        <v>2403</v>
      </c>
      <c r="B1244" s="174">
        <v>37</v>
      </c>
      <c r="C1244" t="s">
        <v>2112</v>
      </c>
      <c r="D1244" s="795">
        <v>37083</v>
      </c>
      <c r="E1244" t="s">
        <v>99</v>
      </c>
      <c r="F1244">
        <v>1</v>
      </c>
      <c r="G1244" s="128"/>
    </row>
    <row r="1245" spans="1:7" x14ac:dyDescent="0.25">
      <c r="A1245" s="174">
        <v>1966</v>
      </c>
      <c r="B1245" s="174">
        <v>65</v>
      </c>
      <c r="C1245" t="s">
        <v>2113</v>
      </c>
      <c r="D1245" s="795">
        <v>37713</v>
      </c>
      <c r="E1245" t="s">
        <v>110</v>
      </c>
      <c r="F1245">
        <v>1</v>
      </c>
      <c r="G1245" s="128"/>
    </row>
    <row r="1246" spans="1:7" x14ac:dyDescent="0.25">
      <c r="A1246" s="174">
        <v>3469</v>
      </c>
      <c r="B1246" s="174">
        <v>0</v>
      </c>
      <c r="C1246" t="s">
        <v>2114</v>
      </c>
      <c r="D1246" s="795">
        <v>37844</v>
      </c>
      <c r="E1246" t="s">
        <v>110</v>
      </c>
      <c r="F1246">
        <v>1</v>
      </c>
      <c r="G1246" s="128"/>
    </row>
    <row r="1247" spans="1:7" x14ac:dyDescent="0.25">
      <c r="A1247" s="174">
        <v>2693</v>
      </c>
      <c r="B1247" s="174">
        <v>23</v>
      </c>
      <c r="C1247" t="s">
        <v>409</v>
      </c>
      <c r="D1247" s="795">
        <v>37277</v>
      </c>
      <c r="E1247" t="s">
        <v>120</v>
      </c>
      <c r="F1247">
        <v>1</v>
      </c>
      <c r="G1247" s="128"/>
    </row>
    <row r="1248" spans="1:7" x14ac:dyDescent="0.25">
      <c r="A1248" s="174">
        <v>3301</v>
      </c>
      <c r="B1248" s="174">
        <v>2</v>
      </c>
      <c r="C1248" t="s">
        <v>2569</v>
      </c>
      <c r="D1248" s="795">
        <v>37695</v>
      </c>
      <c r="E1248" t="s">
        <v>1105</v>
      </c>
      <c r="F1248">
        <v>1</v>
      </c>
      <c r="G1248" s="128"/>
    </row>
    <row r="1249" spans="1:7" x14ac:dyDescent="0.25">
      <c r="A1249" s="174">
        <v>2538</v>
      </c>
      <c r="B1249" s="174">
        <v>30</v>
      </c>
      <c r="C1249" t="s">
        <v>410</v>
      </c>
      <c r="D1249" s="795">
        <v>37042</v>
      </c>
      <c r="E1249" t="s">
        <v>1367</v>
      </c>
      <c r="F1249">
        <v>1</v>
      </c>
      <c r="G1249" s="128"/>
    </row>
    <row r="1250" spans="1:7" x14ac:dyDescent="0.25">
      <c r="A1250" s="174">
        <v>3832</v>
      </c>
      <c r="B1250" s="174">
        <v>0</v>
      </c>
      <c r="C1250" t="s">
        <v>2115</v>
      </c>
      <c r="D1250" s="795">
        <v>37372</v>
      </c>
      <c r="E1250" t="s">
        <v>105</v>
      </c>
      <c r="F1250">
        <v>1</v>
      </c>
      <c r="G1250" s="128"/>
    </row>
    <row r="1251" spans="1:7" x14ac:dyDescent="0.25">
      <c r="A1251" s="174">
        <v>1944</v>
      </c>
      <c r="B1251" s="174">
        <v>68</v>
      </c>
      <c r="C1251" t="s">
        <v>2116</v>
      </c>
      <c r="D1251" s="795">
        <v>36598</v>
      </c>
      <c r="E1251" t="s">
        <v>227</v>
      </c>
      <c r="F1251">
        <v>1</v>
      </c>
      <c r="G1251" s="128"/>
    </row>
    <row r="1252" spans="1:7" x14ac:dyDescent="0.25">
      <c r="A1252" s="174">
        <v>3007</v>
      </c>
      <c r="B1252" s="174">
        <v>10</v>
      </c>
      <c r="C1252" t="s">
        <v>2117</v>
      </c>
      <c r="D1252" s="795">
        <v>37332</v>
      </c>
      <c r="E1252" t="s">
        <v>1143</v>
      </c>
      <c r="F1252">
        <v>1</v>
      </c>
      <c r="G1252" s="128"/>
    </row>
    <row r="1253" spans="1:7" x14ac:dyDescent="0.25">
      <c r="A1253" s="174">
        <v>3416</v>
      </c>
      <c r="B1253" s="174">
        <v>0</v>
      </c>
      <c r="C1253" t="s">
        <v>2118</v>
      </c>
      <c r="D1253" s="795">
        <v>37047</v>
      </c>
      <c r="E1253" t="s">
        <v>119</v>
      </c>
      <c r="F1253">
        <v>1</v>
      </c>
      <c r="G1253" s="128"/>
    </row>
    <row r="1254" spans="1:7" x14ac:dyDescent="0.25">
      <c r="A1254" s="174">
        <v>2115</v>
      </c>
      <c r="B1254" s="174">
        <v>53</v>
      </c>
      <c r="C1254" t="s">
        <v>2119</v>
      </c>
      <c r="D1254" s="795">
        <v>36963</v>
      </c>
      <c r="E1254" t="s">
        <v>99</v>
      </c>
      <c r="F1254">
        <v>1</v>
      </c>
      <c r="G1254" s="128"/>
    </row>
    <row r="1255" spans="1:7" x14ac:dyDescent="0.25">
      <c r="A1255" s="174">
        <v>3160</v>
      </c>
      <c r="B1255" s="174">
        <v>5</v>
      </c>
      <c r="C1255" t="s">
        <v>331</v>
      </c>
      <c r="D1255" s="795">
        <v>36945</v>
      </c>
      <c r="E1255" t="s">
        <v>99</v>
      </c>
      <c r="F1255">
        <v>1</v>
      </c>
      <c r="G1255" s="128"/>
    </row>
    <row r="1256" spans="1:7" x14ac:dyDescent="0.25">
      <c r="A1256" s="174">
        <v>2847</v>
      </c>
      <c r="B1256" s="174">
        <v>16</v>
      </c>
      <c r="C1256" t="s">
        <v>2120</v>
      </c>
      <c r="D1256" s="795">
        <v>36688</v>
      </c>
      <c r="E1256" t="s">
        <v>105</v>
      </c>
      <c r="F1256">
        <v>1</v>
      </c>
      <c r="G1256" s="128"/>
    </row>
    <row r="1257" spans="1:7" x14ac:dyDescent="0.25">
      <c r="A1257" s="174">
        <v>3433</v>
      </c>
      <c r="B1257" s="174">
        <v>0</v>
      </c>
      <c r="C1257" t="s">
        <v>2121</v>
      </c>
      <c r="D1257" s="795">
        <v>37747</v>
      </c>
      <c r="E1257" t="s">
        <v>105</v>
      </c>
      <c r="F1257">
        <v>1</v>
      </c>
      <c r="G1257" s="128"/>
    </row>
    <row r="1258" spans="1:7" x14ac:dyDescent="0.25">
      <c r="A1258" s="174">
        <v>2433</v>
      </c>
      <c r="B1258" s="174">
        <v>35</v>
      </c>
      <c r="C1258" t="s">
        <v>2122</v>
      </c>
      <c r="D1258" s="795">
        <v>37356</v>
      </c>
      <c r="E1258" t="s">
        <v>290</v>
      </c>
      <c r="F1258">
        <v>1</v>
      </c>
      <c r="G1258" s="128"/>
    </row>
    <row r="1259" spans="1:7" x14ac:dyDescent="0.25">
      <c r="A1259" s="174">
        <v>2391</v>
      </c>
      <c r="B1259" s="174">
        <v>37</v>
      </c>
      <c r="C1259" t="s">
        <v>332</v>
      </c>
      <c r="D1259" s="795">
        <v>36607</v>
      </c>
      <c r="E1259" t="s">
        <v>126</v>
      </c>
      <c r="F1259">
        <v>1</v>
      </c>
      <c r="G1259" s="128"/>
    </row>
    <row r="1260" spans="1:7" x14ac:dyDescent="0.25">
      <c r="A1260" s="174">
        <v>2360</v>
      </c>
      <c r="B1260" s="174">
        <v>39</v>
      </c>
      <c r="C1260" t="s">
        <v>833</v>
      </c>
      <c r="D1260" s="795">
        <v>36992</v>
      </c>
      <c r="E1260" t="s">
        <v>110</v>
      </c>
      <c r="F1260">
        <v>1</v>
      </c>
      <c r="G1260" s="128"/>
    </row>
    <row r="1261" spans="1:7" x14ac:dyDescent="0.25">
      <c r="A1261" s="174">
        <v>2979</v>
      </c>
      <c r="B1261" s="174">
        <v>11</v>
      </c>
      <c r="C1261" t="s">
        <v>2123</v>
      </c>
      <c r="D1261" s="795">
        <v>37272</v>
      </c>
      <c r="E1261" t="s">
        <v>105</v>
      </c>
      <c r="F1261">
        <v>1</v>
      </c>
      <c r="G1261" s="128"/>
    </row>
    <row r="1262" spans="1:7" x14ac:dyDescent="0.25">
      <c r="A1262" s="174">
        <v>1609</v>
      </c>
      <c r="B1262" s="174">
        <v>107</v>
      </c>
      <c r="C1262" t="s">
        <v>333</v>
      </c>
      <c r="D1262" s="795">
        <v>37088</v>
      </c>
      <c r="E1262" t="s">
        <v>120</v>
      </c>
      <c r="F1262">
        <v>1</v>
      </c>
      <c r="G1262" s="128"/>
    </row>
    <row r="1263" spans="1:7" x14ac:dyDescent="0.25">
      <c r="A1263" s="174">
        <v>2272</v>
      </c>
      <c r="B1263" s="174">
        <v>44</v>
      </c>
      <c r="C1263" t="s">
        <v>2124</v>
      </c>
      <c r="D1263" s="795">
        <v>36540</v>
      </c>
      <c r="E1263" t="s">
        <v>105</v>
      </c>
      <c r="F1263">
        <v>1</v>
      </c>
      <c r="G1263" s="128"/>
    </row>
    <row r="1264" spans="1:7" x14ac:dyDescent="0.25">
      <c r="A1264" s="174">
        <v>2206</v>
      </c>
      <c r="B1264" s="174">
        <v>47</v>
      </c>
      <c r="C1264" t="s">
        <v>334</v>
      </c>
      <c r="D1264" s="795">
        <v>36828</v>
      </c>
      <c r="E1264" t="s">
        <v>1143</v>
      </c>
      <c r="F1264">
        <v>1</v>
      </c>
      <c r="G1264" s="128"/>
    </row>
    <row r="1265" spans="1:7" x14ac:dyDescent="0.25">
      <c r="A1265" s="174">
        <v>3792</v>
      </c>
      <c r="B1265" s="174">
        <v>0</v>
      </c>
      <c r="C1265" t="s">
        <v>2125</v>
      </c>
      <c r="D1265" s="795">
        <v>37806</v>
      </c>
      <c r="E1265" t="s">
        <v>1145</v>
      </c>
      <c r="F1265">
        <v>1</v>
      </c>
      <c r="G1265" s="128"/>
    </row>
    <row r="1266" spans="1:7" x14ac:dyDescent="0.25">
      <c r="A1266" s="174">
        <v>3169</v>
      </c>
      <c r="B1266" s="174">
        <v>5</v>
      </c>
      <c r="C1266" t="s">
        <v>2126</v>
      </c>
      <c r="D1266" s="795">
        <v>36963</v>
      </c>
      <c r="E1266" t="s">
        <v>120</v>
      </c>
      <c r="F1266">
        <v>1</v>
      </c>
      <c r="G1266" s="128"/>
    </row>
    <row r="1267" spans="1:7" x14ac:dyDescent="0.25">
      <c r="A1267" s="174">
        <v>2341</v>
      </c>
      <c r="B1267" s="174">
        <v>40</v>
      </c>
      <c r="C1267" t="s">
        <v>2127</v>
      </c>
      <c r="D1267" s="795">
        <v>37248</v>
      </c>
      <c r="E1267" t="s">
        <v>290</v>
      </c>
      <c r="F1267">
        <v>1</v>
      </c>
      <c r="G1267" s="128"/>
    </row>
    <row r="1268" spans="1:7" x14ac:dyDescent="0.25">
      <c r="A1268" s="174">
        <v>3251</v>
      </c>
      <c r="B1268" s="174">
        <v>3</v>
      </c>
      <c r="C1268" t="s">
        <v>2129</v>
      </c>
      <c r="D1268" s="795">
        <v>36773</v>
      </c>
      <c r="E1268" t="s">
        <v>105</v>
      </c>
      <c r="F1268">
        <v>1</v>
      </c>
      <c r="G1268" s="128"/>
    </row>
    <row r="1269" spans="1:7" x14ac:dyDescent="0.25">
      <c r="A1269" s="174">
        <v>2109</v>
      </c>
      <c r="B1269" s="174">
        <v>53</v>
      </c>
      <c r="C1269" t="s">
        <v>591</v>
      </c>
      <c r="D1269" s="795">
        <v>36769</v>
      </c>
      <c r="E1269" t="s">
        <v>105</v>
      </c>
      <c r="F1269">
        <v>1</v>
      </c>
      <c r="G1269" s="128"/>
    </row>
    <row r="1270" spans="1:7" x14ac:dyDescent="0.25">
      <c r="A1270" s="174">
        <v>3144</v>
      </c>
      <c r="B1270" s="174">
        <v>6</v>
      </c>
      <c r="C1270" t="s">
        <v>2130</v>
      </c>
      <c r="D1270" s="795">
        <v>36526</v>
      </c>
      <c r="E1270" t="s">
        <v>105</v>
      </c>
      <c r="F1270">
        <v>1</v>
      </c>
      <c r="G1270" s="128"/>
    </row>
    <row r="1271" spans="1:7" x14ac:dyDescent="0.25">
      <c r="A1271" s="174">
        <v>2862</v>
      </c>
      <c r="B1271" s="174">
        <v>16</v>
      </c>
      <c r="C1271" t="s">
        <v>2132</v>
      </c>
      <c r="D1271" s="795">
        <v>37277</v>
      </c>
      <c r="E1271" t="s">
        <v>1143</v>
      </c>
      <c r="F1271">
        <v>1</v>
      </c>
      <c r="G1271" s="128"/>
    </row>
    <row r="1272" spans="1:7" x14ac:dyDescent="0.25">
      <c r="A1272" s="174">
        <v>3282</v>
      </c>
      <c r="B1272" s="174">
        <v>2</v>
      </c>
      <c r="C1272" t="s">
        <v>712</v>
      </c>
      <c r="D1272" s="795">
        <v>36952</v>
      </c>
      <c r="E1272" t="s">
        <v>99</v>
      </c>
      <c r="F1272">
        <v>1</v>
      </c>
      <c r="G1272" s="128"/>
    </row>
    <row r="1273" spans="1:7" x14ac:dyDescent="0.25">
      <c r="A1273" s="174">
        <v>3113</v>
      </c>
      <c r="B1273" s="174">
        <v>7</v>
      </c>
      <c r="C1273" t="s">
        <v>2133</v>
      </c>
      <c r="D1273" s="795">
        <v>37540</v>
      </c>
      <c r="E1273" t="s">
        <v>105</v>
      </c>
      <c r="F1273">
        <v>1</v>
      </c>
      <c r="G1273" s="128"/>
    </row>
    <row r="1274" spans="1:7" x14ac:dyDescent="0.25">
      <c r="A1274" s="174">
        <v>2777</v>
      </c>
      <c r="B1274" s="174">
        <v>19</v>
      </c>
      <c r="C1274" t="s">
        <v>2134</v>
      </c>
      <c r="D1274" s="795">
        <v>36526</v>
      </c>
      <c r="E1274" t="s">
        <v>137</v>
      </c>
      <c r="F1274">
        <v>1</v>
      </c>
      <c r="G1274" s="128"/>
    </row>
    <row r="1275" spans="1:7" x14ac:dyDescent="0.25">
      <c r="A1275" s="174">
        <v>2627</v>
      </c>
      <c r="B1275" s="174">
        <v>25</v>
      </c>
      <c r="C1275" t="s">
        <v>713</v>
      </c>
      <c r="D1275" s="795">
        <v>37430</v>
      </c>
      <c r="E1275" t="s">
        <v>222</v>
      </c>
      <c r="F1275">
        <v>1</v>
      </c>
      <c r="G1275" s="128"/>
    </row>
    <row r="1276" spans="1:7" x14ac:dyDescent="0.25">
      <c r="A1276" s="174">
        <v>3311</v>
      </c>
      <c r="B1276" s="174">
        <v>2</v>
      </c>
      <c r="C1276" t="s">
        <v>2135</v>
      </c>
      <c r="D1276" s="795">
        <v>36686</v>
      </c>
      <c r="E1276" t="s">
        <v>365</v>
      </c>
      <c r="F1276">
        <v>1</v>
      </c>
      <c r="G1276" s="128"/>
    </row>
    <row r="1277" spans="1:7" x14ac:dyDescent="0.25">
      <c r="A1277" s="174">
        <v>3356</v>
      </c>
      <c r="B1277" s="174">
        <v>1</v>
      </c>
      <c r="C1277" t="s">
        <v>2136</v>
      </c>
      <c r="D1277" s="795">
        <v>36538</v>
      </c>
      <c r="E1277" t="s">
        <v>83</v>
      </c>
      <c r="F1277">
        <v>1</v>
      </c>
      <c r="G1277" s="128"/>
    </row>
    <row r="1278" spans="1:7" x14ac:dyDescent="0.25">
      <c r="A1278" s="174">
        <v>1868</v>
      </c>
      <c r="B1278" s="174">
        <v>74</v>
      </c>
      <c r="C1278" t="s">
        <v>714</v>
      </c>
      <c r="D1278" s="795">
        <v>36675</v>
      </c>
      <c r="E1278" t="s">
        <v>105</v>
      </c>
      <c r="F1278">
        <v>1</v>
      </c>
      <c r="G1278" s="128"/>
    </row>
    <row r="1279" spans="1:7" x14ac:dyDescent="0.25">
      <c r="A1279" s="174">
        <v>913</v>
      </c>
      <c r="B1279" s="174">
        <v>266</v>
      </c>
      <c r="C1279" t="s">
        <v>2139</v>
      </c>
      <c r="D1279" s="795">
        <v>36579</v>
      </c>
      <c r="E1279" t="s">
        <v>2140</v>
      </c>
      <c r="F1279">
        <v>1</v>
      </c>
      <c r="G1279" s="128"/>
    </row>
    <row r="1280" spans="1:7" x14ac:dyDescent="0.25">
      <c r="A1280" s="174">
        <v>3607</v>
      </c>
      <c r="B1280" s="174">
        <v>0</v>
      </c>
      <c r="C1280" t="s">
        <v>2470</v>
      </c>
      <c r="D1280" s="795">
        <v>37404</v>
      </c>
      <c r="E1280" t="s">
        <v>1143</v>
      </c>
      <c r="F1280">
        <v>1</v>
      </c>
      <c r="G1280" s="128"/>
    </row>
    <row r="1281" spans="1:7" x14ac:dyDescent="0.25">
      <c r="A1281" s="174">
        <v>2337</v>
      </c>
      <c r="B1281" s="174">
        <v>40</v>
      </c>
      <c r="C1281" t="s">
        <v>2141</v>
      </c>
      <c r="D1281" s="795">
        <v>36970</v>
      </c>
      <c r="E1281" t="s">
        <v>1107</v>
      </c>
      <c r="F1281">
        <v>1</v>
      </c>
      <c r="G1281" s="128"/>
    </row>
    <row r="1282" spans="1:7" x14ac:dyDescent="0.25">
      <c r="A1282" s="174">
        <v>1613</v>
      </c>
      <c r="B1282" s="174">
        <v>107</v>
      </c>
      <c r="C1282" t="s">
        <v>2143</v>
      </c>
      <c r="D1282" s="795">
        <v>37083</v>
      </c>
      <c r="E1282" t="s">
        <v>1078</v>
      </c>
      <c r="F1282">
        <v>1</v>
      </c>
      <c r="G1282" s="128"/>
    </row>
    <row r="1283" spans="1:7" x14ac:dyDescent="0.25">
      <c r="A1283" s="174">
        <v>3343</v>
      </c>
      <c r="B1283" s="174">
        <v>1</v>
      </c>
      <c r="C1283" t="s">
        <v>2145</v>
      </c>
      <c r="D1283" s="795">
        <v>37975</v>
      </c>
      <c r="E1283" t="s">
        <v>113</v>
      </c>
      <c r="F1283">
        <v>1</v>
      </c>
      <c r="G1283" s="128"/>
    </row>
    <row r="1284" spans="1:7" x14ac:dyDescent="0.25">
      <c r="A1284" s="174">
        <v>2207</v>
      </c>
      <c r="B1284" s="174">
        <v>47</v>
      </c>
      <c r="C1284" t="s">
        <v>715</v>
      </c>
      <c r="D1284" s="795">
        <v>36946</v>
      </c>
      <c r="E1284" t="s">
        <v>128</v>
      </c>
      <c r="F1284">
        <v>1</v>
      </c>
      <c r="G1284" s="128"/>
    </row>
    <row r="1285" spans="1:7" x14ac:dyDescent="0.25">
      <c r="A1285" s="174">
        <v>3702</v>
      </c>
      <c r="B1285" s="174">
        <v>0</v>
      </c>
      <c r="C1285" t="s">
        <v>2146</v>
      </c>
      <c r="D1285" s="795">
        <v>36572</v>
      </c>
      <c r="E1285" t="s">
        <v>128</v>
      </c>
      <c r="F1285">
        <v>1</v>
      </c>
      <c r="G1285" s="128"/>
    </row>
    <row r="1286" spans="1:7" x14ac:dyDescent="0.25">
      <c r="A1286" s="174">
        <v>3638</v>
      </c>
      <c r="B1286" s="174">
        <v>0</v>
      </c>
      <c r="C1286" t="s">
        <v>2148</v>
      </c>
      <c r="D1286" s="795">
        <v>36648</v>
      </c>
      <c r="E1286" t="s">
        <v>105</v>
      </c>
      <c r="F1286">
        <v>1</v>
      </c>
      <c r="G1286" s="128"/>
    </row>
    <row r="1287" spans="1:7" x14ac:dyDescent="0.25">
      <c r="A1287" s="174">
        <v>2884</v>
      </c>
      <c r="B1287" s="174">
        <v>14</v>
      </c>
      <c r="C1287" t="s">
        <v>338</v>
      </c>
      <c r="D1287" s="795">
        <v>36676</v>
      </c>
      <c r="E1287" t="s">
        <v>183</v>
      </c>
      <c r="F1287">
        <v>1</v>
      </c>
      <c r="G1287" s="128"/>
    </row>
    <row r="1288" spans="1:7" x14ac:dyDescent="0.25">
      <c r="A1288" s="174">
        <v>3472</v>
      </c>
      <c r="B1288" s="174">
        <v>0</v>
      </c>
      <c r="C1288" t="s">
        <v>2570</v>
      </c>
      <c r="D1288" s="795">
        <v>36761</v>
      </c>
      <c r="E1288" t="s">
        <v>105</v>
      </c>
      <c r="F1288">
        <v>1</v>
      </c>
      <c r="G1288" s="128"/>
    </row>
    <row r="1289" spans="1:7" x14ac:dyDescent="0.25">
      <c r="A1289" s="174">
        <v>3510</v>
      </c>
      <c r="B1289" s="174">
        <v>0</v>
      </c>
      <c r="C1289" t="s">
        <v>2571</v>
      </c>
      <c r="D1289" s="795">
        <v>37367</v>
      </c>
      <c r="E1289" t="s">
        <v>227</v>
      </c>
      <c r="F1289">
        <v>1</v>
      </c>
      <c r="G1289" s="128"/>
    </row>
    <row r="1290" spans="1:7" x14ac:dyDescent="0.25">
      <c r="A1290" s="174">
        <v>2275</v>
      </c>
      <c r="B1290" s="174">
        <v>44</v>
      </c>
      <c r="C1290" t="s">
        <v>834</v>
      </c>
      <c r="D1290" s="795">
        <v>37297</v>
      </c>
      <c r="E1290" t="s">
        <v>105</v>
      </c>
      <c r="F1290">
        <v>1</v>
      </c>
      <c r="G1290" s="128"/>
    </row>
    <row r="1291" spans="1:7" x14ac:dyDescent="0.25">
      <c r="A1291" s="174">
        <v>2782</v>
      </c>
      <c r="B1291" s="174">
        <v>19</v>
      </c>
      <c r="C1291" t="s">
        <v>2149</v>
      </c>
      <c r="D1291" s="795">
        <v>37311</v>
      </c>
      <c r="E1291" t="s">
        <v>1429</v>
      </c>
      <c r="F1291">
        <v>1</v>
      </c>
      <c r="G1291" s="128"/>
    </row>
    <row r="1292" spans="1:7" x14ac:dyDescent="0.25">
      <c r="A1292" s="174">
        <v>3527</v>
      </c>
      <c r="B1292" s="174">
        <v>0</v>
      </c>
      <c r="C1292" t="s">
        <v>2572</v>
      </c>
      <c r="D1292" s="795">
        <v>38135</v>
      </c>
      <c r="E1292" t="s">
        <v>1390</v>
      </c>
      <c r="F1292">
        <v>1</v>
      </c>
      <c r="G1292" s="128"/>
    </row>
    <row r="1293" spans="1:7" x14ac:dyDescent="0.25">
      <c r="A1293" s="174">
        <v>3070</v>
      </c>
      <c r="B1293" s="174">
        <v>8</v>
      </c>
      <c r="C1293" t="s">
        <v>2150</v>
      </c>
      <c r="D1293" s="795">
        <v>36804</v>
      </c>
      <c r="E1293" t="s">
        <v>1961</v>
      </c>
      <c r="F1293">
        <v>1</v>
      </c>
      <c r="G1293" s="128"/>
    </row>
    <row r="1294" spans="1:7" x14ac:dyDescent="0.25">
      <c r="A1294" s="174">
        <v>3511</v>
      </c>
      <c r="B1294" s="174">
        <v>0</v>
      </c>
      <c r="C1294" t="s">
        <v>2573</v>
      </c>
      <c r="D1294" s="795">
        <v>37526</v>
      </c>
      <c r="E1294" t="s">
        <v>83</v>
      </c>
      <c r="F1294">
        <v>1</v>
      </c>
      <c r="G1294" s="128"/>
    </row>
    <row r="1295" spans="1:7" x14ac:dyDescent="0.25">
      <c r="A1295" s="174">
        <v>2937</v>
      </c>
      <c r="B1295" s="174">
        <v>13</v>
      </c>
      <c r="C1295" t="s">
        <v>2151</v>
      </c>
      <c r="D1295" s="795">
        <v>36711</v>
      </c>
      <c r="E1295" t="s">
        <v>122</v>
      </c>
      <c r="F1295">
        <v>1</v>
      </c>
      <c r="G1295" s="128"/>
    </row>
    <row r="1296" spans="1:7" x14ac:dyDescent="0.25">
      <c r="A1296" s="174">
        <v>3041</v>
      </c>
      <c r="B1296" s="174">
        <v>9</v>
      </c>
      <c r="C1296" t="s">
        <v>2152</v>
      </c>
      <c r="D1296" s="795">
        <v>36740</v>
      </c>
      <c r="E1296" t="s">
        <v>1121</v>
      </c>
      <c r="F1296">
        <v>1</v>
      </c>
      <c r="G1296" s="128"/>
    </row>
    <row r="1297" spans="1:7" x14ac:dyDescent="0.25">
      <c r="A1297" s="174">
        <v>3883</v>
      </c>
      <c r="B1297" s="174">
        <v>0</v>
      </c>
      <c r="C1297" t="s">
        <v>2153</v>
      </c>
      <c r="D1297" s="795">
        <v>37134</v>
      </c>
      <c r="E1297" t="s">
        <v>117</v>
      </c>
      <c r="F1297">
        <v>1</v>
      </c>
      <c r="G1297" s="128"/>
    </row>
    <row r="1298" spans="1:7" x14ac:dyDescent="0.25">
      <c r="A1298" s="174">
        <v>2074</v>
      </c>
      <c r="B1298" s="174">
        <v>56</v>
      </c>
      <c r="C1298" t="s">
        <v>2154</v>
      </c>
      <c r="D1298" s="795">
        <v>36670</v>
      </c>
      <c r="E1298" t="s">
        <v>1271</v>
      </c>
      <c r="F1298">
        <v>1</v>
      </c>
      <c r="G1298" s="128"/>
    </row>
    <row r="1299" spans="1:7" x14ac:dyDescent="0.25">
      <c r="A1299" s="174">
        <v>3119</v>
      </c>
      <c r="B1299" s="174">
        <v>7</v>
      </c>
      <c r="C1299" t="s">
        <v>2156</v>
      </c>
      <c r="D1299" s="795">
        <v>37339</v>
      </c>
      <c r="E1299" t="s">
        <v>120</v>
      </c>
      <c r="F1299">
        <v>1</v>
      </c>
      <c r="G1299" s="128"/>
    </row>
    <row r="1300" spans="1:7" x14ac:dyDescent="0.25">
      <c r="A1300" s="174">
        <v>3273</v>
      </c>
      <c r="B1300" s="174">
        <v>3</v>
      </c>
      <c r="C1300" t="s">
        <v>2157</v>
      </c>
      <c r="D1300" s="795">
        <v>36797</v>
      </c>
      <c r="E1300" t="s">
        <v>126</v>
      </c>
      <c r="F1300">
        <v>1</v>
      </c>
      <c r="G1300" s="128"/>
    </row>
    <row r="1301" spans="1:7" x14ac:dyDescent="0.25">
      <c r="A1301" s="174">
        <v>2399</v>
      </c>
      <c r="B1301" s="174">
        <v>37</v>
      </c>
      <c r="C1301" t="s">
        <v>835</v>
      </c>
      <c r="D1301" s="795">
        <v>36526</v>
      </c>
      <c r="E1301" t="s">
        <v>105</v>
      </c>
      <c r="F1301">
        <v>1</v>
      </c>
      <c r="G1301" s="128"/>
    </row>
    <row r="1302" spans="1:7" x14ac:dyDescent="0.25">
      <c r="A1302" s="174">
        <v>3079</v>
      </c>
      <c r="B1302" s="174">
        <v>8</v>
      </c>
      <c r="C1302" t="s">
        <v>2158</v>
      </c>
      <c r="D1302" s="795">
        <v>37073</v>
      </c>
      <c r="E1302" t="s">
        <v>1400</v>
      </c>
      <c r="F1302">
        <v>1</v>
      </c>
      <c r="G1302" s="128"/>
    </row>
    <row r="1303" spans="1:7" x14ac:dyDescent="0.25">
      <c r="A1303" s="174">
        <v>3676</v>
      </c>
      <c r="B1303" s="174">
        <v>0</v>
      </c>
      <c r="C1303" t="s">
        <v>2159</v>
      </c>
      <c r="D1303" s="795">
        <v>37134</v>
      </c>
      <c r="E1303" t="s">
        <v>1582</v>
      </c>
      <c r="F1303">
        <v>1</v>
      </c>
      <c r="G1303" s="128"/>
    </row>
    <row r="1304" spans="1:7" x14ac:dyDescent="0.25">
      <c r="A1304" s="174">
        <v>3710</v>
      </c>
      <c r="B1304" s="174">
        <v>0</v>
      </c>
      <c r="C1304" t="s">
        <v>2160</v>
      </c>
      <c r="D1304" s="795">
        <v>37257</v>
      </c>
      <c r="E1304" t="s">
        <v>74</v>
      </c>
      <c r="F1304">
        <v>1</v>
      </c>
      <c r="G1304" s="128"/>
    </row>
    <row r="1305" spans="1:7" x14ac:dyDescent="0.25">
      <c r="A1305" s="174">
        <v>3579</v>
      </c>
      <c r="B1305" s="174">
        <v>0</v>
      </c>
      <c r="C1305" t="s">
        <v>2161</v>
      </c>
      <c r="D1305" s="795">
        <v>37948</v>
      </c>
      <c r="E1305" t="s">
        <v>72</v>
      </c>
      <c r="F1305">
        <v>1</v>
      </c>
      <c r="G1305" s="128"/>
    </row>
    <row r="1306" spans="1:7" x14ac:dyDescent="0.25">
      <c r="A1306" s="174">
        <v>3512</v>
      </c>
      <c r="B1306" s="174">
        <v>0</v>
      </c>
      <c r="C1306" t="s">
        <v>2574</v>
      </c>
      <c r="D1306" s="795">
        <v>37700</v>
      </c>
      <c r="E1306" t="s">
        <v>2514</v>
      </c>
      <c r="F1306">
        <v>1</v>
      </c>
      <c r="G1306" s="128"/>
    </row>
    <row r="1307" spans="1:7" x14ac:dyDescent="0.25">
      <c r="A1307" s="174">
        <v>1220</v>
      </c>
      <c r="B1307" s="174">
        <v>181</v>
      </c>
      <c r="C1307" t="s">
        <v>2162</v>
      </c>
      <c r="D1307" s="795">
        <v>36670</v>
      </c>
      <c r="E1307" t="s">
        <v>2163</v>
      </c>
      <c r="F1307">
        <v>1</v>
      </c>
      <c r="G1307" s="128"/>
    </row>
    <row r="1308" spans="1:7" x14ac:dyDescent="0.25">
      <c r="A1308" s="174">
        <v>3552</v>
      </c>
      <c r="B1308" s="174">
        <v>0</v>
      </c>
      <c r="C1308" t="s">
        <v>2164</v>
      </c>
      <c r="D1308" s="795">
        <v>37183</v>
      </c>
      <c r="E1308" t="s">
        <v>2165</v>
      </c>
      <c r="F1308">
        <v>1</v>
      </c>
      <c r="G1308" s="128"/>
    </row>
    <row r="1309" spans="1:7" x14ac:dyDescent="0.25">
      <c r="A1309" s="174">
        <v>2520</v>
      </c>
      <c r="B1309" s="174">
        <v>31</v>
      </c>
      <c r="C1309" t="s">
        <v>592</v>
      </c>
      <c r="D1309" s="795">
        <v>36528</v>
      </c>
      <c r="E1309" t="s">
        <v>99</v>
      </c>
      <c r="F1309">
        <v>1</v>
      </c>
      <c r="G1309" s="128"/>
    </row>
    <row r="1310" spans="1:7" x14ac:dyDescent="0.25">
      <c r="A1310" s="174">
        <v>2039</v>
      </c>
      <c r="B1310" s="174">
        <v>58</v>
      </c>
      <c r="C1310" t="s">
        <v>593</v>
      </c>
      <c r="D1310" s="795">
        <v>36621</v>
      </c>
      <c r="E1310" t="s">
        <v>72</v>
      </c>
      <c r="F1310">
        <v>1</v>
      </c>
      <c r="G1310" s="128"/>
    </row>
    <row r="1311" spans="1:7" x14ac:dyDescent="0.25">
      <c r="A1311" s="174">
        <v>1772</v>
      </c>
      <c r="B1311" s="174">
        <v>86</v>
      </c>
      <c r="C1311" t="s">
        <v>2166</v>
      </c>
      <c r="D1311" s="795">
        <v>36851</v>
      </c>
      <c r="E1311" t="s">
        <v>105</v>
      </c>
      <c r="F1311">
        <v>1</v>
      </c>
      <c r="G1311" s="128"/>
    </row>
    <row r="1312" spans="1:7" x14ac:dyDescent="0.25">
      <c r="A1312" s="174">
        <v>1375</v>
      </c>
      <c r="B1312" s="174">
        <v>148</v>
      </c>
      <c r="C1312" t="s">
        <v>411</v>
      </c>
      <c r="D1312" s="795">
        <v>36630</v>
      </c>
      <c r="E1312" t="s">
        <v>145</v>
      </c>
      <c r="F1312">
        <v>1</v>
      </c>
      <c r="G1312" s="128"/>
    </row>
    <row r="1313" spans="1:7" x14ac:dyDescent="0.25">
      <c r="A1313" s="174">
        <v>3326</v>
      </c>
      <c r="B1313" s="174">
        <v>1</v>
      </c>
      <c r="C1313" t="s">
        <v>2167</v>
      </c>
      <c r="D1313" s="795">
        <v>37244</v>
      </c>
      <c r="E1313" t="s">
        <v>105</v>
      </c>
      <c r="F1313">
        <v>1</v>
      </c>
      <c r="G1313" s="128"/>
    </row>
    <row r="1314" spans="1:7" x14ac:dyDescent="0.25">
      <c r="A1314" s="174">
        <v>3285</v>
      </c>
      <c r="B1314" s="174">
        <v>2</v>
      </c>
      <c r="C1314" t="s">
        <v>2168</v>
      </c>
      <c r="D1314" s="795">
        <v>37558</v>
      </c>
      <c r="E1314" t="s">
        <v>1143</v>
      </c>
      <c r="F1314">
        <v>1</v>
      </c>
      <c r="G1314" s="128"/>
    </row>
    <row r="1315" spans="1:7" x14ac:dyDescent="0.25">
      <c r="A1315" s="174">
        <v>2503</v>
      </c>
      <c r="B1315" s="174">
        <v>32</v>
      </c>
      <c r="C1315" t="s">
        <v>836</v>
      </c>
      <c r="D1315" s="795">
        <v>37315</v>
      </c>
      <c r="E1315" t="s">
        <v>1063</v>
      </c>
      <c r="F1315">
        <v>1</v>
      </c>
      <c r="G1315" s="128"/>
    </row>
    <row r="1316" spans="1:7" x14ac:dyDescent="0.25">
      <c r="A1316" s="174">
        <v>3089</v>
      </c>
      <c r="B1316" s="174">
        <v>8</v>
      </c>
      <c r="C1316" t="s">
        <v>2171</v>
      </c>
      <c r="D1316" s="795">
        <v>36543</v>
      </c>
      <c r="E1316" t="s">
        <v>138</v>
      </c>
      <c r="F1316">
        <v>1</v>
      </c>
      <c r="G1316" s="128"/>
    </row>
    <row r="1317" spans="1:7" x14ac:dyDescent="0.25">
      <c r="A1317" s="174">
        <v>3395</v>
      </c>
      <c r="B1317" s="174">
        <v>0</v>
      </c>
      <c r="C1317" t="s">
        <v>2172</v>
      </c>
      <c r="D1317" s="795">
        <v>37098</v>
      </c>
      <c r="E1317" t="s">
        <v>138</v>
      </c>
      <c r="F1317">
        <v>1</v>
      </c>
      <c r="G1317" s="128"/>
    </row>
    <row r="1318" spans="1:7" x14ac:dyDescent="0.25">
      <c r="A1318" s="174">
        <v>2119</v>
      </c>
      <c r="B1318" s="174">
        <v>53</v>
      </c>
      <c r="C1318" t="s">
        <v>837</v>
      </c>
      <c r="D1318" s="795">
        <v>36923</v>
      </c>
      <c r="E1318" t="s">
        <v>1111</v>
      </c>
      <c r="F1318">
        <v>1</v>
      </c>
      <c r="G1318" s="128"/>
    </row>
    <row r="1319" spans="1:7" x14ac:dyDescent="0.25">
      <c r="A1319" s="174">
        <v>3221</v>
      </c>
      <c r="B1319" s="174">
        <v>4</v>
      </c>
      <c r="C1319" t="s">
        <v>2174</v>
      </c>
      <c r="D1319" s="795">
        <v>37238</v>
      </c>
      <c r="E1319" t="s">
        <v>165</v>
      </c>
      <c r="F1319">
        <v>1</v>
      </c>
      <c r="G1319" s="128"/>
    </row>
    <row r="1320" spans="1:7" x14ac:dyDescent="0.25">
      <c r="A1320" s="174">
        <v>3809</v>
      </c>
      <c r="B1320" s="174">
        <v>0</v>
      </c>
      <c r="C1320" t="s">
        <v>2175</v>
      </c>
      <c r="D1320" s="795">
        <v>36711</v>
      </c>
      <c r="E1320" t="s">
        <v>170</v>
      </c>
      <c r="F1320">
        <v>1</v>
      </c>
      <c r="G1320" s="128"/>
    </row>
    <row r="1321" spans="1:7" x14ac:dyDescent="0.25">
      <c r="A1321" s="174">
        <v>1765</v>
      </c>
      <c r="B1321" s="174">
        <v>86</v>
      </c>
      <c r="C1321" t="s">
        <v>341</v>
      </c>
      <c r="D1321" s="795">
        <v>36948</v>
      </c>
      <c r="E1321" t="s">
        <v>155</v>
      </c>
      <c r="F1321">
        <v>1</v>
      </c>
      <c r="G1321" s="128"/>
    </row>
    <row r="1322" spans="1:7" x14ac:dyDescent="0.25">
      <c r="A1322" s="174">
        <v>3931</v>
      </c>
      <c r="B1322" s="174">
        <v>0</v>
      </c>
      <c r="C1322" t="s">
        <v>2176</v>
      </c>
      <c r="D1322" s="795">
        <v>37590</v>
      </c>
      <c r="E1322" t="s">
        <v>120</v>
      </c>
      <c r="F1322">
        <v>1</v>
      </c>
      <c r="G1322" s="128"/>
    </row>
    <row r="1323" spans="1:7" x14ac:dyDescent="0.25">
      <c r="A1323" s="174">
        <v>3095</v>
      </c>
      <c r="B1323" s="174">
        <v>7</v>
      </c>
      <c r="C1323" t="s">
        <v>2178</v>
      </c>
      <c r="D1323" s="795">
        <v>36613</v>
      </c>
      <c r="E1323" t="s">
        <v>1330</v>
      </c>
      <c r="F1323">
        <v>1</v>
      </c>
      <c r="G1323" s="128"/>
    </row>
    <row r="1324" spans="1:7" x14ac:dyDescent="0.25">
      <c r="A1324" s="174">
        <v>1881</v>
      </c>
      <c r="B1324" s="174">
        <v>74</v>
      </c>
      <c r="C1324" t="s">
        <v>838</v>
      </c>
      <c r="D1324" s="795">
        <v>36816</v>
      </c>
      <c r="E1324" t="s">
        <v>179</v>
      </c>
      <c r="F1324">
        <v>1</v>
      </c>
      <c r="G1324" s="128"/>
    </row>
    <row r="1325" spans="1:7" x14ac:dyDescent="0.25">
      <c r="A1325" s="174">
        <v>2935</v>
      </c>
      <c r="B1325" s="174">
        <v>13</v>
      </c>
      <c r="C1325" t="s">
        <v>2180</v>
      </c>
      <c r="D1325" s="795">
        <v>37140</v>
      </c>
      <c r="E1325" t="s">
        <v>1186</v>
      </c>
      <c r="F1325">
        <v>1</v>
      </c>
      <c r="G1325" s="128"/>
    </row>
    <row r="1326" spans="1:7" x14ac:dyDescent="0.25">
      <c r="A1326" s="174">
        <v>1893</v>
      </c>
      <c r="B1326" s="174">
        <v>73</v>
      </c>
      <c r="C1326" t="s">
        <v>2181</v>
      </c>
      <c r="D1326" s="795">
        <v>36890</v>
      </c>
      <c r="E1326" t="s">
        <v>120</v>
      </c>
      <c r="F1326">
        <v>1</v>
      </c>
      <c r="G1326" s="128"/>
    </row>
    <row r="1327" spans="1:7" x14ac:dyDescent="0.25">
      <c r="A1327" s="174">
        <v>1990</v>
      </c>
      <c r="B1327" s="174">
        <v>62</v>
      </c>
      <c r="C1327" t="s">
        <v>343</v>
      </c>
      <c r="D1327" s="795">
        <v>36543</v>
      </c>
      <c r="E1327" t="s">
        <v>165</v>
      </c>
      <c r="F1327">
        <v>1</v>
      </c>
      <c r="G1327" s="128"/>
    </row>
    <row r="1328" spans="1:7" x14ac:dyDescent="0.25">
      <c r="A1328" s="174">
        <v>1873</v>
      </c>
      <c r="B1328" s="174">
        <v>74</v>
      </c>
      <c r="C1328" t="s">
        <v>594</v>
      </c>
      <c r="D1328" s="795">
        <v>37303</v>
      </c>
      <c r="E1328" t="s">
        <v>165</v>
      </c>
      <c r="F1328">
        <v>1</v>
      </c>
      <c r="G1328" s="128"/>
    </row>
    <row r="1329" spans="1:7" x14ac:dyDescent="0.25">
      <c r="A1329" s="174">
        <v>3116</v>
      </c>
      <c r="B1329" s="174">
        <v>7</v>
      </c>
      <c r="C1329" t="s">
        <v>2182</v>
      </c>
      <c r="D1329" s="795">
        <v>37161</v>
      </c>
      <c r="E1329" t="s">
        <v>120</v>
      </c>
      <c r="F1329">
        <v>1</v>
      </c>
      <c r="G1329" s="128"/>
    </row>
    <row r="1330" spans="1:7" x14ac:dyDescent="0.25">
      <c r="A1330" s="174">
        <v>2574</v>
      </c>
      <c r="B1330" s="174">
        <v>28</v>
      </c>
      <c r="C1330" t="s">
        <v>595</v>
      </c>
      <c r="D1330" s="795">
        <v>36619</v>
      </c>
      <c r="E1330" t="s">
        <v>73</v>
      </c>
      <c r="F1330">
        <v>1</v>
      </c>
      <c r="G1330" s="128"/>
    </row>
    <row r="1331" spans="1:7" x14ac:dyDescent="0.25">
      <c r="A1331" s="174">
        <v>3732</v>
      </c>
      <c r="B1331" s="174">
        <v>0</v>
      </c>
      <c r="C1331" t="s">
        <v>2184</v>
      </c>
      <c r="D1331" s="795">
        <v>36830</v>
      </c>
      <c r="E1331" t="s">
        <v>139</v>
      </c>
      <c r="F1331">
        <v>1</v>
      </c>
      <c r="G1331" s="128"/>
    </row>
    <row r="1332" spans="1:7" x14ac:dyDescent="0.25">
      <c r="A1332" s="174">
        <v>2186</v>
      </c>
      <c r="B1332" s="174">
        <v>48</v>
      </c>
      <c r="C1332" t="s">
        <v>716</v>
      </c>
      <c r="D1332" s="795">
        <v>37123</v>
      </c>
      <c r="E1332" t="s">
        <v>1063</v>
      </c>
      <c r="F1332">
        <v>1</v>
      </c>
      <c r="G1332" s="128"/>
    </row>
    <row r="1333" spans="1:7" x14ac:dyDescent="0.25">
      <c r="A1333" s="174">
        <v>3494</v>
      </c>
      <c r="B1333" s="174">
        <v>0</v>
      </c>
      <c r="C1333" t="s">
        <v>2471</v>
      </c>
      <c r="D1333" s="795">
        <v>37708</v>
      </c>
      <c r="E1333" t="s">
        <v>120</v>
      </c>
      <c r="F1333">
        <v>1</v>
      </c>
      <c r="G1333" s="128"/>
    </row>
    <row r="1334" spans="1:7" x14ac:dyDescent="0.25">
      <c r="A1334" s="174">
        <v>2703</v>
      </c>
      <c r="B1334" s="174">
        <v>22</v>
      </c>
      <c r="C1334" t="s">
        <v>344</v>
      </c>
      <c r="D1334" s="795">
        <v>36650</v>
      </c>
      <c r="E1334" t="s">
        <v>105</v>
      </c>
      <c r="F1334">
        <v>1</v>
      </c>
      <c r="G1334" s="128"/>
    </row>
    <row r="1335" spans="1:7" x14ac:dyDescent="0.25">
      <c r="A1335" s="174">
        <v>2710</v>
      </c>
      <c r="B1335" s="174">
        <v>22</v>
      </c>
      <c r="C1335" t="s">
        <v>2185</v>
      </c>
      <c r="D1335" s="795">
        <v>37617</v>
      </c>
      <c r="E1335" t="s">
        <v>109</v>
      </c>
      <c r="F1335">
        <v>1</v>
      </c>
      <c r="G1335" s="128"/>
    </row>
    <row r="1336" spans="1:7" x14ac:dyDescent="0.25">
      <c r="A1336" s="174">
        <v>3796</v>
      </c>
      <c r="B1336" s="174">
        <v>0</v>
      </c>
      <c r="C1336" t="s">
        <v>2186</v>
      </c>
      <c r="D1336" s="795">
        <v>37663</v>
      </c>
      <c r="E1336" t="s">
        <v>1145</v>
      </c>
      <c r="F1336">
        <v>1</v>
      </c>
      <c r="G1336" s="128"/>
    </row>
    <row r="1337" spans="1:7" x14ac:dyDescent="0.25">
      <c r="A1337" s="174">
        <v>1884</v>
      </c>
      <c r="B1337" s="174">
        <v>73</v>
      </c>
      <c r="C1337" t="s">
        <v>412</v>
      </c>
      <c r="D1337" s="795">
        <v>36526</v>
      </c>
      <c r="E1337" t="s">
        <v>133</v>
      </c>
      <c r="F1337">
        <v>1</v>
      </c>
      <c r="G1337" s="128"/>
    </row>
    <row r="1338" spans="1:7" x14ac:dyDescent="0.25">
      <c r="A1338" s="174">
        <v>3797</v>
      </c>
      <c r="B1338" s="174">
        <v>0</v>
      </c>
      <c r="C1338" t="s">
        <v>2187</v>
      </c>
      <c r="D1338" s="795">
        <v>36748</v>
      </c>
      <c r="E1338" t="s">
        <v>127</v>
      </c>
      <c r="F1338">
        <v>1</v>
      </c>
      <c r="G1338" s="128"/>
    </row>
    <row r="1339" spans="1:7" x14ac:dyDescent="0.25">
      <c r="A1339" s="174">
        <v>3738</v>
      </c>
      <c r="B1339" s="174">
        <v>0</v>
      </c>
      <c r="C1339" t="s">
        <v>2189</v>
      </c>
      <c r="D1339" s="795">
        <v>36872</v>
      </c>
      <c r="E1339" t="s">
        <v>105</v>
      </c>
      <c r="F1339">
        <v>1</v>
      </c>
      <c r="G1339" s="128"/>
    </row>
    <row r="1340" spans="1:7" x14ac:dyDescent="0.25">
      <c r="A1340" s="174">
        <v>3739</v>
      </c>
      <c r="B1340" s="174">
        <v>0</v>
      </c>
      <c r="C1340" t="s">
        <v>2190</v>
      </c>
      <c r="D1340" s="795">
        <v>36654</v>
      </c>
      <c r="E1340" t="s">
        <v>105</v>
      </c>
      <c r="F1340">
        <v>1</v>
      </c>
      <c r="G1340" s="128"/>
    </row>
    <row r="1341" spans="1:7" x14ac:dyDescent="0.25">
      <c r="A1341" s="174">
        <v>2565</v>
      </c>
      <c r="B1341" s="174">
        <v>29</v>
      </c>
      <c r="C1341" t="s">
        <v>345</v>
      </c>
      <c r="D1341" s="795">
        <v>37117</v>
      </c>
      <c r="E1341" t="s">
        <v>213</v>
      </c>
      <c r="F1341">
        <v>1</v>
      </c>
      <c r="G1341" s="128"/>
    </row>
    <row r="1342" spans="1:7" x14ac:dyDescent="0.25">
      <c r="A1342" s="174">
        <v>1512</v>
      </c>
      <c r="B1342" s="174">
        <v>127</v>
      </c>
      <c r="C1342" t="s">
        <v>839</v>
      </c>
      <c r="D1342" s="795">
        <v>37100</v>
      </c>
      <c r="E1342" t="s">
        <v>147</v>
      </c>
      <c r="F1342">
        <v>1</v>
      </c>
      <c r="G1342" s="128"/>
    </row>
    <row r="1343" spans="1:7" x14ac:dyDescent="0.25">
      <c r="A1343" s="174">
        <v>2369</v>
      </c>
      <c r="B1343" s="174">
        <v>38</v>
      </c>
      <c r="C1343" t="s">
        <v>2192</v>
      </c>
      <c r="D1343" s="795">
        <v>36630</v>
      </c>
      <c r="E1343" t="s">
        <v>105</v>
      </c>
      <c r="F1343">
        <v>1</v>
      </c>
      <c r="G1343" s="128"/>
    </row>
    <row r="1344" spans="1:7" x14ac:dyDescent="0.25">
      <c r="A1344" s="174">
        <v>3447</v>
      </c>
      <c r="B1344" s="174">
        <v>0</v>
      </c>
      <c r="C1344" t="s">
        <v>2193</v>
      </c>
      <c r="D1344" s="795">
        <v>37159</v>
      </c>
      <c r="E1344" t="s">
        <v>1089</v>
      </c>
      <c r="F1344">
        <v>1</v>
      </c>
      <c r="G1344" s="128"/>
    </row>
    <row r="1345" spans="1:7" x14ac:dyDescent="0.25">
      <c r="A1345" s="174">
        <v>2241</v>
      </c>
      <c r="B1345" s="174">
        <v>45</v>
      </c>
      <c r="C1345" t="s">
        <v>413</v>
      </c>
      <c r="D1345" s="795">
        <v>36885</v>
      </c>
      <c r="E1345" t="s">
        <v>105</v>
      </c>
      <c r="F1345">
        <v>1</v>
      </c>
      <c r="G1345" s="128"/>
    </row>
    <row r="1346" spans="1:7" x14ac:dyDescent="0.25">
      <c r="A1346" s="174">
        <v>3620</v>
      </c>
      <c r="B1346" s="174">
        <v>0</v>
      </c>
      <c r="C1346" t="s">
        <v>2197</v>
      </c>
      <c r="D1346" s="795">
        <v>36695</v>
      </c>
      <c r="E1346" t="s">
        <v>2198</v>
      </c>
      <c r="F1346">
        <v>1</v>
      </c>
      <c r="G1346" s="128"/>
    </row>
    <row r="1347" spans="1:7" x14ac:dyDescent="0.25">
      <c r="A1347" s="174">
        <v>3621</v>
      </c>
      <c r="B1347" s="174">
        <v>0</v>
      </c>
      <c r="C1347" t="s">
        <v>2199</v>
      </c>
      <c r="D1347" s="795">
        <v>36695</v>
      </c>
      <c r="E1347" t="s">
        <v>2198</v>
      </c>
      <c r="F1347">
        <v>1</v>
      </c>
      <c r="G1347" s="128"/>
    </row>
    <row r="1348" spans="1:7" x14ac:dyDescent="0.25">
      <c r="A1348" s="174">
        <v>909</v>
      </c>
      <c r="B1348" s="174">
        <v>266</v>
      </c>
      <c r="C1348" t="s">
        <v>347</v>
      </c>
      <c r="D1348" s="795">
        <v>36923</v>
      </c>
      <c r="E1348" t="s">
        <v>105</v>
      </c>
      <c r="F1348">
        <v>1</v>
      </c>
      <c r="G1348" s="128"/>
    </row>
    <row r="1349" spans="1:7" x14ac:dyDescent="0.25">
      <c r="A1349" s="174">
        <v>1230</v>
      </c>
      <c r="B1349" s="174">
        <v>178</v>
      </c>
      <c r="C1349" t="s">
        <v>597</v>
      </c>
      <c r="D1349" s="795">
        <v>36683</v>
      </c>
      <c r="E1349" t="s">
        <v>1069</v>
      </c>
      <c r="F1349">
        <v>1</v>
      </c>
      <c r="G1349" s="128"/>
    </row>
    <row r="1350" spans="1:7" x14ac:dyDescent="0.25">
      <c r="A1350" s="174">
        <v>3065</v>
      </c>
      <c r="B1350" s="174">
        <v>8</v>
      </c>
      <c r="C1350" t="s">
        <v>2472</v>
      </c>
      <c r="D1350" s="795">
        <v>37063</v>
      </c>
      <c r="E1350" t="s">
        <v>138</v>
      </c>
      <c r="F1350">
        <v>1</v>
      </c>
      <c r="G1350" s="128"/>
    </row>
    <row r="1351" spans="1:7" x14ac:dyDescent="0.25">
      <c r="A1351" s="174">
        <v>2333</v>
      </c>
      <c r="B1351" s="174">
        <v>40</v>
      </c>
      <c r="C1351" t="s">
        <v>2201</v>
      </c>
      <c r="D1351" s="795">
        <v>37109</v>
      </c>
      <c r="E1351" t="s">
        <v>137</v>
      </c>
      <c r="F1351">
        <v>1</v>
      </c>
      <c r="G1351" s="128"/>
    </row>
    <row r="1352" spans="1:7" x14ac:dyDescent="0.25">
      <c r="A1352" s="174">
        <v>3179</v>
      </c>
      <c r="B1352" s="174">
        <v>5</v>
      </c>
      <c r="C1352" t="s">
        <v>2202</v>
      </c>
      <c r="D1352" s="795">
        <v>37105</v>
      </c>
      <c r="E1352" t="s">
        <v>118</v>
      </c>
      <c r="F1352">
        <v>1</v>
      </c>
      <c r="G1352" s="128"/>
    </row>
    <row r="1353" spans="1:7" x14ac:dyDescent="0.25">
      <c r="A1353" s="174">
        <v>3118</v>
      </c>
      <c r="B1353" s="174">
        <v>7</v>
      </c>
      <c r="C1353" t="s">
        <v>2203</v>
      </c>
      <c r="D1353" s="795">
        <v>36686</v>
      </c>
      <c r="E1353" t="s">
        <v>105</v>
      </c>
      <c r="F1353">
        <v>1</v>
      </c>
      <c r="G1353" s="128"/>
    </row>
    <row r="1354" spans="1:7" x14ac:dyDescent="0.25">
      <c r="A1354" s="174">
        <v>2959</v>
      </c>
      <c r="B1354" s="174">
        <v>12</v>
      </c>
      <c r="C1354" t="s">
        <v>2206</v>
      </c>
      <c r="D1354" s="795">
        <v>37152</v>
      </c>
      <c r="E1354" t="s">
        <v>2018</v>
      </c>
      <c r="F1354">
        <v>1</v>
      </c>
      <c r="G1354" s="128"/>
    </row>
    <row r="1355" spans="1:7" x14ac:dyDescent="0.25">
      <c r="A1355" s="174">
        <v>3480</v>
      </c>
      <c r="B1355" s="174">
        <v>0</v>
      </c>
      <c r="C1355" t="s">
        <v>2575</v>
      </c>
      <c r="D1355" s="795">
        <v>37641</v>
      </c>
      <c r="E1355" t="s">
        <v>122</v>
      </c>
      <c r="F1355">
        <v>1</v>
      </c>
      <c r="G1355" s="128"/>
    </row>
    <row r="1356" spans="1:7" x14ac:dyDescent="0.25">
      <c r="A1356" s="174">
        <v>2214</v>
      </c>
      <c r="B1356" s="174">
        <v>47</v>
      </c>
      <c r="C1356" t="s">
        <v>840</v>
      </c>
      <c r="D1356" s="795">
        <v>37517</v>
      </c>
      <c r="E1356" t="s">
        <v>105</v>
      </c>
      <c r="F1356">
        <v>1</v>
      </c>
      <c r="G1356" s="128"/>
    </row>
    <row r="1357" spans="1:7" x14ac:dyDescent="0.25">
      <c r="A1357" s="174">
        <v>2709</v>
      </c>
      <c r="B1357" s="174">
        <v>22</v>
      </c>
      <c r="C1357" t="s">
        <v>2207</v>
      </c>
      <c r="D1357" s="795">
        <v>37390</v>
      </c>
      <c r="E1357" t="s">
        <v>99</v>
      </c>
      <c r="F1357">
        <v>1</v>
      </c>
      <c r="G1357" s="128"/>
    </row>
    <row r="1358" spans="1:7" x14ac:dyDescent="0.25">
      <c r="A1358" s="174">
        <v>2504</v>
      </c>
      <c r="B1358" s="174">
        <v>32</v>
      </c>
      <c r="C1358" t="s">
        <v>2208</v>
      </c>
      <c r="D1358" s="795">
        <v>37544</v>
      </c>
      <c r="E1358" t="s">
        <v>105</v>
      </c>
      <c r="F1358">
        <v>1</v>
      </c>
      <c r="G1358" s="128"/>
    </row>
    <row r="1359" spans="1:7" x14ac:dyDescent="0.25">
      <c r="A1359" s="174">
        <v>1810</v>
      </c>
      <c r="B1359" s="174">
        <v>82</v>
      </c>
      <c r="C1359" t="s">
        <v>2210</v>
      </c>
      <c r="D1359" s="795">
        <v>36585</v>
      </c>
      <c r="E1359" t="s">
        <v>1069</v>
      </c>
      <c r="F1359">
        <v>1</v>
      </c>
      <c r="G1359" s="128"/>
    </row>
    <row r="1360" spans="1:7" x14ac:dyDescent="0.25">
      <c r="A1360" s="174">
        <v>3380</v>
      </c>
      <c r="B1360" s="174">
        <v>0</v>
      </c>
      <c r="C1360" t="s">
        <v>349</v>
      </c>
      <c r="D1360" s="795">
        <v>36801</v>
      </c>
      <c r="E1360" t="s">
        <v>105</v>
      </c>
      <c r="F1360">
        <v>1</v>
      </c>
      <c r="G1360" s="128"/>
    </row>
    <row r="1361" spans="1:7" x14ac:dyDescent="0.25">
      <c r="A1361" s="174">
        <v>3361</v>
      </c>
      <c r="B1361" s="174">
        <v>1</v>
      </c>
      <c r="C1361" t="s">
        <v>2211</v>
      </c>
      <c r="D1361" s="795">
        <v>36874</v>
      </c>
      <c r="E1361" t="s">
        <v>154</v>
      </c>
      <c r="F1361">
        <v>1</v>
      </c>
      <c r="G1361" s="128"/>
    </row>
    <row r="1362" spans="1:7" x14ac:dyDescent="0.25">
      <c r="A1362" s="174">
        <v>3315</v>
      </c>
      <c r="B1362" s="174">
        <v>2</v>
      </c>
      <c r="C1362" t="s">
        <v>2576</v>
      </c>
      <c r="D1362" s="795">
        <v>37607</v>
      </c>
      <c r="E1362" t="s">
        <v>113</v>
      </c>
      <c r="F1362">
        <v>1</v>
      </c>
      <c r="G1362" s="128"/>
    </row>
    <row r="1363" spans="1:7" x14ac:dyDescent="0.25">
      <c r="A1363" s="174">
        <v>2526</v>
      </c>
      <c r="B1363" s="174">
        <v>31</v>
      </c>
      <c r="C1363" t="s">
        <v>2212</v>
      </c>
      <c r="D1363" s="795">
        <v>37653</v>
      </c>
      <c r="E1363" t="s">
        <v>99</v>
      </c>
      <c r="F1363">
        <v>1</v>
      </c>
      <c r="G1363" s="128"/>
    </row>
    <row r="1364" spans="1:7" x14ac:dyDescent="0.25">
      <c r="A1364" s="174">
        <v>3352</v>
      </c>
      <c r="B1364" s="174">
        <v>1</v>
      </c>
      <c r="C1364" t="s">
        <v>2213</v>
      </c>
      <c r="D1364" s="795">
        <v>37585</v>
      </c>
      <c r="E1364" t="s">
        <v>113</v>
      </c>
      <c r="F1364">
        <v>1</v>
      </c>
      <c r="G1364" s="128"/>
    </row>
    <row r="1365" spans="1:7" x14ac:dyDescent="0.25">
      <c r="A1365" s="174">
        <v>2705</v>
      </c>
      <c r="B1365" s="174">
        <v>22</v>
      </c>
      <c r="C1365" t="s">
        <v>350</v>
      </c>
      <c r="D1365" s="795">
        <v>36634</v>
      </c>
      <c r="E1365" t="s">
        <v>105</v>
      </c>
      <c r="F1365">
        <v>1</v>
      </c>
      <c r="G1365" s="128"/>
    </row>
    <row r="1366" spans="1:7" x14ac:dyDescent="0.25">
      <c r="A1366" s="174">
        <v>3564</v>
      </c>
      <c r="B1366" s="174">
        <v>0</v>
      </c>
      <c r="C1366" t="s">
        <v>2214</v>
      </c>
      <c r="D1366" s="795">
        <v>36910</v>
      </c>
      <c r="E1366" t="s">
        <v>1214</v>
      </c>
      <c r="F1366">
        <v>1</v>
      </c>
      <c r="G1366" s="128"/>
    </row>
    <row r="1367" spans="1:7" x14ac:dyDescent="0.25">
      <c r="A1367" s="174">
        <v>2140</v>
      </c>
      <c r="B1367" s="174">
        <v>51</v>
      </c>
      <c r="C1367" t="s">
        <v>351</v>
      </c>
      <c r="D1367" s="795">
        <v>36557</v>
      </c>
      <c r="E1367" t="s">
        <v>165</v>
      </c>
      <c r="F1367">
        <v>1</v>
      </c>
      <c r="G1367" s="128"/>
    </row>
    <row r="1368" spans="1:7" x14ac:dyDescent="0.25">
      <c r="A1368" s="174">
        <v>2907</v>
      </c>
      <c r="B1368" s="174">
        <v>14</v>
      </c>
      <c r="C1368" t="s">
        <v>2215</v>
      </c>
      <c r="D1368" s="795">
        <v>37239</v>
      </c>
      <c r="E1368" t="s">
        <v>1192</v>
      </c>
      <c r="F1368">
        <v>1</v>
      </c>
      <c r="G1368" s="128"/>
    </row>
    <row r="1369" spans="1:7" x14ac:dyDescent="0.25">
      <c r="A1369" s="174">
        <v>1740</v>
      </c>
      <c r="B1369" s="174">
        <v>89</v>
      </c>
      <c r="C1369" t="s">
        <v>2216</v>
      </c>
      <c r="D1369" s="795">
        <v>37168</v>
      </c>
      <c r="E1369" t="s">
        <v>74</v>
      </c>
      <c r="F1369">
        <v>1</v>
      </c>
      <c r="G1369" s="128"/>
    </row>
    <row r="1370" spans="1:7" x14ac:dyDescent="0.25">
      <c r="A1370" s="174">
        <v>2584</v>
      </c>
      <c r="B1370" s="174">
        <v>28</v>
      </c>
      <c r="C1370" t="s">
        <v>2217</v>
      </c>
      <c r="D1370" s="795">
        <v>36947</v>
      </c>
      <c r="E1370" t="s">
        <v>120</v>
      </c>
      <c r="F1370">
        <v>1</v>
      </c>
      <c r="G1370" s="128"/>
    </row>
    <row r="1371" spans="1:7" x14ac:dyDescent="0.25">
      <c r="A1371" s="174">
        <v>2758</v>
      </c>
      <c r="B1371" s="174">
        <v>20</v>
      </c>
      <c r="C1371" t="s">
        <v>2218</v>
      </c>
      <c r="D1371" s="795">
        <v>37527</v>
      </c>
      <c r="E1371" t="s">
        <v>120</v>
      </c>
      <c r="F1371">
        <v>1</v>
      </c>
      <c r="G1371" s="128"/>
    </row>
    <row r="1372" spans="1:7" x14ac:dyDescent="0.25">
      <c r="A1372" s="174">
        <v>3725</v>
      </c>
      <c r="B1372" s="174">
        <v>0</v>
      </c>
      <c r="C1372" t="s">
        <v>2219</v>
      </c>
      <c r="D1372" s="795">
        <v>37236</v>
      </c>
      <c r="E1372" t="s">
        <v>105</v>
      </c>
      <c r="F1372">
        <v>1</v>
      </c>
      <c r="G1372" s="128"/>
    </row>
    <row r="1373" spans="1:7" x14ac:dyDescent="0.25">
      <c r="A1373" s="174">
        <v>3316</v>
      </c>
      <c r="B1373" s="174">
        <v>2</v>
      </c>
      <c r="C1373" t="s">
        <v>2220</v>
      </c>
      <c r="D1373" s="795">
        <v>36900</v>
      </c>
      <c r="E1373" t="s">
        <v>120</v>
      </c>
      <c r="F1373">
        <v>1</v>
      </c>
      <c r="G1373" s="128"/>
    </row>
    <row r="1374" spans="1:7" x14ac:dyDescent="0.25">
      <c r="A1374" s="174">
        <v>2120</v>
      </c>
      <c r="B1374" s="174">
        <v>53</v>
      </c>
      <c r="C1374" t="s">
        <v>2221</v>
      </c>
      <c r="D1374" s="795">
        <v>37274</v>
      </c>
      <c r="E1374" t="s">
        <v>1069</v>
      </c>
      <c r="F1374">
        <v>1</v>
      </c>
      <c r="G1374" s="128"/>
    </row>
    <row r="1375" spans="1:7" x14ac:dyDescent="0.25">
      <c r="A1375" s="174">
        <v>1176</v>
      </c>
      <c r="B1375" s="174">
        <v>192</v>
      </c>
      <c r="C1375" t="s">
        <v>414</v>
      </c>
      <c r="D1375" s="795">
        <v>36570</v>
      </c>
      <c r="E1375" t="s">
        <v>1186</v>
      </c>
      <c r="F1375">
        <v>1</v>
      </c>
      <c r="G1375" s="128"/>
    </row>
    <row r="1376" spans="1:7" x14ac:dyDescent="0.25">
      <c r="A1376" s="174">
        <v>2421</v>
      </c>
      <c r="B1376" s="174">
        <v>36</v>
      </c>
      <c r="C1376" t="s">
        <v>2222</v>
      </c>
      <c r="D1376" s="795">
        <v>37617</v>
      </c>
      <c r="E1376" t="s">
        <v>99</v>
      </c>
      <c r="F1376">
        <v>1</v>
      </c>
      <c r="G1376" s="128"/>
    </row>
    <row r="1377" spans="1:7" x14ac:dyDescent="0.25">
      <c r="A1377" s="174">
        <v>1068</v>
      </c>
      <c r="B1377" s="174">
        <v>221</v>
      </c>
      <c r="C1377" t="s">
        <v>2577</v>
      </c>
      <c r="D1377" s="795">
        <v>36526</v>
      </c>
      <c r="E1377" t="s">
        <v>2578</v>
      </c>
      <c r="F1377">
        <v>1</v>
      </c>
      <c r="G1377" s="128"/>
    </row>
    <row r="1378" spans="1:7" x14ac:dyDescent="0.25">
      <c r="A1378" s="174">
        <v>3651</v>
      </c>
      <c r="B1378" s="174">
        <v>0</v>
      </c>
      <c r="C1378" t="s">
        <v>2223</v>
      </c>
      <c r="D1378" s="795">
        <v>36820</v>
      </c>
      <c r="E1378" t="s">
        <v>290</v>
      </c>
      <c r="F1378">
        <v>1</v>
      </c>
      <c r="G1378" s="128"/>
    </row>
    <row r="1379" spans="1:7" x14ac:dyDescent="0.25">
      <c r="A1379" s="174">
        <v>3565</v>
      </c>
      <c r="B1379" s="174">
        <v>0</v>
      </c>
      <c r="C1379" t="s">
        <v>2224</v>
      </c>
      <c r="D1379" s="795">
        <v>36892</v>
      </c>
      <c r="E1379" t="s">
        <v>1485</v>
      </c>
      <c r="F1379">
        <v>1</v>
      </c>
      <c r="G1379" s="128"/>
    </row>
    <row r="1380" spans="1:7" x14ac:dyDescent="0.25">
      <c r="A1380" s="174">
        <v>3232</v>
      </c>
      <c r="B1380" s="174">
        <v>4</v>
      </c>
      <c r="C1380" t="s">
        <v>2225</v>
      </c>
      <c r="D1380" s="795">
        <v>37185</v>
      </c>
      <c r="E1380" t="s">
        <v>105</v>
      </c>
      <c r="F1380">
        <v>1</v>
      </c>
      <c r="G1380" s="128"/>
    </row>
    <row r="1381" spans="1:7" x14ac:dyDescent="0.25">
      <c r="A1381" s="174">
        <v>2300</v>
      </c>
      <c r="B1381" s="174">
        <v>42</v>
      </c>
      <c r="C1381" t="s">
        <v>598</v>
      </c>
      <c r="D1381" s="795">
        <v>36526</v>
      </c>
      <c r="E1381" t="s">
        <v>1099</v>
      </c>
      <c r="F1381">
        <v>1</v>
      </c>
      <c r="G1381" s="128"/>
    </row>
    <row r="1382" spans="1:7" x14ac:dyDescent="0.25">
      <c r="A1382" s="174">
        <v>3271</v>
      </c>
      <c r="B1382" s="174">
        <v>3</v>
      </c>
      <c r="C1382" t="s">
        <v>2226</v>
      </c>
      <c r="D1382" s="795">
        <v>36638</v>
      </c>
      <c r="E1382" t="s">
        <v>165</v>
      </c>
      <c r="F1382">
        <v>1</v>
      </c>
      <c r="G1382" s="128"/>
    </row>
    <row r="1383" spans="1:7" x14ac:dyDescent="0.25">
      <c r="A1383" s="174">
        <v>3155</v>
      </c>
      <c r="B1383" s="174">
        <v>5</v>
      </c>
      <c r="C1383" t="s">
        <v>717</v>
      </c>
      <c r="D1383" s="795">
        <v>37019</v>
      </c>
      <c r="E1383" t="s">
        <v>99</v>
      </c>
      <c r="F1383">
        <v>1</v>
      </c>
      <c r="G1383" s="128"/>
    </row>
    <row r="1384" spans="1:7" x14ac:dyDescent="0.25">
      <c r="A1384" s="174">
        <v>1037</v>
      </c>
      <c r="B1384" s="174">
        <v>229</v>
      </c>
      <c r="C1384" t="s">
        <v>2579</v>
      </c>
      <c r="D1384" s="795">
        <v>36892</v>
      </c>
      <c r="E1384" t="s">
        <v>2578</v>
      </c>
      <c r="F1384">
        <v>1</v>
      </c>
      <c r="G1384" s="128"/>
    </row>
    <row r="1385" spans="1:7" x14ac:dyDescent="0.25">
      <c r="A1385" s="174">
        <v>3094</v>
      </c>
      <c r="B1385" s="174">
        <v>7</v>
      </c>
      <c r="C1385" t="s">
        <v>842</v>
      </c>
      <c r="D1385" s="795">
        <v>36612</v>
      </c>
      <c r="E1385" t="s">
        <v>163</v>
      </c>
      <c r="F1385">
        <v>1</v>
      </c>
      <c r="G1385" s="128"/>
    </row>
    <row r="1386" spans="1:7" x14ac:dyDescent="0.25">
      <c r="A1386" s="174">
        <v>2911</v>
      </c>
      <c r="B1386" s="174">
        <v>13</v>
      </c>
      <c r="C1386" t="s">
        <v>353</v>
      </c>
      <c r="D1386" s="795">
        <v>36831</v>
      </c>
      <c r="E1386" t="s">
        <v>163</v>
      </c>
      <c r="F1386">
        <v>1</v>
      </c>
      <c r="G1386" s="128"/>
    </row>
    <row r="1387" spans="1:7" x14ac:dyDescent="0.25">
      <c r="A1387" s="174">
        <v>2450</v>
      </c>
      <c r="B1387" s="174">
        <v>34</v>
      </c>
      <c r="C1387" t="s">
        <v>2229</v>
      </c>
      <c r="D1387" s="795">
        <v>36977</v>
      </c>
      <c r="E1387" t="s">
        <v>122</v>
      </c>
      <c r="F1387">
        <v>1</v>
      </c>
      <c r="G1387" s="128"/>
    </row>
    <row r="1388" spans="1:7" x14ac:dyDescent="0.25">
      <c r="A1388" s="174">
        <v>3059</v>
      </c>
      <c r="B1388" s="174">
        <v>8</v>
      </c>
      <c r="C1388" t="s">
        <v>2230</v>
      </c>
      <c r="D1388" s="795">
        <v>36872</v>
      </c>
      <c r="E1388" t="s">
        <v>1846</v>
      </c>
      <c r="F1388">
        <v>1</v>
      </c>
      <c r="G1388" s="128"/>
    </row>
    <row r="1389" spans="1:7" x14ac:dyDescent="0.25">
      <c r="A1389" s="174">
        <v>2045</v>
      </c>
      <c r="B1389" s="174">
        <v>58</v>
      </c>
      <c r="C1389" t="s">
        <v>2231</v>
      </c>
      <c r="D1389" s="795">
        <v>36729</v>
      </c>
      <c r="E1389" t="s">
        <v>1121</v>
      </c>
      <c r="F1389">
        <v>1</v>
      </c>
      <c r="G1389" s="128"/>
    </row>
    <row r="1390" spans="1:7" x14ac:dyDescent="0.25">
      <c r="A1390" s="174">
        <v>3184</v>
      </c>
      <c r="B1390" s="174">
        <v>5</v>
      </c>
      <c r="C1390" t="s">
        <v>2232</v>
      </c>
      <c r="D1390" s="795">
        <v>36889</v>
      </c>
      <c r="E1390" t="s">
        <v>105</v>
      </c>
      <c r="F1390">
        <v>1</v>
      </c>
      <c r="G1390" s="128"/>
    </row>
    <row r="1391" spans="1:7" x14ac:dyDescent="0.25">
      <c r="A1391" s="174">
        <v>3524</v>
      </c>
      <c r="B1391" s="174">
        <v>0</v>
      </c>
      <c r="C1391" t="s">
        <v>2580</v>
      </c>
      <c r="D1391" s="795">
        <v>37786</v>
      </c>
      <c r="E1391" t="s">
        <v>2514</v>
      </c>
      <c r="F1391">
        <v>1</v>
      </c>
      <c r="G1391" s="128"/>
    </row>
    <row r="1392" spans="1:7" x14ac:dyDescent="0.25">
      <c r="A1392" s="174">
        <v>3143</v>
      </c>
      <c r="B1392" s="174">
        <v>6</v>
      </c>
      <c r="C1392" t="s">
        <v>2233</v>
      </c>
      <c r="D1392" s="795">
        <v>36928</v>
      </c>
      <c r="E1392" t="s">
        <v>208</v>
      </c>
      <c r="F1392">
        <v>1</v>
      </c>
      <c r="G1392" s="128"/>
    </row>
    <row r="1393" spans="1:7" x14ac:dyDescent="0.25">
      <c r="A1393" s="174">
        <v>1257</v>
      </c>
      <c r="B1393" s="174">
        <v>172</v>
      </c>
      <c r="C1393" t="s">
        <v>599</v>
      </c>
      <c r="D1393" s="795">
        <v>36721</v>
      </c>
      <c r="E1393" t="s">
        <v>1069</v>
      </c>
      <c r="F1393">
        <v>1</v>
      </c>
      <c r="G1393" s="128"/>
    </row>
    <row r="1394" spans="1:7" x14ac:dyDescent="0.25">
      <c r="A1394" s="174">
        <v>2739</v>
      </c>
      <c r="B1394" s="174">
        <v>20</v>
      </c>
      <c r="C1394" t="s">
        <v>600</v>
      </c>
      <c r="D1394" s="795">
        <v>36679</v>
      </c>
      <c r="E1394" t="s">
        <v>74</v>
      </c>
      <c r="F1394">
        <v>1</v>
      </c>
      <c r="G1394" s="128"/>
    </row>
    <row r="1395" spans="1:7" x14ac:dyDescent="0.25">
      <c r="A1395" s="174">
        <v>3675</v>
      </c>
      <c r="B1395" s="174">
        <v>0</v>
      </c>
      <c r="C1395" t="s">
        <v>2234</v>
      </c>
      <c r="D1395" s="795">
        <v>37281</v>
      </c>
      <c r="E1395" t="s">
        <v>105</v>
      </c>
      <c r="F1395">
        <v>1</v>
      </c>
      <c r="G1395" s="128"/>
    </row>
    <row r="1396" spans="1:7" x14ac:dyDescent="0.25">
      <c r="A1396" s="174">
        <v>2257</v>
      </c>
      <c r="B1396" s="174">
        <v>45</v>
      </c>
      <c r="C1396" t="s">
        <v>2235</v>
      </c>
      <c r="D1396" s="795">
        <v>36847</v>
      </c>
      <c r="E1396" t="s">
        <v>105</v>
      </c>
      <c r="F1396">
        <v>1</v>
      </c>
      <c r="G1396" s="128"/>
    </row>
    <row r="1397" spans="1:7" x14ac:dyDescent="0.25">
      <c r="A1397" s="174">
        <v>3661</v>
      </c>
      <c r="B1397" s="174">
        <v>0</v>
      </c>
      <c r="C1397" t="s">
        <v>2236</v>
      </c>
      <c r="D1397" s="795">
        <v>36944</v>
      </c>
      <c r="E1397" t="s">
        <v>227</v>
      </c>
      <c r="F1397">
        <v>1</v>
      </c>
      <c r="G1397" s="128"/>
    </row>
    <row r="1398" spans="1:7" x14ac:dyDescent="0.25">
      <c r="A1398" s="174">
        <v>2177</v>
      </c>
      <c r="B1398" s="174">
        <v>49</v>
      </c>
      <c r="C1398" t="s">
        <v>2237</v>
      </c>
      <c r="D1398" s="795">
        <v>37455</v>
      </c>
      <c r="E1398" t="s">
        <v>105</v>
      </c>
      <c r="F1398">
        <v>1</v>
      </c>
      <c r="G1398" s="128"/>
    </row>
    <row r="1399" spans="1:7" x14ac:dyDescent="0.25">
      <c r="A1399" s="174">
        <v>2814</v>
      </c>
      <c r="B1399" s="174">
        <v>18</v>
      </c>
      <c r="C1399" t="s">
        <v>2473</v>
      </c>
      <c r="D1399" s="795">
        <v>37307</v>
      </c>
      <c r="E1399" t="s">
        <v>120</v>
      </c>
      <c r="F1399">
        <v>1</v>
      </c>
      <c r="G1399" s="128"/>
    </row>
    <row r="1400" spans="1:7" x14ac:dyDescent="0.25">
      <c r="A1400" s="174">
        <v>2663</v>
      </c>
      <c r="B1400" s="174">
        <v>24</v>
      </c>
      <c r="C1400" t="s">
        <v>356</v>
      </c>
      <c r="D1400" s="795">
        <v>37351</v>
      </c>
      <c r="E1400" t="s">
        <v>99</v>
      </c>
      <c r="F1400">
        <v>1</v>
      </c>
      <c r="G1400" s="128"/>
    </row>
    <row r="1401" spans="1:7" x14ac:dyDescent="0.25">
      <c r="A1401" s="174">
        <v>2767</v>
      </c>
      <c r="B1401" s="174">
        <v>20</v>
      </c>
      <c r="C1401" t="s">
        <v>2239</v>
      </c>
      <c r="D1401" s="795">
        <v>37650</v>
      </c>
      <c r="E1401" t="s">
        <v>1107</v>
      </c>
      <c r="F1401">
        <v>1</v>
      </c>
      <c r="G1401" s="128"/>
    </row>
    <row r="1402" spans="1:7" x14ac:dyDescent="0.25">
      <c r="A1402" s="174">
        <v>1829</v>
      </c>
      <c r="B1402" s="174">
        <v>80</v>
      </c>
      <c r="C1402" t="s">
        <v>2240</v>
      </c>
      <c r="D1402" s="795">
        <v>37616</v>
      </c>
      <c r="E1402" t="s">
        <v>120</v>
      </c>
      <c r="F1402">
        <v>1</v>
      </c>
      <c r="G1402" s="128"/>
    </row>
    <row r="1403" spans="1:7" x14ac:dyDescent="0.25">
      <c r="A1403" s="174">
        <v>3246</v>
      </c>
      <c r="B1403" s="174">
        <v>4</v>
      </c>
      <c r="C1403" t="s">
        <v>2241</v>
      </c>
      <c r="D1403" s="795">
        <v>36956</v>
      </c>
      <c r="E1403" t="s">
        <v>115</v>
      </c>
      <c r="F1403">
        <v>1</v>
      </c>
      <c r="G1403" s="128"/>
    </row>
    <row r="1404" spans="1:7" x14ac:dyDescent="0.25">
      <c r="A1404" s="174">
        <v>3750</v>
      </c>
      <c r="B1404" s="174">
        <v>0</v>
      </c>
      <c r="C1404" t="s">
        <v>2242</v>
      </c>
      <c r="D1404" s="795">
        <v>36929</v>
      </c>
      <c r="E1404" t="s">
        <v>99</v>
      </c>
      <c r="F1404">
        <v>1</v>
      </c>
      <c r="G1404" s="128"/>
    </row>
    <row r="1405" spans="1:7" x14ac:dyDescent="0.25">
      <c r="A1405" s="174">
        <v>3744</v>
      </c>
      <c r="B1405" s="174">
        <v>0</v>
      </c>
      <c r="C1405" t="s">
        <v>2243</v>
      </c>
      <c r="D1405" s="795">
        <v>36753</v>
      </c>
      <c r="E1405" t="s">
        <v>183</v>
      </c>
      <c r="F1405">
        <v>1</v>
      </c>
      <c r="G1405" s="128"/>
    </row>
    <row r="1406" spans="1:7" x14ac:dyDescent="0.25">
      <c r="A1406" s="174">
        <v>3458</v>
      </c>
      <c r="B1406" s="174">
        <v>0</v>
      </c>
      <c r="C1406" t="s">
        <v>2245</v>
      </c>
      <c r="D1406" s="795">
        <v>37371</v>
      </c>
      <c r="E1406" t="s">
        <v>1143</v>
      </c>
      <c r="F1406">
        <v>1</v>
      </c>
      <c r="G1406" s="128"/>
    </row>
    <row r="1407" spans="1:7" x14ac:dyDescent="0.25">
      <c r="A1407" s="174">
        <v>1460</v>
      </c>
      <c r="B1407" s="174">
        <v>133</v>
      </c>
      <c r="C1407" t="s">
        <v>601</v>
      </c>
      <c r="D1407" s="795">
        <v>36794</v>
      </c>
      <c r="E1407" t="s">
        <v>1099</v>
      </c>
      <c r="F1407">
        <v>1</v>
      </c>
      <c r="G1407" s="128"/>
    </row>
    <row r="1408" spans="1:7" x14ac:dyDescent="0.25">
      <c r="A1408" s="174">
        <v>3697</v>
      </c>
      <c r="B1408" s="174">
        <v>0</v>
      </c>
      <c r="C1408" t="s">
        <v>2247</v>
      </c>
      <c r="D1408" s="795">
        <v>36734</v>
      </c>
      <c r="E1408" t="s">
        <v>111</v>
      </c>
      <c r="F1408">
        <v>1</v>
      </c>
      <c r="G1408" s="128"/>
    </row>
    <row r="1409" spans="1:7" x14ac:dyDescent="0.25">
      <c r="A1409" s="174">
        <v>3225</v>
      </c>
      <c r="B1409" s="174">
        <v>4</v>
      </c>
      <c r="C1409" t="s">
        <v>2581</v>
      </c>
      <c r="D1409" s="795">
        <v>37316</v>
      </c>
      <c r="E1409" t="s">
        <v>2582</v>
      </c>
      <c r="F1409">
        <v>1</v>
      </c>
      <c r="G1409" s="128"/>
    </row>
    <row r="1410" spans="1:7" x14ac:dyDescent="0.25">
      <c r="A1410" s="174">
        <v>2483</v>
      </c>
      <c r="B1410" s="174">
        <v>33</v>
      </c>
      <c r="C1410" t="s">
        <v>2249</v>
      </c>
      <c r="D1410" s="795">
        <v>37186</v>
      </c>
      <c r="E1410" t="s">
        <v>137</v>
      </c>
      <c r="F1410">
        <v>1</v>
      </c>
      <c r="G1410" s="128"/>
    </row>
    <row r="1411" spans="1:7" x14ac:dyDescent="0.25">
      <c r="A1411" s="174">
        <v>2806</v>
      </c>
      <c r="B1411" s="174">
        <v>18</v>
      </c>
      <c r="C1411" t="s">
        <v>2250</v>
      </c>
      <c r="D1411" s="795">
        <v>37353</v>
      </c>
      <c r="E1411" t="s">
        <v>1580</v>
      </c>
      <c r="F1411">
        <v>1</v>
      </c>
      <c r="G1411" s="128"/>
    </row>
    <row r="1412" spans="1:7" x14ac:dyDescent="0.25">
      <c r="A1412" s="174">
        <v>3098</v>
      </c>
      <c r="B1412" s="174">
        <v>7</v>
      </c>
      <c r="C1412" t="s">
        <v>2251</v>
      </c>
      <c r="D1412" s="795">
        <v>36866</v>
      </c>
      <c r="E1412" t="s">
        <v>128</v>
      </c>
      <c r="F1412">
        <v>1</v>
      </c>
      <c r="G1412" s="128"/>
    </row>
    <row r="1413" spans="1:7" x14ac:dyDescent="0.25">
      <c r="A1413" s="174">
        <v>3500</v>
      </c>
      <c r="B1413" s="174">
        <v>0</v>
      </c>
      <c r="C1413" t="s">
        <v>2583</v>
      </c>
      <c r="D1413" s="795">
        <v>37818</v>
      </c>
      <c r="E1413" t="s">
        <v>120</v>
      </c>
      <c r="F1413">
        <v>1</v>
      </c>
      <c r="G1413" s="128"/>
    </row>
    <row r="1414" spans="1:7" x14ac:dyDescent="0.25">
      <c r="A1414" s="174">
        <v>3132</v>
      </c>
      <c r="B1414" s="174">
        <v>6</v>
      </c>
      <c r="C1414" t="s">
        <v>2253</v>
      </c>
      <c r="D1414" s="795">
        <v>37210</v>
      </c>
      <c r="E1414" t="s">
        <v>165</v>
      </c>
      <c r="F1414">
        <v>1</v>
      </c>
      <c r="G1414" s="128"/>
    </row>
    <row r="1415" spans="1:7" x14ac:dyDescent="0.25">
      <c r="A1415" s="174">
        <v>2361</v>
      </c>
      <c r="B1415" s="174">
        <v>39</v>
      </c>
      <c r="C1415" t="s">
        <v>2254</v>
      </c>
      <c r="D1415" s="795">
        <v>36612</v>
      </c>
      <c r="E1415" t="s">
        <v>2170</v>
      </c>
      <c r="F1415">
        <v>1</v>
      </c>
      <c r="G1415" s="128"/>
    </row>
    <row r="1416" spans="1:7" x14ac:dyDescent="0.25">
      <c r="A1416" s="174">
        <v>3650</v>
      </c>
      <c r="B1416" s="174">
        <v>0</v>
      </c>
      <c r="C1416" t="s">
        <v>2255</v>
      </c>
      <c r="D1416" s="795">
        <v>36892</v>
      </c>
      <c r="E1416" t="s">
        <v>74</v>
      </c>
      <c r="F1416">
        <v>1</v>
      </c>
      <c r="G1416" s="128"/>
    </row>
    <row r="1417" spans="1:7" x14ac:dyDescent="0.25">
      <c r="A1417" s="174">
        <v>1559</v>
      </c>
      <c r="B1417" s="174">
        <v>117</v>
      </c>
      <c r="C1417" t="s">
        <v>719</v>
      </c>
      <c r="D1417" s="795">
        <v>36829</v>
      </c>
      <c r="E1417" t="s">
        <v>114</v>
      </c>
      <c r="F1417">
        <v>1</v>
      </c>
      <c r="G1417" s="128"/>
    </row>
    <row r="1418" spans="1:7" x14ac:dyDescent="0.25">
      <c r="A1418" s="174">
        <v>3810</v>
      </c>
      <c r="B1418" s="174">
        <v>0</v>
      </c>
      <c r="C1418" t="s">
        <v>2256</v>
      </c>
      <c r="D1418" s="795">
        <v>37091</v>
      </c>
      <c r="E1418" t="s">
        <v>1502</v>
      </c>
      <c r="F1418">
        <v>1</v>
      </c>
      <c r="G1418" s="128"/>
    </row>
    <row r="1419" spans="1:7" x14ac:dyDescent="0.25">
      <c r="A1419" s="174">
        <v>3640</v>
      </c>
      <c r="B1419" s="174">
        <v>0</v>
      </c>
      <c r="C1419" t="s">
        <v>2257</v>
      </c>
      <c r="D1419" s="795">
        <v>36783</v>
      </c>
      <c r="E1419" t="s">
        <v>1234</v>
      </c>
      <c r="F1419">
        <v>1</v>
      </c>
      <c r="G1419" s="128"/>
    </row>
    <row r="1420" spans="1:7" x14ac:dyDescent="0.25">
      <c r="A1420" s="174">
        <v>3514</v>
      </c>
      <c r="B1420" s="174">
        <v>0</v>
      </c>
      <c r="C1420" t="s">
        <v>2584</v>
      </c>
      <c r="D1420" s="795">
        <v>37672</v>
      </c>
      <c r="E1420" t="s">
        <v>72</v>
      </c>
      <c r="F1420">
        <v>1</v>
      </c>
      <c r="G1420" s="128"/>
    </row>
    <row r="1421" spans="1:7" x14ac:dyDescent="0.25">
      <c r="A1421" s="174">
        <v>3606</v>
      </c>
      <c r="B1421" s="174">
        <v>0</v>
      </c>
      <c r="C1421" t="s">
        <v>2259</v>
      </c>
      <c r="D1421" s="795">
        <v>36970</v>
      </c>
      <c r="E1421" t="s">
        <v>1199</v>
      </c>
      <c r="F1421">
        <v>1</v>
      </c>
      <c r="G1421" s="128"/>
    </row>
    <row r="1422" spans="1:7" x14ac:dyDescent="0.25">
      <c r="A1422" s="174">
        <v>2306</v>
      </c>
      <c r="B1422" s="174">
        <v>42</v>
      </c>
      <c r="C1422" t="s">
        <v>720</v>
      </c>
      <c r="D1422" s="795">
        <v>36689</v>
      </c>
      <c r="E1422" t="s">
        <v>74</v>
      </c>
      <c r="F1422">
        <v>1</v>
      </c>
      <c r="G1422" s="128"/>
    </row>
    <row r="1423" spans="1:7" x14ac:dyDescent="0.25">
      <c r="A1423" s="174">
        <v>3501</v>
      </c>
      <c r="B1423" s="174">
        <v>0</v>
      </c>
      <c r="C1423" t="s">
        <v>2585</v>
      </c>
      <c r="D1423" s="795">
        <v>37872</v>
      </c>
      <c r="E1423" t="s">
        <v>120</v>
      </c>
      <c r="F1423">
        <v>1</v>
      </c>
      <c r="G1423" s="128"/>
    </row>
    <row r="1424" spans="1:7" x14ac:dyDescent="0.25">
      <c r="A1424" s="174">
        <v>2516</v>
      </c>
      <c r="B1424" s="174">
        <v>31</v>
      </c>
      <c r="C1424" t="s">
        <v>721</v>
      </c>
      <c r="D1424" s="795">
        <v>36596</v>
      </c>
      <c r="E1424" t="s">
        <v>1063</v>
      </c>
      <c r="F1424">
        <v>1</v>
      </c>
      <c r="G1424" s="128"/>
    </row>
    <row r="1425" spans="1:7" x14ac:dyDescent="0.25">
      <c r="A1425" s="174">
        <v>2550</v>
      </c>
      <c r="B1425" s="174">
        <v>30</v>
      </c>
      <c r="C1425" t="s">
        <v>2260</v>
      </c>
      <c r="D1425" s="795">
        <v>36938</v>
      </c>
      <c r="E1425" t="s">
        <v>118</v>
      </c>
      <c r="F1425">
        <v>1</v>
      </c>
      <c r="G1425" s="128"/>
    </row>
    <row r="1426" spans="1:7" x14ac:dyDescent="0.25">
      <c r="A1426" s="174">
        <v>2149</v>
      </c>
      <c r="B1426" s="174">
        <v>50</v>
      </c>
      <c r="C1426" t="s">
        <v>604</v>
      </c>
      <c r="D1426" s="795">
        <v>36918</v>
      </c>
      <c r="E1426" t="s">
        <v>105</v>
      </c>
      <c r="F1426">
        <v>1</v>
      </c>
      <c r="G1426" s="128"/>
    </row>
    <row r="1427" spans="1:7" x14ac:dyDescent="0.25">
      <c r="A1427" s="174">
        <v>2184</v>
      </c>
      <c r="B1427" s="174">
        <v>48</v>
      </c>
      <c r="C1427" t="s">
        <v>605</v>
      </c>
      <c r="D1427" s="795">
        <v>37117</v>
      </c>
      <c r="E1427" t="s">
        <v>137</v>
      </c>
      <c r="F1427">
        <v>1</v>
      </c>
      <c r="G1427" s="128"/>
    </row>
    <row r="1428" spans="1:7" x14ac:dyDescent="0.25">
      <c r="A1428" s="174">
        <v>3711</v>
      </c>
      <c r="B1428" s="174">
        <v>0</v>
      </c>
      <c r="C1428" t="s">
        <v>2261</v>
      </c>
      <c r="D1428" s="795">
        <v>37339</v>
      </c>
      <c r="E1428" t="s">
        <v>1163</v>
      </c>
      <c r="F1428">
        <v>1</v>
      </c>
      <c r="G1428" s="128"/>
    </row>
    <row r="1429" spans="1:7" x14ac:dyDescent="0.25">
      <c r="A1429" s="174">
        <v>3541</v>
      </c>
      <c r="B1429" s="174">
        <v>0</v>
      </c>
      <c r="C1429" t="s">
        <v>2586</v>
      </c>
      <c r="D1429" s="795">
        <v>37509</v>
      </c>
      <c r="E1429" t="s">
        <v>1143</v>
      </c>
      <c r="F1429">
        <v>1</v>
      </c>
      <c r="G1429" s="128"/>
    </row>
    <row r="1430" spans="1:7" x14ac:dyDescent="0.25">
      <c r="A1430" s="174">
        <v>3378</v>
      </c>
      <c r="B1430" s="174">
        <v>0</v>
      </c>
      <c r="C1430" t="s">
        <v>415</v>
      </c>
      <c r="D1430" s="795">
        <v>37146</v>
      </c>
      <c r="E1430" t="s">
        <v>1143</v>
      </c>
      <c r="F1430">
        <v>1</v>
      </c>
      <c r="G1430" s="128"/>
    </row>
    <row r="1431" spans="1:7" x14ac:dyDescent="0.25">
      <c r="A1431" s="174">
        <v>2150</v>
      </c>
      <c r="B1431" s="174">
        <v>50</v>
      </c>
      <c r="C1431" t="s">
        <v>606</v>
      </c>
      <c r="D1431" s="795">
        <v>36622</v>
      </c>
      <c r="E1431" t="s">
        <v>105</v>
      </c>
      <c r="F1431">
        <v>1</v>
      </c>
      <c r="G1431" s="128"/>
    </row>
    <row r="1432" spans="1:7" x14ac:dyDescent="0.25">
      <c r="A1432" s="174">
        <v>1479</v>
      </c>
      <c r="B1432" s="174">
        <v>131</v>
      </c>
      <c r="C1432" t="s">
        <v>844</v>
      </c>
      <c r="D1432" s="795">
        <v>36579</v>
      </c>
      <c r="E1432" t="s">
        <v>105</v>
      </c>
      <c r="F1432">
        <v>1</v>
      </c>
      <c r="G1432" s="128"/>
    </row>
    <row r="1433" spans="1:7" x14ac:dyDescent="0.25">
      <c r="A1433" s="174">
        <v>3699</v>
      </c>
      <c r="B1433" s="174">
        <v>0</v>
      </c>
      <c r="C1433" t="s">
        <v>2264</v>
      </c>
      <c r="D1433" s="795">
        <v>37350</v>
      </c>
      <c r="E1433" t="s">
        <v>120</v>
      </c>
      <c r="F1433">
        <v>1</v>
      </c>
      <c r="G1433" s="128"/>
    </row>
    <row r="1434" spans="1:7" x14ac:dyDescent="0.25">
      <c r="A1434" s="174">
        <v>3390</v>
      </c>
      <c r="B1434" s="174">
        <v>0</v>
      </c>
      <c r="C1434" t="s">
        <v>2265</v>
      </c>
      <c r="D1434" s="795">
        <v>36621</v>
      </c>
      <c r="E1434" t="s">
        <v>122</v>
      </c>
      <c r="F1434">
        <v>1</v>
      </c>
      <c r="G1434" s="128"/>
    </row>
    <row r="1435" spans="1:7" x14ac:dyDescent="0.25">
      <c r="A1435" s="174">
        <v>3643</v>
      </c>
      <c r="B1435" s="174">
        <v>0</v>
      </c>
      <c r="C1435" t="s">
        <v>2266</v>
      </c>
      <c r="D1435" s="795">
        <v>37817</v>
      </c>
      <c r="E1435" t="s">
        <v>105</v>
      </c>
      <c r="F1435">
        <v>1</v>
      </c>
      <c r="G1435" s="128"/>
    </row>
    <row r="1436" spans="1:7" x14ac:dyDescent="0.25">
      <c r="A1436" s="174">
        <v>2925</v>
      </c>
      <c r="B1436" s="174">
        <v>13</v>
      </c>
      <c r="C1436" t="s">
        <v>2267</v>
      </c>
      <c r="D1436" s="795">
        <v>36595</v>
      </c>
      <c r="E1436" t="s">
        <v>120</v>
      </c>
      <c r="F1436">
        <v>1</v>
      </c>
      <c r="G1436" s="128"/>
    </row>
    <row r="1437" spans="1:7" x14ac:dyDescent="0.25">
      <c r="A1437" s="174">
        <v>3663</v>
      </c>
      <c r="B1437" s="174">
        <v>0</v>
      </c>
      <c r="C1437" t="s">
        <v>2268</v>
      </c>
      <c r="D1437" s="795">
        <v>36892</v>
      </c>
      <c r="E1437" t="s">
        <v>120</v>
      </c>
      <c r="F1437">
        <v>1</v>
      </c>
      <c r="G1437" s="128"/>
    </row>
    <row r="1438" spans="1:7" x14ac:dyDescent="0.25">
      <c r="A1438" s="174">
        <v>2283</v>
      </c>
      <c r="B1438" s="174">
        <v>43</v>
      </c>
      <c r="C1438" t="s">
        <v>607</v>
      </c>
      <c r="D1438" s="795">
        <v>36570</v>
      </c>
      <c r="E1438" t="s">
        <v>72</v>
      </c>
      <c r="F1438">
        <v>1</v>
      </c>
      <c r="G1438" s="128"/>
    </row>
    <row r="1439" spans="1:7" x14ac:dyDescent="0.25">
      <c r="A1439" s="174">
        <v>2042</v>
      </c>
      <c r="B1439" s="174">
        <v>58</v>
      </c>
      <c r="C1439" t="s">
        <v>416</v>
      </c>
      <c r="D1439" s="795">
        <v>36601</v>
      </c>
      <c r="E1439" t="s">
        <v>1089</v>
      </c>
      <c r="F1439">
        <v>1</v>
      </c>
      <c r="G1439" s="128"/>
    </row>
    <row r="1440" spans="1:7" x14ac:dyDescent="0.25">
      <c r="A1440" s="174">
        <v>1606</v>
      </c>
      <c r="B1440" s="174">
        <v>108</v>
      </c>
      <c r="C1440" t="s">
        <v>2269</v>
      </c>
      <c r="D1440" s="795">
        <v>36901</v>
      </c>
      <c r="E1440" t="s">
        <v>75</v>
      </c>
      <c r="F1440">
        <v>1</v>
      </c>
      <c r="G1440" s="128"/>
    </row>
    <row r="1441" spans="1:7" x14ac:dyDescent="0.25">
      <c r="A1441" s="174">
        <v>2231</v>
      </c>
      <c r="B1441" s="174">
        <v>46</v>
      </c>
      <c r="C1441" t="s">
        <v>2270</v>
      </c>
      <c r="D1441" s="795">
        <v>36823</v>
      </c>
      <c r="E1441" t="s">
        <v>111</v>
      </c>
      <c r="F1441">
        <v>1</v>
      </c>
      <c r="G1441" s="128"/>
    </row>
    <row r="1442" spans="1:7" x14ac:dyDescent="0.25">
      <c r="A1442" s="174">
        <v>3018</v>
      </c>
      <c r="B1442" s="174">
        <v>10</v>
      </c>
      <c r="C1442" t="s">
        <v>2271</v>
      </c>
      <c r="D1442" s="795">
        <v>37111</v>
      </c>
      <c r="E1442" t="s">
        <v>120</v>
      </c>
      <c r="F1442">
        <v>1</v>
      </c>
      <c r="G1442" s="128"/>
    </row>
    <row r="1443" spans="1:7" x14ac:dyDescent="0.25">
      <c r="A1443" s="174">
        <v>1673</v>
      </c>
      <c r="B1443" s="174">
        <v>98</v>
      </c>
      <c r="C1443" t="s">
        <v>608</v>
      </c>
      <c r="D1443" s="795">
        <v>36557</v>
      </c>
      <c r="E1443" t="s">
        <v>141</v>
      </c>
      <c r="F1443">
        <v>1</v>
      </c>
      <c r="G1443" s="128"/>
    </row>
    <row r="1444" spans="1:7" x14ac:dyDescent="0.25">
      <c r="A1444" s="174">
        <v>3140</v>
      </c>
      <c r="B1444" s="174">
        <v>6</v>
      </c>
      <c r="C1444" t="s">
        <v>2272</v>
      </c>
      <c r="D1444" s="795">
        <v>37183</v>
      </c>
      <c r="E1444" t="s">
        <v>120</v>
      </c>
      <c r="F1444">
        <v>1</v>
      </c>
      <c r="G1444" s="128"/>
    </row>
    <row r="1445" spans="1:7" x14ac:dyDescent="0.25">
      <c r="A1445" s="174">
        <v>3056</v>
      </c>
      <c r="B1445" s="174">
        <v>9</v>
      </c>
      <c r="C1445" t="s">
        <v>2273</v>
      </c>
      <c r="D1445" s="795">
        <v>37183</v>
      </c>
      <c r="E1445" t="s">
        <v>120</v>
      </c>
      <c r="F1445">
        <v>1</v>
      </c>
      <c r="G1445" s="128"/>
    </row>
    <row r="1446" spans="1:7" x14ac:dyDescent="0.25">
      <c r="A1446" s="174">
        <v>3061</v>
      </c>
      <c r="B1446" s="174">
        <v>8</v>
      </c>
      <c r="C1446" t="s">
        <v>2274</v>
      </c>
      <c r="D1446" s="795">
        <v>36993</v>
      </c>
      <c r="E1446" t="s">
        <v>99</v>
      </c>
      <c r="F1446">
        <v>1</v>
      </c>
      <c r="G1446" s="128"/>
    </row>
    <row r="1447" spans="1:7" x14ac:dyDescent="0.25">
      <c r="A1447" s="174">
        <v>1687</v>
      </c>
      <c r="B1447" s="174">
        <v>96</v>
      </c>
      <c r="C1447" t="s">
        <v>2275</v>
      </c>
      <c r="D1447" s="795">
        <v>36907</v>
      </c>
      <c r="E1447" t="s">
        <v>1121</v>
      </c>
      <c r="F1447">
        <v>1</v>
      </c>
      <c r="G1447" s="128"/>
    </row>
    <row r="1448" spans="1:7" x14ac:dyDescent="0.25">
      <c r="A1448" s="174">
        <v>2969</v>
      </c>
      <c r="B1448" s="174">
        <v>11</v>
      </c>
      <c r="C1448" t="s">
        <v>2276</v>
      </c>
      <c r="D1448" s="795">
        <v>36526</v>
      </c>
      <c r="E1448" t="s">
        <v>165</v>
      </c>
      <c r="F1448">
        <v>1</v>
      </c>
      <c r="G1448" s="128"/>
    </row>
    <row r="1449" spans="1:7" x14ac:dyDescent="0.25">
      <c r="A1449" s="174">
        <v>2002</v>
      </c>
      <c r="B1449" s="174">
        <v>61</v>
      </c>
      <c r="C1449" t="s">
        <v>609</v>
      </c>
      <c r="D1449" s="795">
        <v>37239</v>
      </c>
      <c r="E1449" t="s">
        <v>120</v>
      </c>
      <c r="F1449">
        <v>1</v>
      </c>
      <c r="G1449" s="128"/>
    </row>
    <row r="1450" spans="1:7" x14ac:dyDescent="0.25">
      <c r="A1450" s="174">
        <v>1099</v>
      </c>
      <c r="B1450" s="174">
        <v>211</v>
      </c>
      <c r="C1450" t="s">
        <v>610</v>
      </c>
      <c r="D1450" s="795">
        <v>36607</v>
      </c>
      <c r="E1450" t="s">
        <v>1069</v>
      </c>
      <c r="F1450">
        <v>1</v>
      </c>
      <c r="G1450" s="128"/>
    </row>
    <row r="1451" spans="1:7" x14ac:dyDescent="0.25">
      <c r="A1451" s="174">
        <v>2279</v>
      </c>
      <c r="B1451" s="174">
        <v>44</v>
      </c>
      <c r="C1451" t="s">
        <v>2277</v>
      </c>
      <c r="D1451" s="795">
        <v>36639</v>
      </c>
      <c r="E1451" t="s">
        <v>105</v>
      </c>
      <c r="F1451">
        <v>1</v>
      </c>
      <c r="G1451" s="128"/>
    </row>
    <row r="1452" spans="1:7" x14ac:dyDescent="0.25">
      <c r="A1452" s="174">
        <v>3862</v>
      </c>
      <c r="B1452" s="174">
        <v>0</v>
      </c>
      <c r="C1452" t="s">
        <v>2278</v>
      </c>
      <c r="D1452" s="795">
        <v>37451</v>
      </c>
      <c r="E1452" t="s">
        <v>113</v>
      </c>
      <c r="F1452">
        <v>1</v>
      </c>
      <c r="G1452" s="128"/>
    </row>
    <row r="1453" spans="1:7" x14ac:dyDescent="0.25">
      <c r="A1453" s="174">
        <v>3759</v>
      </c>
      <c r="B1453" s="174">
        <v>0</v>
      </c>
      <c r="C1453" t="s">
        <v>2279</v>
      </c>
      <c r="D1453" s="795">
        <v>36678</v>
      </c>
      <c r="E1453" t="s">
        <v>1191</v>
      </c>
      <c r="F1453">
        <v>1</v>
      </c>
      <c r="G1453" s="128"/>
    </row>
    <row r="1454" spans="1:7" x14ac:dyDescent="0.25">
      <c r="A1454" s="174">
        <v>3455</v>
      </c>
      <c r="B1454" s="174">
        <v>0</v>
      </c>
      <c r="C1454" t="s">
        <v>2280</v>
      </c>
      <c r="D1454" s="795">
        <v>37103</v>
      </c>
      <c r="E1454" t="s">
        <v>1143</v>
      </c>
      <c r="F1454">
        <v>1</v>
      </c>
      <c r="G1454" s="128"/>
    </row>
    <row r="1455" spans="1:7" x14ac:dyDescent="0.25">
      <c r="A1455" s="174">
        <v>3360</v>
      </c>
      <c r="B1455" s="174">
        <v>1</v>
      </c>
      <c r="C1455" t="s">
        <v>2474</v>
      </c>
      <c r="D1455" s="795">
        <v>36962</v>
      </c>
      <c r="E1455" t="s">
        <v>126</v>
      </c>
      <c r="F1455">
        <v>1</v>
      </c>
      <c r="G1455" s="128"/>
    </row>
    <row r="1456" spans="1:7" x14ac:dyDescent="0.25">
      <c r="A1456" s="174">
        <v>2170</v>
      </c>
      <c r="B1456" s="174">
        <v>49</v>
      </c>
      <c r="C1456" t="s">
        <v>722</v>
      </c>
      <c r="D1456" s="795">
        <v>36971</v>
      </c>
      <c r="E1456" t="s">
        <v>180</v>
      </c>
      <c r="F1456">
        <v>1</v>
      </c>
      <c r="G1456" s="128"/>
    </row>
    <row r="1457" spans="1:7" x14ac:dyDescent="0.25">
      <c r="A1457" s="174">
        <v>2182</v>
      </c>
      <c r="B1457" s="174">
        <v>49</v>
      </c>
      <c r="C1457" t="s">
        <v>845</v>
      </c>
      <c r="D1457" s="795">
        <v>37048</v>
      </c>
      <c r="E1457" t="s">
        <v>120</v>
      </c>
      <c r="F1457">
        <v>1</v>
      </c>
      <c r="G1457" s="128"/>
    </row>
    <row r="1458" spans="1:7" x14ac:dyDescent="0.25">
      <c r="A1458" s="174">
        <v>2800</v>
      </c>
      <c r="B1458" s="174">
        <v>18</v>
      </c>
      <c r="C1458" t="s">
        <v>611</v>
      </c>
      <c r="D1458" s="795">
        <v>36805</v>
      </c>
      <c r="E1458" t="s">
        <v>200</v>
      </c>
      <c r="F1458">
        <v>1</v>
      </c>
      <c r="G1458" s="128"/>
    </row>
    <row r="1459" spans="1:7" x14ac:dyDescent="0.25">
      <c r="A1459" s="174">
        <v>1532</v>
      </c>
      <c r="B1459" s="174">
        <v>123</v>
      </c>
      <c r="C1459" t="s">
        <v>362</v>
      </c>
      <c r="D1459" s="795">
        <v>36627</v>
      </c>
      <c r="E1459" t="s">
        <v>1143</v>
      </c>
      <c r="F1459">
        <v>1</v>
      </c>
      <c r="G1459" s="128"/>
    </row>
    <row r="1460" spans="1:7" x14ac:dyDescent="0.25">
      <c r="A1460" s="174">
        <v>3470</v>
      </c>
      <c r="B1460" s="174">
        <v>0</v>
      </c>
      <c r="C1460" t="s">
        <v>2587</v>
      </c>
      <c r="D1460" s="795">
        <v>36701</v>
      </c>
      <c r="E1460" t="s">
        <v>110</v>
      </c>
      <c r="F1460">
        <v>1</v>
      </c>
      <c r="G1460" s="128"/>
    </row>
    <row r="1461" spans="1:7" x14ac:dyDescent="0.25">
      <c r="A1461" s="174">
        <v>1580</v>
      </c>
      <c r="B1461" s="174">
        <v>114</v>
      </c>
      <c r="C1461" t="s">
        <v>2284</v>
      </c>
      <c r="D1461" s="795">
        <v>36751</v>
      </c>
      <c r="E1461" t="s">
        <v>2524</v>
      </c>
      <c r="F1461">
        <v>1</v>
      </c>
      <c r="G1461" s="128"/>
    </row>
    <row r="1462" spans="1:7" x14ac:dyDescent="0.25">
      <c r="A1462" s="174">
        <v>3102</v>
      </c>
      <c r="B1462" s="174">
        <v>7</v>
      </c>
      <c r="C1462" t="s">
        <v>2285</v>
      </c>
      <c r="D1462" s="795">
        <v>36633</v>
      </c>
      <c r="E1462" t="s">
        <v>2286</v>
      </c>
      <c r="F1462">
        <v>1</v>
      </c>
      <c r="G1462" s="128"/>
    </row>
    <row r="1463" spans="1:7" x14ac:dyDescent="0.25">
      <c r="A1463" s="174">
        <v>1752</v>
      </c>
      <c r="B1463" s="174">
        <v>87</v>
      </c>
      <c r="C1463" t="s">
        <v>612</v>
      </c>
      <c r="D1463" s="795">
        <v>36712</v>
      </c>
      <c r="E1463" t="s">
        <v>119</v>
      </c>
      <c r="F1463">
        <v>1</v>
      </c>
      <c r="G1463" s="128"/>
    </row>
    <row r="1464" spans="1:7" x14ac:dyDescent="0.25">
      <c r="A1464" s="174">
        <v>1900</v>
      </c>
      <c r="B1464" s="174">
        <v>72</v>
      </c>
      <c r="C1464" t="s">
        <v>2288</v>
      </c>
      <c r="D1464" s="795">
        <v>37036</v>
      </c>
      <c r="E1464" t="s">
        <v>1089</v>
      </c>
      <c r="F1464">
        <v>1</v>
      </c>
      <c r="G1464" s="128"/>
    </row>
    <row r="1465" spans="1:7" x14ac:dyDescent="0.25">
      <c r="A1465" s="174">
        <v>2754</v>
      </c>
      <c r="B1465" s="174">
        <v>20</v>
      </c>
      <c r="C1465" t="s">
        <v>2289</v>
      </c>
      <c r="D1465" s="795">
        <v>36892</v>
      </c>
      <c r="E1465" t="s">
        <v>1089</v>
      </c>
      <c r="F1465">
        <v>1</v>
      </c>
      <c r="G1465" s="128"/>
    </row>
    <row r="1466" spans="1:7" x14ac:dyDescent="0.25">
      <c r="A1466" s="174">
        <v>3542</v>
      </c>
      <c r="B1466" s="174">
        <v>0</v>
      </c>
      <c r="C1466" t="s">
        <v>2588</v>
      </c>
      <c r="D1466" s="795">
        <v>38493</v>
      </c>
      <c r="E1466" t="s">
        <v>376</v>
      </c>
      <c r="F1466">
        <v>1</v>
      </c>
      <c r="G1466" s="128"/>
    </row>
    <row r="1467" spans="1:7" x14ac:dyDescent="0.25">
      <c r="A1467" s="174">
        <v>2996</v>
      </c>
      <c r="B1467" s="174">
        <v>10</v>
      </c>
      <c r="C1467" t="s">
        <v>2290</v>
      </c>
      <c r="D1467" s="795">
        <v>36863</v>
      </c>
      <c r="E1467" t="s">
        <v>120</v>
      </c>
      <c r="F1467">
        <v>1</v>
      </c>
      <c r="G1467" s="128"/>
    </row>
    <row r="1468" spans="1:7" x14ac:dyDescent="0.25">
      <c r="A1468" s="174">
        <v>3629</v>
      </c>
      <c r="B1468" s="174">
        <v>0</v>
      </c>
      <c r="C1468" t="s">
        <v>2292</v>
      </c>
      <c r="D1468" s="795">
        <v>37299</v>
      </c>
      <c r="E1468" t="s">
        <v>118</v>
      </c>
      <c r="F1468">
        <v>1</v>
      </c>
      <c r="G1468" s="128"/>
    </row>
    <row r="1469" spans="1:7" x14ac:dyDescent="0.25">
      <c r="A1469" s="174">
        <v>2418</v>
      </c>
      <c r="B1469" s="174">
        <v>36</v>
      </c>
      <c r="C1469" t="s">
        <v>847</v>
      </c>
      <c r="D1469" s="795">
        <v>36978</v>
      </c>
      <c r="E1469" t="s">
        <v>1063</v>
      </c>
      <c r="F1469">
        <v>1</v>
      </c>
      <c r="G1469" s="128"/>
    </row>
    <row r="1470" spans="1:7" x14ac:dyDescent="0.25">
      <c r="A1470" s="174">
        <v>2769</v>
      </c>
      <c r="B1470" s="174">
        <v>19</v>
      </c>
      <c r="C1470" t="s">
        <v>613</v>
      </c>
      <c r="D1470" s="795">
        <v>36578</v>
      </c>
      <c r="E1470" t="s">
        <v>614</v>
      </c>
      <c r="F1470">
        <v>1</v>
      </c>
      <c r="G1470" s="128"/>
    </row>
    <row r="1471" spans="1:7" x14ac:dyDescent="0.25">
      <c r="A1471" s="174">
        <v>2689</v>
      </c>
      <c r="B1471" s="174">
        <v>23</v>
      </c>
      <c r="C1471" t="s">
        <v>2293</v>
      </c>
      <c r="D1471" s="795">
        <v>37359</v>
      </c>
      <c r="E1471" t="s">
        <v>165</v>
      </c>
      <c r="F1471">
        <v>1</v>
      </c>
      <c r="G1471" s="128"/>
    </row>
    <row r="1472" spans="1:7" x14ac:dyDescent="0.25">
      <c r="A1472" s="174">
        <v>3811</v>
      </c>
      <c r="B1472" s="174">
        <v>0</v>
      </c>
      <c r="C1472" t="s">
        <v>2294</v>
      </c>
      <c r="D1472" s="795">
        <v>37246</v>
      </c>
      <c r="E1472" t="s">
        <v>170</v>
      </c>
      <c r="F1472">
        <v>1</v>
      </c>
      <c r="G1472" s="128"/>
    </row>
    <row r="1473" spans="1:7" x14ac:dyDescent="0.25">
      <c r="A1473" s="174">
        <v>3795</v>
      </c>
      <c r="B1473" s="174">
        <v>0</v>
      </c>
      <c r="C1473" t="s">
        <v>2295</v>
      </c>
      <c r="D1473" s="795">
        <v>36908</v>
      </c>
      <c r="E1473" t="s">
        <v>1121</v>
      </c>
      <c r="F1473">
        <v>1</v>
      </c>
      <c r="G1473" s="128"/>
    </row>
    <row r="1474" spans="1:7" x14ac:dyDescent="0.25">
      <c r="A1474" s="174">
        <v>1180</v>
      </c>
      <c r="B1474" s="174">
        <v>191</v>
      </c>
      <c r="C1474" t="s">
        <v>363</v>
      </c>
      <c r="D1474" s="795">
        <v>36810</v>
      </c>
      <c r="E1474" t="s">
        <v>1078</v>
      </c>
      <c r="F1474">
        <v>1</v>
      </c>
      <c r="G1474" s="128"/>
    </row>
    <row r="1475" spans="1:7" x14ac:dyDescent="0.25">
      <c r="A1475" s="174">
        <v>2888</v>
      </c>
      <c r="B1475" s="174">
        <v>14</v>
      </c>
      <c r="C1475" t="s">
        <v>2296</v>
      </c>
      <c r="D1475" s="795">
        <v>36923</v>
      </c>
      <c r="E1475" t="s">
        <v>103</v>
      </c>
      <c r="F1475">
        <v>1</v>
      </c>
      <c r="G1475" s="128"/>
    </row>
    <row r="1476" spans="1:7" x14ac:dyDescent="0.25">
      <c r="A1476" s="174">
        <v>2848</v>
      </c>
      <c r="B1476" s="174">
        <v>16</v>
      </c>
      <c r="C1476" t="s">
        <v>2297</v>
      </c>
      <c r="D1476" s="795">
        <v>36956</v>
      </c>
      <c r="E1476" t="s">
        <v>120</v>
      </c>
      <c r="F1476">
        <v>1</v>
      </c>
      <c r="G1476" s="128"/>
    </row>
    <row r="1477" spans="1:7" x14ac:dyDescent="0.25">
      <c r="A1477" s="174">
        <v>1544</v>
      </c>
      <c r="B1477" s="174">
        <v>120</v>
      </c>
      <c r="C1477" t="s">
        <v>417</v>
      </c>
      <c r="D1477" s="795">
        <v>37064</v>
      </c>
      <c r="E1477" t="s">
        <v>133</v>
      </c>
      <c r="F1477">
        <v>1</v>
      </c>
      <c r="G1477" s="128"/>
    </row>
    <row r="1478" spans="1:7" x14ac:dyDescent="0.25">
      <c r="A1478" s="174">
        <v>2612</v>
      </c>
      <c r="B1478" s="174">
        <v>26</v>
      </c>
      <c r="C1478" t="s">
        <v>615</v>
      </c>
      <c r="D1478" s="795">
        <v>36634</v>
      </c>
      <c r="E1478" t="s">
        <v>1121</v>
      </c>
      <c r="F1478">
        <v>1</v>
      </c>
      <c r="G1478" s="128"/>
    </row>
    <row r="1479" spans="1:7" x14ac:dyDescent="0.25">
      <c r="A1479" s="174">
        <v>3247</v>
      </c>
      <c r="B1479" s="174">
        <v>4</v>
      </c>
      <c r="C1479" t="s">
        <v>2589</v>
      </c>
      <c r="D1479" s="795">
        <v>37597</v>
      </c>
      <c r="E1479" t="s">
        <v>1868</v>
      </c>
      <c r="F1479">
        <v>1</v>
      </c>
      <c r="G1479" s="128"/>
    </row>
    <row r="1480" spans="1:7" x14ac:dyDescent="0.25">
      <c r="A1480" s="174">
        <v>1991</v>
      </c>
      <c r="B1480" s="174">
        <v>62</v>
      </c>
      <c r="C1480" t="s">
        <v>616</v>
      </c>
      <c r="D1480" s="795">
        <v>36730</v>
      </c>
      <c r="E1480" t="s">
        <v>1431</v>
      </c>
      <c r="F1480">
        <v>1</v>
      </c>
      <c r="G1480" s="128"/>
    </row>
    <row r="1481" spans="1:7" x14ac:dyDescent="0.25">
      <c r="A1481" s="174">
        <v>3147</v>
      </c>
      <c r="B1481" s="174">
        <v>6</v>
      </c>
      <c r="C1481" t="s">
        <v>2298</v>
      </c>
      <c r="D1481" s="795">
        <v>37311</v>
      </c>
      <c r="E1481" t="s">
        <v>72</v>
      </c>
      <c r="F1481">
        <v>1</v>
      </c>
      <c r="G1481" s="128"/>
    </row>
    <row r="1482" spans="1:7" x14ac:dyDescent="0.25">
      <c r="A1482" s="174">
        <v>1823</v>
      </c>
      <c r="B1482" s="174">
        <v>81</v>
      </c>
      <c r="C1482" t="s">
        <v>2299</v>
      </c>
      <c r="D1482" s="795">
        <v>36919</v>
      </c>
      <c r="E1482" t="s">
        <v>1121</v>
      </c>
      <c r="F1482">
        <v>1</v>
      </c>
      <c r="G1482" s="128"/>
    </row>
    <row r="1483" spans="1:7" x14ac:dyDescent="0.25">
      <c r="A1483" s="174">
        <v>1452</v>
      </c>
      <c r="B1483" s="174">
        <v>135</v>
      </c>
      <c r="C1483" t="s">
        <v>2300</v>
      </c>
      <c r="D1483" s="795">
        <v>36941</v>
      </c>
      <c r="E1483" t="s">
        <v>75</v>
      </c>
      <c r="F1483">
        <v>1</v>
      </c>
      <c r="G1483" s="128"/>
    </row>
    <row r="1484" spans="1:7" x14ac:dyDescent="0.25">
      <c r="A1484" s="174">
        <v>1635</v>
      </c>
      <c r="B1484" s="174">
        <v>103</v>
      </c>
      <c r="C1484" t="s">
        <v>2301</v>
      </c>
      <c r="D1484" s="795">
        <v>37012</v>
      </c>
      <c r="E1484" t="s">
        <v>186</v>
      </c>
      <c r="F1484">
        <v>1</v>
      </c>
      <c r="G1484" s="128"/>
    </row>
    <row r="1485" spans="1:7" x14ac:dyDescent="0.25">
      <c r="A1485" s="174">
        <v>3909</v>
      </c>
      <c r="B1485" s="174">
        <v>0</v>
      </c>
      <c r="C1485" t="s">
        <v>2304</v>
      </c>
      <c r="D1485" s="795">
        <v>37715</v>
      </c>
      <c r="E1485" t="s">
        <v>99</v>
      </c>
      <c r="F1485">
        <v>1</v>
      </c>
      <c r="G1485" s="128"/>
    </row>
    <row r="1486" spans="1:7" x14ac:dyDescent="0.25">
      <c r="A1486" s="174">
        <v>2169</v>
      </c>
      <c r="B1486" s="174">
        <v>49</v>
      </c>
      <c r="C1486" t="s">
        <v>617</v>
      </c>
      <c r="D1486" s="795">
        <v>37284</v>
      </c>
      <c r="E1486" t="s">
        <v>1143</v>
      </c>
      <c r="F1486">
        <v>1</v>
      </c>
      <c r="G1486" s="128"/>
    </row>
    <row r="1487" spans="1:7" x14ac:dyDescent="0.25">
      <c r="A1487" s="174">
        <v>3453</v>
      </c>
      <c r="B1487" s="174">
        <v>0</v>
      </c>
      <c r="C1487" t="s">
        <v>2305</v>
      </c>
      <c r="D1487" s="795">
        <v>37282</v>
      </c>
      <c r="E1487" t="s">
        <v>1763</v>
      </c>
      <c r="F1487">
        <v>1</v>
      </c>
      <c r="G1487" s="128"/>
    </row>
    <row r="1488" spans="1:7" x14ac:dyDescent="0.25">
      <c r="A1488" s="174">
        <v>2447</v>
      </c>
      <c r="B1488" s="174">
        <v>34</v>
      </c>
      <c r="C1488" t="s">
        <v>618</v>
      </c>
      <c r="D1488" s="795">
        <v>36763</v>
      </c>
      <c r="E1488" t="s">
        <v>105</v>
      </c>
      <c r="F1488">
        <v>1</v>
      </c>
      <c r="G1488" s="128"/>
    </row>
    <row r="1489" spans="1:7" x14ac:dyDescent="0.25">
      <c r="A1489" s="174">
        <v>3186</v>
      </c>
      <c r="B1489" s="174">
        <v>5</v>
      </c>
      <c r="C1489" t="s">
        <v>2306</v>
      </c>
      <c r="D1489" s="795">
        <v>36997</v>
      </c>
      <c r="E1489" t="s">
        <v>163</v>
      </c>
      <c r="F1489">
        <v>1</v>
      </c>
      <c r="G1489" s="128"/>
    </row>
    <row r="1490" spans="1:7" x14ac:dyDescent="0.25">
      <c r="A1490" s="174">
        <v>3192</v>
      </c>
      <c r="B1490" s="174">
        <v>5</v>
      </c>
      <c r="C1490" t="s">
        <v>2307</v>
      </c>
      <c r="D1490" s="795">
        <v>37383</v>
      </c>
      <c r="E1490" t="s">
        <v>120</v>
      </c>
      <c r="F1490">
        <v>1</v>
      </c>
      <c r="G1490" s="128"/>
    </row>
    <row r="1491" spans="1:7" x14ac:dyDescent="0.25">
      <c r="A1491" s="174">
        <v>3798</v>
      </c>
      <c r="B1491" s="174">
        <v>0</v>
      </c>
      <c r="C1491" t="s">
        <v>2308</v>
      </c>
      <c r="D1491" s="795">
        <v>37816</v>
      </c>
      <c r="E1491" t="s">
        <v>117</v>
      </c>
      <c r="F1491">
        <v>1</v>
      </c>
      <c r="G1491" s="128"/>
    </row>
    <row r="1492" spans="1:7" x14ac:dyDescent="0.25">
      <c r="A1492" s="174">
        <v>2529</v>
      </c>
      <c r="B1492" s="174">
        <v>31</v>
      </c>
      <c r="C1492" t="s">
        <v>2309</v>
      </c>
      <c r="D1492" s="795">
        <v>36601</v>
      </c>
      <c r="E1492" t="s">
        <v>1069</v>
      </c>
      <c r="F1492">
        <v>1</v>
      </c>
      <c r="G1492" s="128"/>
    </row>
    <row r="1493" spans="1:7" x14ac:dyDescent="0.25">
      <c r="A1493" s="174">
        <v>3799</v>
      </c>
      <c r="B1493" s="174">
        <v>0</v>
      </c>
      <c r="C1493" t="s">
        <v>2310</v>
      </c>
      <c r="D1493" s="795">
        <v>37874</v>
      </c>
      <c r="E1493" t="s">
        <v>117</v>
      </c>
      <c r="F1493">
        <v>1</v>
      </c>
      <c r="G1493" s="128"/>
    </row>
    <row r="1494" spans="1:7" x14ac:dyDescent="0.25">
      <c r="A1494" s="174">
        <v>2470</v>
      </c>
      <c r="B1494" s="174">
        <v>33</v>
      </c>
      <c r="C1494" t="s">
        <v>2311</v>
      </c>
      <c r="D1494" s="795">
        <v>37047</v>
      </c>
      <c r="E1494" t="s">
        <v>120</v>
      </c>
      <c r="F1494">
        <v>1</v>
      </c>
      <c r="G1494" s="128"/>
    </row>
    <row r="1495" spans="1:7" x14ac:dyDescent="0.25">
      <c r="A1495" s="174">
        <v>3309</v>
      </c>
      <c r="B1495" s="174">
        <v>2</v>
      </c>
      <c r="C1495" t="s">
        <v>2312</v>
      </c>
      <c r="D1495" s="795">
        <v>36696</v>
      </c>
      <c r="E1495" t="s">
        <v>154</v>
      </c>
      <c r="F1495">
        <v>1</v>
      </c>
      <c r="G1495" s="128"/>
    </row>
    <row r="1496" spans="1:7" x14ac:dyDescent="0.25">
      <c r="A1496" s="174">
        <v>1261</v>
      </c>
      <c r="B1496" s="174">
        <v>172</v>
      </c>
      <c r="C1496" t="s">
        <v>620</v>
      </c>
      <c r="D1496" s="795">
        <v>37393</v>
      </c>
      <c r="E1496" t="s">
        <v>99</v>
      </c>
      <c r="F1496">
        <v>1</v>
      </c>
      <c r="G1496" s="128"/>
    </row>
    <row r="1497" spans="1:7" x14ac:dyDescent="0.25">
      <c r="A1497" s="174">
        <v>2137</v>
      </c>
      <c r="B1497" s="174">
        <v>51</v>
      </c>
      <c r="C1497" t="s">
        <v>621</v>
      </c>
      <c r="D1497" s="795">
        <v>36876</v>
      </c>
      <c r="E1497" t="s">
        <v>180</v>
      </c>
      <c r="F1497">
        <v>1</v>
      </c>
      <c r="G1497" s="128"/>
    </row>
    <row r="1498" spans="1:7" x14ac:dyDescent="0.25">
      <c r="A1498" s="174">
        <v>2913</v>
      </c>
      <c r="B1498" s="174">
        <v>13</v>
      </c>
      <c r="C1498" t="s">
        <v>367</v>
      </c>
      <c r="D1498" s="795">
        <v>36892</v>
      </c>
      <c r="E1498" t="s">
        <v>105</v>
      </c>
      <c r="F1498">
        <v>1</v>
      </c>
      <c r="G1498" s="128"/>
    </row>
    <row r="1499" spans="1:7" x14ac:dyDescent="0.25">
      <c r="A1499" s="174">
        <v>3747</v>
      </c>
      <c r="B1499" s="174">
        <v>0</v>
      </c>
      <c r="C1499" t="s">
        <v>2314</v>
      </c>
      <c r="D1499" s="795">
        <v>36829</v>
      </c>
      <c r="E1499" t="s">
        <v>147</v>
      </c>
      <c r="F1499">
        <v>1</v>
      </c>
      <c r="G1499" s="128"/>
    </row>
    <row r="1500" spans="1:7" x14ac:dyDescent="0.25">
      <c r="A1500" s="174">
        <v>3581</v>
      </c>
      <c r="B1500" s="174">
        <v>0</v>
      </c>
      <c r="C1500" t="s">
        <v>2315</v>
      </c>
      <c r="D1500" s="795">
        <v>36814</v>
      </c>
      <c r="E1500" t="s">
        <v>1609</v>
      </c>
      <c r="F1500">
        <v>1</v>
      </c>
      <c r="G1500" s="128"/>
    </row>
    <row r="1501" spans="1:7" x14ac:dyDescent="0.25">
      <c r="A1501" s="174">
        <v>2655</v>
      </c>
      <c r="B1501" s="174">
        <v>24</v>
      </c>
      <c r="C1501" t="s">
        <v>622</v>
      </c>
      <c r="D1501" s="795">
        <v>36765</v>
      </c>
      <c r="E1501" t="s">
        <v>105</v>
      </c>
      <c r="F1501">
        <v>1</v>
      </c>
      <c r="G1501" s="128"/>
    </row>
    <row r="1502" spans="1:7" x14ac:dyDescent="0.25">
      <c r="A1502" s="174">
        <v>2843</v>
      </c>
      <c r="B1502" s="174">
        <v>16</v>
      </c>
      <c r="C1502" t="s">
        <v>848</v>
      </c>
      <c r="D1502" s="795">
        <v>37501</v>
      </c>
      <c r="E1502" t="s">
        <v>163</v>
      </c>
      <c r="F1502">
        <v>1</v>
      </c>
      <c r="G1502" s="128"/>
    </row>
    <row r="1503" spans="1:7" x14ac:dyDescent="0.25">
      <c r="A1503" s="174">
        <v>3519</v>
      </c>
      <c r="B1503" s="174">
        <v>0</v>
      </c>
      <c r="C1503" t="s">
        <v>2590</v>
      </c>
      <c r="D1503" s="795">
        <v>36733</v>
      </c>
      <c r="E1503" t="s">
        <v>2514</v>
      </c>
      <c r="F1503">
        <v>1</v>
      </c>
      <c r="G1503" s="128"/>
    </row>
    <row r="1504" spans="1:7" x14ac:dyDescent="0.25">
      <c r="A1504" s="174">
        <v>3588</v>
      </c>
      <c r="B1504" s="174">
        <v>0</v>
      </c>
      <c r="C1504" t="s">
        <v>2316</v>
      </c>
      <c r="D1504" s="795">
        <v>36788</v>
      </c>
      <c r="E1504" t="s">
        <v>120</v>
      </c>
      <c r="F1504">
        <v>1</v>
      </c>
      <c r="G1504" s="128"/>
    </row>
    <row r="1505" spans="1:7" x14ac:dyDescent="0.25">
      <c r="A1505" s="174">
        <v>2561</v>
      </c>
      <c r="B1505" s="174">
        <v>29</v>
      </c>
      <c r="C1505" t="s">
        <v>2317</v>
      </c>
      <c r="D1505" s="795">
        <v>36863</v>
      </c>
      <c r="E1505" t="s">
        <v>113</v>
      </c>
      <c r="F1505">
        <v>1</v>
      </c>
      <c r="G1505" s="128"/>
    </row>
    <row r="1506" spans="1:7" x14ac:dyDescent="0.25">
      <c r="A1506" s="174">
        <v>2690</v>
      </c>
      <c r="B1506" s="174">
        <v>23</v>
      </c>
      <c r="C1506" t="s">
        <v>2319</v>
      </c>
      <c r="D1506" s="795">
        <v>37197</v>
      </c>
      <c r="E1506" t="s">
        <v>121</v>
      </c>
      <c r="F1506">
        <v>1</v>
      </c>
      <c r="G1506" s="128"/>
    </row>
    <row r="1507" spans="1:7" x14ac:dyDescent="0.25">
      <c r="A1507" s="174">
        <v>3389</v>
      </c>
      <c r="B1507" s="174">
        <v>0</v>
      </c>
      <c r="C1507" t="s">
        <v>2320</v>
      </c>
      <c r="D1507" s="795">
        <v>36565</v>
      </c>
      <c r="E1507" t="s">
        <v>122</v>
      </c>
      <c r="F1507">
        <v>1</v>
      </c>
      <c r="G1507" s="128"/>
    </row>
    <row r="1508" spans="1:7" x14ac:dyDescent="0.25">
      <c r="A1508" s="174">
        <v>2727</v>
      </c>
      <c r="B1508" s="174">
        <v>21</v>
      </c>
      <c r="C1508" t="s">
        <v>2321</v>
      </c>
      <c r="D1508" s="795">
        <v>37091</v>
      </c>
      <c r="E1508" t="s">
        <v>105</v>
      </c>
      <c r="F1508">
        <v>1</v>
      </c>
      <c r="G1508" s="128"/>
    </row>
    <row r="1509" spans="1:7" x14ac:dyDescent="0.25">
      <c r="A1509" s="174">
        <v>3180</v>
      </c>
      <c r="B1509" s="174">
        <v>5</v>
      </c>
      <c r="C1509" t="s">
        <v>2323</v>
      </c>
      <c r="D1509" s="795">
        <v>37223</v>
      </c>
      <c r="E1509" t="s">
        <v>1121</v>
      </c>
      <c r="F1509">
        <v>1</v>
      </c>
      <c r="G1509" s="128"/>
    </row>
    <row r="1510" spans="1:7" x14ac:dyDescent="0.25">
      <c r="A1510" s="174">
        <v>1914</v>
      </c>
      <c r="B1510" s="174">
        <v>71</v>
      </c>
      <c r="C1510" t="s">
        <v>418</v>
      </c>
      <c r="D1510" s="795">
        <v>36595</v>
      </c>
      <c r="E1510" t="s">
        <v>1143</v>
      </c>
      <c r="F1510">
        <v>1</v>
      </c>
      <c r="G1510" s="128"/>
    </row>
    <row r="1511" spans="1:7" x14ac:dyDescent="0.25">
      <c r="A1511" s="174">
        <v>3486</v>
      </c>
      <c r="B1511" s="174">
        <v>0</v>
      </c>
      <c r="C1511" t="s">
        <v>2475</v>
      </c>
      <c r="D1511" s="795">
        <v>37442</v>
      </c>
      <c r="E1511" t="s">
        <v>165</v>
      </c>
      <c r="F1511">
        <v>1</v>
      </c>
      <c r="G1511" s="128"/>
    </row>
    <row r="1512" spans="1:7" x14ac:dyDescent="0.25">
      <c r="A1512" s="174">
        <v>2441</v>
      </c>
      <c r="B1512" s="174">
        <v>35</v>
      </c>
      <c r="C1512" t="s">
        <v>2325</v>
      </c>
      <c r="D1512" s="795">
        <v>36915</v>
      </c>
      <c r="E1512" t="s">
        <v>1174</v>
      </c>
      <c r="F1512">
        <v>1</v>
      </c>
      <c r="G1512" s="128"/>
    </row>
    <row r="1513" spans="1:7" x14ac:dyDescent="0.25">
      <c r="A1513" s="174">
        <v>3826</v>
      </c>
      <c r="B1513" s="174">
        <v>0</v>
      </c>
      <c r="C1513" t="s">
        <v>2326</v>
      </c>
      <c r="D1513" s="795">
        <v>36588</v>
      </c>
      <c r="E1513" t="s">
        <v>1566</v>
      </c>
      <c r="F1513">
        <v>1</v>
      </c>
      <c r="G1513" s="128"/>
    </row>
    <row r="1514" spans="1:7" x14ac:dyDescent="0.25">
      <c r="A1514" s="174">
        <v>893</v>
      </c>
      <c r="B1514" s="174">
        <v>273</v>
      </c>
      <c r="C1514" t="s">
        <v>369</v>
      </c>
      <c r="D1514" s="795">
        <v>36695</v>
      </c>
      <c r="E1514" t="s">
        <v>99</v>
      </c>
      <c r="F1514">
        <v>1</v>
      </c>
      <c r="G1514" s="128"/>
    </row>
    <row r="1515" spans="1:7" x14ac:dyDescent="0.25">
      <c r="A1515" s="174">
        <v>1988</v>
      </c>
      <c r="B1515" s="174">
        <v>62</v>
      </c>
      <c r="C1515" t="s">
        <v>623</v>
      </c>
      <c r="D1515" s="795">
        <v>36614</v>
      </c>
      <c r="E1515" t="s">
        <v>200</v>
      </c>
      <c r="F1515">
        <v>1</v>
      </c>
      <c r="G1515" s="128"/>
    </row>
    <row r="1516" spans="1:7" x14ac:dyDescent="0.25">
      <c r="A1516">
        <v>2836</v>
      </c>
      <c r="B1516">
        <v>16</v>
      </c>
      <c r="C1516" t="s">
        <v>419</v>
      </c>
      <c r="D1516" s="796">
        <v>36817</v>
      </c>
      <c r="E1516" t="s">
        <v>1143</v>
      </c>
      <c r="F1516">
        <v>1</v>
      </c>
      <c r="G1516" s="128"/>
    </row>
    <row r="1517" spans="1:7" x14ac:dyDescent="0.25">
      <c r="A1517">
        <v>3528</v>
      </c>
      <c r="B1517">
        <v>0</v>
      </c>
      <c r="C1517" t="s">
        <v>2591</v>
      </c>
      <c r="D1517" s="796">
        <v>37993</v>
      </c>
      <c r="E1517" t="s">
        <v>1107</v>
      </c>
      <c r="F1517">
        <v>1</v>
      </c>
      <c r="G1517" s="128"/>
    </row>
    <row r="1518" spans="1:7" x14ac:dyDescent="0.25">
      <c r="A1518">
        <v>2763</v>
      </c>
      <c r="B1518">
        <v>20</v>
      </c>
      <c r="C1518" t="s">
        <v>2327</v>
      </c>
      <c r="D1518" s="796">
        <v>36763</v>
      </c>
      <c r="E1518" t="s">
        <v>111</v>
      </c>
      <c r="F1518">
        <v>1</v>
      </c>
      <c r="G1518" s="128"/>
    </row>
    <row r="1519" spans="1:7" x14ac:dyDescent="0.25">
      <c r="A1519">
        <v>3463</v>
      </c>
      <c r="B1519">
        <v>0</v>
      </c>
      <c r="C1519" t="s">
        <v>2592</v>
      </c>
      <c r="D1519" s="796">
        <v>37786</v>
      </c>
      <c r="E1519" t="s">
        <v>139</v>
      </c>
      <c r="F1519">
        <v>1</v>
      </c>
      <c r="G1519" s="128"/>
    </row>
    <row r="1520" spans="1:7" x14ac:dyDescent="0.25">
      <c r="A1520">
        <v>1981</v>
      </c>
      <c r="B1520">
        <v>63</v>
      </c>
      <c r="C1520" t="s">
        <v>2328</v>
      </c>
      <c r="D1520" s="796">
        <v>36617</v>
      </c>
      <c r="E1520" t="s">
        <v>257</v>
      </c>
      <c r="F1520">
        <v>1</v>
      </c>
      <c r="G1520" s="128"/>
    </row>
    <row r="1521" spans="1:7" x14ac:dyDescent="0.25">
      <c r="A1521">
        <v>3537</v>
      </c>
      <c r="B1521">
        <v>0</v>
      </c>
      <c r="C1521" t="s">
        <v>2476</v>
      </c>
      <c r="D1521" s="796">
        <v>37593</v>
      </c>
      <c r="E1521" t="s">
        <v>165</v>
      </c>
      <c r="F1521">
        <v>1</v>
      </c>
      <c r="G1521" s="128"/>
    </row>
    <row r="1522" spans="1:7" x14ac:dyDescent="0.25">
      <c r="A1522">
        <v>3374</v>
      </c>
      <c r="B1522">
        <v>1</v>
      </c>
      <c r="C1522" t="s">
        <v>2329</v>
      </c>
      <c r="D1522" s="796">
        <v>37051</v>
      </c>
      <c r="E1522" t="s">
        <v>120</v>
      </c>
      <c r="F1522">
        <v>1</v>
      </c>
      <c r="G1522" s="128"/>
    </row>
    <row r="1523" spans="1:7" x14ac:dyDescent="0.25">
      <c r="A1523">
        <v>2995</v>
      </c>
      <c r="B1523">
        <v>10</v>
      </c>
      <c r="C1523" t="s">
        <v>2330</v>
      </c>
      <c r="D1523" s="796">
        <v>37454</v>
      </c>
      <c r="E1523" t="s">
        <v>105</v>
      </c>
      <c r="F1523">
        <v>1</v>
      </c>
      <c r="G1523" s="128"/>
    </row>
    <row r="1524" spans="1:7" x14ac:dyDescent="0.25">
      <c r="A1524">
        <v>2850</v>
      </c>
      <c r="B1524">
        <v>16</v>
      </c>
      <c r="C1524" t="s">
        <v>2333</v>
      </c>
      <c r="D1524" s="796">
        <v>36892</v>
      </c>
      <c r="E1524" t="s">
        <v>117</v>
      </c>
      <c r="F1524">
        <v>1</v>
      </c>
      <c r="G1524" s="128"/>
    </row>
    <row r="1525" spans="1:7" x14ac:dyDescent="0.25">
      <c r="A1525">
        <v>2484</v>
      </c>
      <c r="B1525">
        <v>33</v>
      </c>
      <c r="C1525" t="s">
        <v>725</v>
      </c>
      <c r="D1525" s="796">
        <v>36572</v>
      </c>
      <c r="E1525" t="s">
        <v>1234</v>
      </c>
      <c r="F1525">
        <v>1</v>
      </c>
      <c r="G1525" s="128"/>
    </row>
    <row r="1526" spans="1:7" x14ac:dyDescent="0.25">
      <c r="A1526">
        <v>2779</v>
      </c>
      <c r="B1526">
        <v>19</v>
      </c>
      <c r="C1526" t="s">
        <v>725</v>
      </c>
      <c r="D1526" s="796">
        <v>36572</v>
      </c>
      <c r="E1526" t="s">
        <v>74</v>
      </c>
      <c r="F1526">
        <v>1</v>
      </c>
      <c r="G1526" s="128"/>
    </row>
    <row r="1527" spans="1:7" x14ac:dyDescent="0.25">
      <c r="A1527">
        <v>2349</v>
      </c>
      <c r="B1527">
        <v>40</v>
      </c>
      <c r="C1527" t="s">
        <v>2334</v>
      </c>
      <c r="D1527" s="796">
        <v>37652</v>
      </c>
      <c r="E1527" t="s">
        <v>1069</v>
      </c>
      <c r="F1527">
        <v>1</v>
      </c>
      <c r="G1527" s="128"/>
    </row>
    <row r="1528" spans="1:7" x14ac:dyDescent="0.25">
      <c r="A1528">
        <v>3729</v>
      </c>
      <c r="B1528">
        <v>0</v>
      </c>
      <c r="C1528" t="s">
        <v>2335</v>
      </c>
      <c r="D1528" s="796">
        <v>36892</v>
      </c>
      <c r="E1528" t="s">
        <v>1400</v>
      </c>
      <c r="F1528">
        <v>1</v>
      </c>
      <c r="G1528" s="128"/>
    </row>
    <row r="1529" spans="1:7" x14ac:dyDescent="0.25">
      <c r="A1529">
        <v>1380</v>
      </c>
      <c r="B1529">
        <v>148</v>
      </c>
      <c r="C1529" t="s">
        <v>2336</v>
      </c>
      <c r="D1529" s="796">
        <v>36796</v>
      </c>
      <c r="E1529" t="s">
        <v>1562</v>
      </c>
      <c r="F1529">
        <v>1</v>
      </c>
      <c r="G1529" s="128"/>
    </row>
    <row r="1530" spans="1:7" x14ac:dyDescent="0.25">
      <c r="A1530">
        <v>3357</v>
      </c>
      <c r="B1530">
        <v>1</v>
      </c>
      <c r="C1530" t="s">
        <v>2338</v>
      </c>
      <c r="D1530" s="796">
        <v>36892</v>
      </c>
      <c r="E1530" t="s">
        <v>1197</v>
      </c>
      <c r="F1530">
        <v>1</v>
      </c>
      <c r="G1530" s="128"/>
    </row>
    <row r="1531" spans="1:7" x14ac:dyDescent="0.25">
      <c r="A1531">
        <v>2103</v>
      </c>
      <c r="B1531">
        <v>54</v>
      </c>
      <c r="C1531" t="s">
        <v>849</v>
      </c>
      <c r="D1531" s="796">
        <v>36813</v>
      </c>
      <c r="E1531" t="s">
        <v>1107</v>
      </c>
      <c r="F1531">
        <v>1</v>
      </c>
      <c r="G1531" s="128"/>
    </row>
    <row r="1532" spans="1:7" x14ac:dyDescent="0.25">
      <c r="A1532">
        <v>2822</v>
      </c>
      <c r="B1532">
        <v>17</v>
      </c>
      <c r="C1532" t="s">
        <v>2339</v>
      </c>
      <c r="D1532" s="796">
        <v>36941</v>
      </c>
      <c r="E1532" t="s">
        <v>165</v>
      </c>
      <c r="F1532">
        <v>1</v>
      </c>
      <c r="G1532" s="128"/>
    </row>
    <row r="1533" spans="1:7" x14ac:dyDescent="0.25">
      <c r="A1533">
        <v>1291</v>
      </c>
      <c r="B1533">
        <v>165</v>
      </c>
      <c r="C1533" t="s">
        <v>726</v>
      </c>
      <c r="D1533" s="796">
        <v>36825</v>
      </c>
      <c r="E1533" t="s">
        <v>105</v>
      </c>
      <c r="F1533">
        <v>1</v>
      </c>
      <c r="G1533" s="128"/>
    </row>
    <row r="1534" spans="1:7" x14ac:dyDescent="0.25">
      <c r="A1534">
        <v>3245</v>
      </c>
      <c r="B1534">
        <v>4</v>
      </c>
      <c r="C1534" t="s">
        <v>2340</v>
      </c>
      <c r="D1534" s="796">
        <v>37090</v>
      </c>
      <c r="E1534" t="s">
        <v>120</v>
      </c>
      <c r="F1534">
        <v>1</v>
      </c>
      <c r="G1534" s="128"/>
    </row>
    <row r="1535" spans="1:7" x14ac:dyDescent="0.25">
      <c r="A1535">
        <v>2491</v>
      </c>
      <c r="B1535">
        <v>32</v>
      </c>
      <c r="C1535" t="s">
        <v>420</v>
      </c>
      <c r="D1535" s="796">
        <v>36759</v>
      </c>
      <c r="E1535" t="s">
        <v>186</v>
      </c>
      <c r="F1535">
        <v>1</v>
      </c>
      <c r="G1535" s="128"/>
    </row>
    <row r="1536" spans="1:7" x14ac:dyDescent="0.25">
      <c r="A1536">
        <v>3689</v>
      </c>
      <c r="B1536">
        <v>0</v>
      </c>
      <c r="C1536" t="s">
        <v>2341</v>
      </c>
      <c r="D1536" s="796">
        <v>37944</v>
      </c>
      <c r="E1536" t="s">
        <v>105</v>
      </c>
      <c r="F1536">
        <v>1</v>
      </c>
      <c r="G1536" s="128"/>
    </row>
    <row r="1537" spans="1:7" x14ac:dyDescent="0.25">
      <c r="A1537">
        <v>3114</v>
      </c>
      <c r="B1537">
        <v>7</v>
      </c>
      <c r="C1537" t="s">
        <v>2593</v>
      </c>
      <c r="D1537" s="796">
        <v>37821</v>
      </c>
      <c r="E1537" t="s">
        <v>99</v>
      </c>
      <c r="F1537">
        <v>1</v>
      </c>
      <c r="G1537" s="128"/>
    </row>
    <row r="1538" spans="1:7" x14ac:dyDescent="0.25">
      <c r="A1538">
        <v>3336</v>
      </c>
      <c r="B1538">
        <v>1</v>
      </c>
      <c r="C1538" t="s">
        <v>2342</v>
      </c>
      <c r="D1538" s="796">
        <v>37269</v>
      </c>
      <c r="E1538" t="s">
        <v>105</v>
      </c>
      <c r="F1538">
        <v>1</v>
      </c>
      <c r="G1538" s="128"/>
    </row>
    <row r="1539" spans="1:7" x14ac:dyDescent="0.25">
      <c r="A1539">
        <v>3503</v>
      </c>
      <c r="B1539">
        <v>0</v>
      </c>
      <c r="C1539" t="s">
        <v>2594</v>
      </c>
      <c r="D1539" s="796">
        <v>37224</v>
      </c>
      <c r="E1539" t="s">
        <v>227</v>
      </c>
      <c r="F1539">
        <v>1</v>
      </c>
      <c r="G1539" s="128"/>
    </row>
    <row r="1540" spans="1:7" x14ac:dyDescent="0.25">
      <c r="A1540">
        <v>3050</v>
      </c>
      <c r="B1540">
        <v>9</v>
      </c>
      <c r="C1540" t="s">
        <v>2344</v>
      </c>
      <c r="D1540" s="796">
        <v>36952</v>
      </c>
      <c r="E1540" t="s">
        <v>164</v>
      </c>
      <c r="F1540">
        <v>1</v>
      </c>
      <c r="G1540" s="128"/>
    </row>
    <row r="1541" spans="1:7" x14ac:dyDescent="0.25">
      <c r="A1541">
        <v>2477</v>
      </c>
      <c r="B1541">
        <v>33</v>
      </c>
      <c r="C1541" t="s">
        <v>2345</v>
      </c>
      <c r="D1541" s="796">
        <v>37230</v>
      </c>
      <c r="E1541" t="s">
        <v>1334</v>
      </c>
      <c r="F1541">
        <v>1</v>
      </c>
      <c r="G1541" s="128"/>
    </row>
    <row r="1542" spans="1:7" x14ac:dyDescent="0.25">
      <c r="A1542">
        <v>1520</v>
      </c>
      <c r="B1542">
        <v>125</v>
      </c>
      <c r="C1542" t="s">
        <v>372</v>
      </c>
      <c r="D1542" s="796">
        <v>36813</v>
      </c>
      <c r="E1542" t="s">
        <v>120</v>
      </c>
      <c r="F1542">
        <v>1</v>
      </c>
      <c r="G1542" s="128"/>
    </row>
    <row r="1543" spans="1:7" x14ac:dyDescent="0.25">
      <c r="A1543">
        <v>2410</v>
      </c>
      <c r="B1543">
        <v>36</v>
      </c>
      <c r="C1543" t="s">
        <v>373</v>
      </c>
      <c r="D1543" s="796">
        <v>36715</v>
      </c>
      <c r="E1543" t="s">
        <v>105</v>
      </c>
      <c r="F1543">
        <v>1</v>
      </c>
      <c r="G1543" s="128"/>
    </row>
    <row r="1544" spans="1:7" x14ac:dyDescent="0.25">
      <c r="A1544">
        <v>2548</v>
      </c>
      <c r="B1544">
        <v>30</v>
      </c>
      <c r="C1544" t="s">
        <v>2346</v>
      </c>
      <c r="D1544" s="796">
        <v>37021</v>
      </c>
      <c r="E1544" t="s">
        <v>1121</v>
      </c>
      <c r="F1544">
        <v>1</v>
      </c>
      <c r="G1544" s="128"/>
    </row>
    <row r="1545" spans="1:7" x14ac:dyDescent="0.25">
      <c r="A1545">
        <v>3780</v>
      </c>
      <c r="B1545">
        <v>0</v>
      </c>
      <c r="C1545" t="s">
        <v>2347</v>
      </c>
      <c r="D1545" s="796">
        <v>37302</v>
      </c>
      <c r="E1545" t="s">
        <v>133</v>
      </c>
      <c r="F1545">
        <v>1</v>
      </c>
      <c r="G1545" s="128"/>
    </row>
    <row r="1546" spans="1:7" x14ac:dyDescent="0.25">
      <c r="A1546">
        <v>3600</v>
      </c>
      <c r="B1546">
        <v>0</v>
      </c>
      <c r="C1546" t="s">
        <v>2477</v>
      </c>
      <c r="D1546" s="796">
        <v>37427</v>
      </c>
      <c r="E1546" t="s">
        <v>1143</v>
      </c>
      <c r="F1546">
        <v>1</v>
      </c>
      <c r="G1546" s="128"/>
    </row>
    <row r="1547" spans="1:7" x14ac:dyDescent="0.25">
      <c r="A1547">
        <v>2708</v>
      </c>
      <c r="B1547">
        <v>22</v>
      </c>
      <c r="C1547" t="s">
        <v>2478</v>
      </c>
      <c r="D1547" s="796">
        <v>37607</v>
      </c>
      <c r="E1547" t="s">
        <v>2524</v>
      </c>
      <c r="F1547">
        <v>1</v>
      </c>
      <c r="G1547" s="128"/>
    </row>
    <row r="1548" spans="1:7" x14ac:dyDescent="0.25">
      <c r="A1548">
        <v>2506</v>
      </c>
      <c r="B1548">
        <v>32</v>
      </c>
      <c r="C1548" t="s">
        <v>2348</v>
      </c>
      <c r="D1548" s="796">
        <v>36955</v>
      </c>
      <c r="E1548" t="s">
        <v>141</v>
      </c>
      <c r="F1548">
        <v>1</v>
      </c>
      <c r="G1548" s="128"/>
    </row>
    <row r="1549" spans="1:7" x14ac:dyDescent="0.25">
      <c r="A1549">
        <v>3434</v>
      </c>
      <c r="B1549">
        <v>0</v>
      </c>
      <c r="C1549" t="s">
        <v>2349</v>
      </c>
      <c r="D1549" s="796">
        <v>37330</v>
      </c>
      <c r="E1549" t="s">
        <v>105</v>
      </c>
      <c r="F1549">
        <v>1</v>
      </c>
      <c r="G1549" s="128"/>
    </row>
    <row r="1550" spans="1:7" x14ac:dyDescent="0.25">
      <c r="A1550">
        <v>3886</v>
      </c>
      <c r="B1550">
        <v>0</v>
      </c>
      <c r="C1550" t="s">
        <v>2350</v>
      </c>
      <c r="D1550" s="796">
        <v>37621</v>
      </c>
      <c r="E1550" t="s">
        <v>105</v>
      </c>
      <c r="F1550">
        <v>1</v>
      </c>
      <c r="G1550" s="128"/>
    </row>
    <row r="1551" spans="1:7" x14ac:dyDescent="0.25">
      <c r="A1551">
        <v>1826</v>
      </c>
      <c r="B1551">
        <v>80</v>
      </c>
      <c r="C1551" t="s">
        <v>624</v>
      </c>
      <c r="D1551" s="796">
        <v>36784</v>
      </c>
      <c r="E1551" t="s">
        <v>105</v>
      </c>
      <c r="F1551">
        <v>1</v>
      </c>
      <c r="G1551" s="128"/>
    </row>
    <row r="1552" spans="1:7" x14ac:dyDescent="0.25">
      <c r="A1552">
        <v>3812</v>
      </c>
      <c r="B1552">
        <v>0</v>
      </c>
      <c r="C1552" t="s">
        <v>2351</v>
      </c>
      <c r="D1552" s="796">
        <v>37005</v>
      </c>
      <c r="E1552" t="s">
        <v>163</v>
      </c>
      <c r="F1552">
        <v>1</v>
      </c>
      <c r="G1552" s="128"/>
    </row>
    <row r="1553" spans="1:7" x14ac:dyDescent="0.25">
      <c r="A1553">
        <v>3373</v>
      </c>
      <c r="B1553">
        <v>1</v>
      </c>
      <c r="C1553" t="s">
        <v>2352</v>
      </c>
      <c r="D1553" s="796">
        <v>37416</v>
      </c>
      <c r="E1553" t="s">
        <v>115</v>
      </c>
      <c r="F1553">
        <v>1</v>
      </c>
      <c r="G1553" s="128"/>
    </row>
    <row r="1554" spans="1:7" x14ac:dyDescent="0.25">
      <c r="A1554">
        <v>3487</v>
      </c>
      <c r="B1554">
        <v>0</v>
      </c>
      <c r="C1554" t="s">
        <v>2479</v>
      </c>
      <c r="D1554" s="796">
        <v>37326</v>
      </c>
      <c r="E1554" t="s">
        <v>165</v>
      </c>
      <c r="F1554">
        <v>1</v>
      </c>
      <c r="G1554" s="128"/>
    </row>
    <row r="1555" spans="1:7" x14ac:dyDescent="0.25">
      <c r="A1555">
        <v>2581</v>
      </c>
      <c r="B1555">
        <v>28</v>
      </c>
      <c r="C1555" t="s">
        <v>2353</v>
      </c>
      <c r="D1555" s="796">
        <v>36703</v>
      </c>
      <c r="E1555" t="s">
        <v>118</v>
      </c>
      <c r="F1555">
        <v>1</v>
      </c>
      <c r="G1555" s="128"/>
    </row>
    <row r="1556" spans="1:7" x14ac:dyDescent="0.25">
      <c r="A1556">
        <v>3078</v>
      </c>
      <c r="B1556">
        <v>8</v>
      </c>
      <c r="C1556" t="s">
        <v>2354</v>
      </c>
      <c r="D1556" s="796">
        <v>37213</v>
      </c>
      <c r="E1556" t="s">
        <v>1182</v>
      </c>
      <c r="F1556">
        <v>1</v>
      </c>
      <c r="G1556" s="128"/>
    </row>
    <row r="1557" spans="1:7" x14ac:dyDescent="0.25">
      <c r="A1557">
        <v>1021</v>
      </c>
      <c r="B1557">
        <v>232</v>
      </c>
      <c r="C1557" t="s">
        <v>625</v>
      </c>
      <c r="D1557" s="796">
        <v>36583</v>
      </c>
      <c r="E1557" t="s">
        <v>74</v>
      </c>
      <c r="F1557">
        <v>1</v>
      </c>
      <c r="G1557" s="128"/>
    </row>
    <row r="1558" spans="1:7" x14ac:dyDescent="0.25">
      <c r="A1558">
        <v>3092</v>
      </c>
      <c r="B1558">
        <v>7</v>
      </c>
      <c r="C1558" t="s">
        <v>2355</v>
      </c>
      <c r="D1558" s="796">
        <v>37170</v>
      </c>
      <c r="E1558" t="s">
        <v>1191</v>
      </c>
      <c r="F1558">
        <v>1</v>
      </c>
      <c r="G1558" s="128"/>
    </row>
    <row r="1559" spans="1:7" x14ac:dyDescent="0.25">
      <c r="A1559">
        <v>1882</v>
      </c>
      <c r="B1559">
        <v>74</v>
      </c>
      <c r="C1559" t="s">
        <v>2356</v>
      </c>
      <c r="D1559" s="796">
        <v>37444</v>
      </c>
      <c r="E1559" t="s">
        <v>99</v>
      </c>
      <c r="F1559">
        <v>1</v>
      </c>
      <c r="G1559" s="128"/>
    </row>
    <row r="1560" spans="1:7" x14ac:dyDescent="0.25">
      <c r="A1560">
        <v>2069</v>
      </c>
      <c r="B1560">
        <v>56</v>
      </c>
      <c r="C1560" t="s">
        <v>2357</v>
      </c>
      <c r="D1560" s="796">
        <v>36787</v>
      </c>
      <c r="E1560" t="s">
        <v>99</v>
      </c>
      <c r="F1560">
        <v>1</v>
      </c>
      <c r="G1560" s="128"/>
    </row>
    <row r="1561" spans="1:7" x14ac:dyDescent="0.25">
      <c r="A1561">
        <v>2336</v>
      </c>
      <c r="B1561">
        <v>40</v>
      </c>
      <c r="C1561" t="s">
        <v>2358</v>
      </c>
      <c r="D1561" s="796">
        <v>36762</v>
      </c>
      <c r="E1561" t="s">
        <v>136</v>
      </c>
      <c r="F1561">
        <v>1</v>
      </c>
      <c r="G1561" s="128"/>
    </row>
    <row r="1562" spans="1:7" x14ac:dyDescent="0.25">
      <c r="A1562">
        <v>2462</v>
      </c>
      <c r="B1562">
        <v>33</v>
      </c>
      <c r="C1562" t="s">
        <v>626</v>
      </c>
      <c r="D1562" s="796">
        <v>36567</v>
      </c>
      <c r="E1562" t="s">
        <v>120</v>
      </c>
      <c r="F1562">
        <v>1</v>
      </c>
      <c r="G1562" s="128"/>
    </row>
    <row r="1563" spans="1:7" x14ac:dyDescent="0.25">
      <c r="A1563">
        <v>1272</v>
      </c>
      <c r="B1563">
        <v>170</v>
      </c>
      <c r="C1563" t="s">
        <v>2359</v>
      </c>
      <c r="D1563" s="796">
        <v>36671</v>
      </c>
      <c r="E1563" t="s">
        <v>1150</v>
      </c>
      <c r="F1563">
        <v>1</v>
      </c>
      <c r="G1563" s="128"/>
    </row>
    <row r="1564" spans="1:7" x14ac:dyDescent="0.25">
      <c r="A1564">
        <v>2649</v>
      </c>
      <c r="B1564">
        <v>25</v>
      </c>
      <c r="C1564" t="s">
        <v>2360</v>
      </c>
      <c r="D1564" s="796">
        <v>36741</v>
      </c>
      <c r="E1564" t="s">
        <v>2361</v>
      </c>
      <c r="F1564">
        <v>1</v>
      </c>
      <c r="G1564" s="128"/>
    </row>
    <row r="1565" spans="1:7" x14ac:dyDescent="0.25">
      <c r="A1565">
        <v>2983</v>
      </c>
      <c r="B1565">
        <v>11</v>
      </c>
      <c r="C1565" t="s">
        <v>2363</v>
      </c>
      <c r="D1565" s="796">
        <v>37321</v>
      </c>
      <c r="E1565" t="s">
        <v>105</v>
      </c>
      <c r="F1565">
        <v>1</v>
      </c>
      <c r="G1565" s="128"/>
    </row>
    <row r="1566" spans="1:7" x14ac:dyDescent="0.25">
      <c r="A1566">
        <v>2783</v>
      </c>
      <c r="B1566">
        <v>19</v>
      </c>
      <c r="C1566" t="s">
        <v>2364</v>
      </c>
      <c r="D1566" s="796">
        <v>36598</v>
      </c>
      <c r="E1566" t="s">
        <v>147</v>
      </c>
      <c r="F1566">
        <v>1</v>
      </c>
      <c r="G1566" s="128"/>
    </row>
    <row r="1567" spans="1:7" x14ac:dyDescent="0.25">
      <c r="A1567">
        <v>2181</v>
      </c>
      <c r="B1567">
        <v>49</v>
      </c>
      <c r="C1567" t="s">
        <v>850</v>
      </c>
      <c r="D1567" s="796">
        <v>36634</v>
      </c>
      <c r="E1567" t="s">
        <v>163</v>
      </c>
      <c r="F1567">
        <v>1</v>
      </c>
      <c r="G1567" s="128"/>
    </row>
    <row r="1568" spans="1:7" x14ac:dyDescent="0.25">
      <c r="A1568">
        <v>2134</v>
      </c>
      <c r="B1568">
        <v>52</v>
      </c>
      <c r="C1568" t="s">
        <v>627</v>
      </c>
      <c r="D1568" s="796">
        <v>36892</v>
      </c>
      <c r="E1568" t="s">
        <v>104</v>
      </c>
      <c r="F1568">
        <v>1</v>
      </c>
      <c r="G1568" s="128"/>
    </row>
    <row r="1569" spans="1:7" x14ac:dyDescent="0.25">
      <c r="A1569">
        <v>3835</v>
      </c>
      <c r="B1569">
        <v>0</v>
      </c>
      <c r="C1569" t="s">
        <v>2366</v>
      </c>
      <c r="D1569" s="796">
        <v>36680</v>
      </c>
      <c r="E1569" t="s">
        <v>105</v>
      </c>
      <c r="F1569">
        <v>1</v>
      </c>
      <c r="G1569" s="128"/>
    </row>
    <row r="1570" spans="1:7" x14ac:dyDescent="0.25">
      <c r="A1570">
        <v>3945</v>
      </c>
      <c r="B1570">
        <v>0</v>
      </c>
      <c r="C1570" t="s">
        <v>2367</v>
      </c>
      <c r="D1570" s="796">
        <v>37754</v>
      </c>
      <c r="E1570" t="s">
        <v>120</v>
      </c>
      <c r="F1570">
        <v>1</v>
      </c>
      <c r="G1570" s="128"/>
    </row>
    <row r="1571" spans="1:7" x14ac:dyDescent="0.25">
      <c r="A1571">
        <v>3716</v>
      </c>
      <c r="B1571">
        <v>0</v>
      </c>
      <c r="C1571" t="s">
        <v>2368</v>
      </c>
      <c r="D1571" s="796">
        <v>36526</v>
      </c>
      <c r="E1571" t="s">
        <v>1566</v>
      </c>
      <c r="F1571">
        <v>1</v>
      </c>
      <c r="G1571" s="128"/>
    </row>
    <row r="1572" spans="1:7" x14ac:dyDescent="0.25">
      <c r="A1572">
        <v>3589</v>
      </c>
      <c r="B1572">
        <v>0</v>
      </c>
      <c r="C1572" t="s">
        <v>2369</v>
      </c>
      <c r="D1572" s="796">
        <v>37532</v>
      </c>
      <c r="E1572" t="s">
        <v>120</v>
      </c>
      <c r="F1572">
        <v>1</v>
      </c>
      <c r="G1572" s="128"/>
    </row>
    <row r="1573" spans="1:7" x14ac:dyDescent="0.25">
      <c r="A1573">
        <v>3189</v>
      </c>
      <c r="B1573">
        <v>5</v>
      </c>
      <c r="C1573" t="s">
        <v>2372</v>
      </c>
      <c r="D1573" s="796">
        <v>36858</v>
      </c>
      <c r="E1573" t="s">
        <v>120</v>
      </c>
      <c r="F1573">
        <v>1</v>
      </c>
      <c r="G1573" s="128"/>
    </row>
    <row r="1574" spans="1:7" x14ac:dyDescent="0.25">
      <c r="A1574">
        <v>1746</v>
      </c>
      <c r="B1574">
        <v>88</v>
      </c>
      <c r="C1574" t="s">
        <v>2373</v>
      </c>
      <c r="D1574" s="796">
        <v>37171</v>
      </c>
      <c r="E1574" t="s">
        <v>105</v>
      </c>
      <c r="F1574">
        <v>1</v>
      </c>
      <c r="G1574" s="128"/>
    </row>
    <row r="1575" spans="1:7" x14ac:dyDescent="0.25">
      <c r="A1575">
        <v>2518</v>
      </c>
      <c r="B1575">
        <v>31</v>
      </c>
      <c r="C1575" t="s">
        <v>628</v>
      </c>
      <c r="D1575" s="796">
        <v>36668</v>
      </c>
      <c r="E1575" t="s">
        <v>120</v>
      </c>
      <c r="F1575">
        <v>1</v>
      </c>
      <c r="G1575" s="128"/>
    </row>
    <row r="1576" spans="1:7" x14ac:dyDescent="0.25">
      <c r="A1576">
        <v>2756</v>
      </c>
      <c r="B1576">
        <v>20</v>
      </c>
      <c r="C1576" t="s">
        <v>851</v>
      </c>
      <c r="D1576" s="796">
        <v>36637</v>
      </c>
      <c r="E1576" t="s">
        <v>120</v>
      </c>
      <c r="F1576">
        <v>1</v>
      </c>
      <c r="G1576" s="128"/>
    </row>
    <row r="1577" spans="1:7" x14ac:dyDescent="0.25">
      <c r="A1577">
        <v>2614</v>
      </c>
      <c r="B1577">
        <v>26</v>
      </c>
      <c r="C1577" t="s">
        <v>2374</v>
      </c>
      <c r="D1577" s="796">
        <v>37488</v>
      </c>
      <c r="E1577" t="s">
        <v>1078</v>
      </c>
      <c r="F1577">
        <v>1</v>
      </c>
      <c r="G1577" s="128"/>
    </row>
    <row r="1578" spans="1:7" x14ac:dyDescent="0.25">
      <c r="A1578">
        <v>3933</v>
      </c>
      <c r="B1578">
        <v>0</v>
      </c>
      <c r="C1578" t="s">
        <v>2375</v>
      </c>
      <c r="D1578" s="796">
        <v>37658</v>
      </c>
      <c r="E1578" t="s">
        <v>120</v>
      </c>
      <c r="F1578">
        <v>1</v>
      </c>
      <c r="G1578" s="128"/>
    </row>
    <row r="1579" spans="1:7" x14ac:dyDescent="0.25">
      <c r="A1579">
        <v>2338</v>
      </c>
      <c r="B1579">
        <v>40</v>
      </c>
      <c r="C1579" t="s">
        <v>2377</v>
      </c>
      <c r="D1579" s="796">
        <v>37312</v>
      </c>
      <c r="E1579" t="s">
        <v>113</v>
      </c>
      <c r="F1579">
        <v>1</v>
      </c>
      <c r="G1579" s="128"/>
    </row>
    <row r="1580" spans="1:7" x14ac:dyDescent="0.25">
      <c r="A1580">
        <v>3714</v>
      </c>
      <c r="B1580">
        <v>0</v>
      </c>
      <c r="C1580" t="s">
        <v>2378</v>
      </c>
      <c r="D1580" s="796">
        <v>37126</v>
      </c>
      <c r="E1580" t="s">
        <v>165</v>
      </c>
      <c r="F1580">
        <v>1</v>
      </c>
      <c r="G1580" s="128"/>
    </row>
    <row r="1581" spans="1:7" x14ac:dyDescent="0.25">
      <c r="A1581">
        <v>3230</v>
      </c>
      <c r="B1581">
        <v>4</v>
      </c>
      <c r="C1581" t="s">
        <v>2379</v>
      </c>
      <c r="D1581" s="796">
        <v>36801</v>
      </c>
      <c r="E1581" t="s">
        <v>105</v>
      </c>
      <c r="F1581">
        <v>1</v>
      </c>
      <c r="G1581" s="128"/>
    </row>
    <row r="1582" spans="1:7" x14ac:dyDescent="0.25">
      <c r="A1582">
        <v>3836</v>
      </c>
      <c r="B1582">
        <v>0</v>
      </c>
      <c r="C1582" t="s">
        <v>2381</v>
      </c>
      <c r="D1582" s="796">
        <v>36632</v>
      </c>
      <c r="E1582" t="s">
        <v>630</v>
      </c>
      <c r="F1582">
        <v>1</v>
      </c>
      <c r="G1582" s="128"/>
    </row>
    <row r="1583" spans="1:7" x14ac:dyDescent="0.25">
      <c r="A1583">
        <v>3454</v>
      </c>
      <c r="B1583">
        <v>0</v>
      </c>
      <c r="C1583" t="s">
        <v>2382</v>
      </c>
      <c r="D1583" s="796">
        <v>36974</v>
      </c>
      <c r="E1583" t="s">
        <v>1128</v>
      </c>
      <c r="F1583">
        <v>1</v>
      </c>
      <c r="G1583" s="128"/>
    </row>
    <row r="1584" spans="1:7" x14ac:dyDescent="0.25">
      <c r="A1584">
        <v>3662</v>
      </c>
      <c r="B1584">
        <v>0</v>
      </c>
      <c r="C1584" t="s">
        <v>2383</v>
      </c>
      <c r="D1584" s="796">
        <v>36550</v>
      </c>
      <c r="E1584" t="s">
        <v>227</v>
      </c>
      <c r="F1584">
        <v>1</v>
      </c>
      <c r="G1584" s="128"/>
    </row>
    <row r="1585" spans="4:7" x14ac:dyDescent="0.25">
      <c r="D1585" s="796"/>
      <c r="F1585">
        <v>1</v>
      </c>
      <c r="G1585" s="128"/>
    </row>
    <row r="1586" spans="4:7" x14ac:dyDescent="0.25">
      <c r="D1586" s="796"/>
      <c r="F1586">
        <v>1</v>
      </c>
      <c r="G1586" s="128"/>
    </row>
    <row r="1587" spans="4:7" x14ac:dyDescent="0.25">
      <c r="D1587" s="796"/>
      <c r="F1587">
        <v>1</v>
      </c>
      <c r="G1587" s="128"/>
    </row>
    <row r="1588" spans="4:7" x14ac:dyDescent="0.25">
      <c r="D1588" s="796"/>
      <c r="F1588">
        <v>1</v>
      </c>
      <c r="G1588" s="128"/>
    </row>
    <row r="1589" spans="4:7" x14ac:dyDescent="0.25">
      <c r="D1589" s="796"/>
      <c r="F1589">
        <v>1</v>
      </c>
      <c r="G1589" s="128"/>
    </row>
    <row r="1590" spans="4:7" x14ac:dyDescent="0.25">
      <c r="D1590" s="796"/>
      <c r="F1590">
        <v>1</v>
      </c>
      <c r="G1590" s="128"/>
    </row>
    <row r="1591" spans="4:7" x14ac:dyDescent="0.25">
      <c r="D1591" s="796"/>
      <c r="F1591">
        <v>1</v>
      </c>
      <c r="G1591" s="128"/>
    </row>
    <row r="1592" spans="4:7" x14ac:dyDescent="0.25">
      <c r="D1592" s="796"/>
      <c r="F1592">
        <v>1</v>
      </c>
      <c r="G1592" s="128"/>
    </row>
    <row r="1593" spans="4:7" x14ac:dyDescent="0.25">
      <c r="D1593" s="796"/>
      <c r="F1593">
        <v>1</v>
      </c>
      <c r="G1593" s="128"/>
    </row>
    <row r="1594" spans="4:7" x14ac:dyDescent="0.25">
      <c r="D1594" s="796"/>
      <c r="F1594">
        <v>1</v>
      </c>
      <c r="G1594" s="128"/>
    </row>
    <row r="1595" spans="4:7" x14ac:dyDescent="0.25">
      <c r="D1595" s="796"/>
      <c r="F1595">
        <v>1</v>
      </c>
      <c r="G1595" s="128"/>
    </row>
    <row r="1596" spans="4:7" x14ac:dyDescent="0.25">
      <c r="D1596" s="796"/>
      <c r="F1596">
        <v>1</v>
      </c>
      <c r="G1596" s="128"/>
    </row>
    <row r="1597" spans="4:7" x14ac:dyDescent="0.25">
      <c r="D1597" s="796"/>
      <c r="F1597">
        <v>1</v>
      </c>
      <c r="G1597" s="128"/>
    </row>
    <row r="1598" spans="4:7" x14ac:dyDescent="0.25">
      <c r="D1598" s="796"/>
      <c r="F1598">
        <v>1</v>
      </c>
      <c r="G1598" s="128"/>
    </row>
    <row r="1599" spans="4:7" x14ac:dyDescent="0.25">
      <c r="D1599" s="796"/>
      <c r="F1599">
        <v>1</v>
      </c>
      <c r="G1599" s="128"/>
    </row>
    <row r="1600" spans="4:7" x14ac:dyDescent="0.25">
      <c r="D1600" s="796"/>
      <c r="F1600">
        <v>1</v>
      </c>
      <c r="G1600" s="128"/>
    </row>
    <row r="1601" spans="4:7" x14ac:dyDescent="0.25">
      <c r="D1601" s="796"/>
      <c r="F1601">
        <v>1</v>
      </c>
      <c r="G1601" s="128"/>
    </row>
    <row r="1602" spans="4:7" x14ac:dyDescent="0.25">
      <c r="D1602" s="796"/>
      <c r="F1602">
        <v>1</v>
      </c>
      <c r="G1602" s="128"/>
    </row>
    <row r="1603" spans="4:7" x14ac:dyDescent="0.25">
      <c r="D1603" s="796"/>
      <c r="F1603">
        <v>1</v>
      </c>
      <c r="G1603" s="128"/>
    </row>
    <row r="1604" spans="4:7" x14ac:dyDescent="0.25">
      <c r="D1604" s="796"/>
      <c r="F1604">
        <v>1</v>
      </c>
      <c r="G1604" s="128"/>
    </row>
    <row r="1605" spans="4:7" x14ac:dyDescent="0.25">
      <c r="D1605" s="796"/>
      <c r="F1605">
        <v>1</v>
      </c>
      <c r="G1605" s="128"/>
    </row>
    <row r="1606" spans="4:7" x14ac:dyDescent="0.25">
      <c r="D1606" s="796"/>
      <c r="F1606">
        <v>1</v>
      </c>
      <c r="G1606" s="128"/>
    </row>
    <row r="1607" spans="4:7" x14ac:dyDescent="0.25">
      <c r="D1607" s="796"/>
      <c r="F1607">
        <v>1</v>
      </c>
      <c r="G1607" s="128"/>
    </row>
    <row r="1608" spans="4:7" x14ac:dyDescent="0.25">
      <c r="D1608" s="796"/>
      <c r="F1608">
        <v>1</v>
      </c>
      <c r="G1608" s="128"/>
    </row>
    <row r="1609" spans="4:7" x14ac:dyDescent="0.25">
      <c r="D1609" s="796"/>
      <c r="F1609">
        <v>1</v>
      </c>
      <c r="G1609" s="128"/>
    </row>
    <row r="1610" spans="4:7" x14ac:dyDescent="0.25">
      <c r="D1610" s="796"/>
      <c r="F1610">
        <v>1</v>
      </c>
      <c r="G1610" s="128"/>
    </row>
    <row r="1611" spans="4:7" x14ac:dyDescent="0.25">
      <c r="D1611" s="796"/>
      <c r="F1611">
        <v>1</v>
      </c>
      <c r="G1611" s="128"/>
    </row>
    <row r="1612" spans="4:7" x14ac:dyDescent="0.25">
      <c r="D1612" s="796"/>
      <c r="F1612">
        <v>1</v>
      </c>
      <c r="G1612" s="128"/>
    </row>
    <row r="1613" spans="4:7" x14ac:dyDescent="0.25">
      <c r="D1613" s="796"/>
      <c r="F1613">
        <v>1</v>
      </c>
      <c r="G1613" s="128"/>
    </row>
    <row r="1614" spans="4:7" x14ac:dyDescent="0.25">
      <c r="D1614" s="796"/>
      <c r="F1614">
        <v>1</v>
      </c>
      <c r="G1614" s="128"/>
    </row>
    <row r="1615" spans="4:7" x14ac:dyDescent="0.25">
      <c r="D1615" s="796"/>
      <c r="F1615">
        <v>1</v>
      </c>
      <c r="G1615" s="128"/>
    </row>
    <row r="1616" spans="4:7" x14ac:dyDescent="0.25">
      <c r="D1616" s="796"/>
      <c r="F1616">
        <v>1</v>
      </c>
      <c r="G1616" s="128"/>
    </row>
    <row r="1617" spans="4:7" x14ac:dyDescent="0.25">
      <c r="D1617" s="796"/>
      <c r="F1617">
        <v>1</v>
      </c>
      <c r="G1617" s="128"/>
    </row>
    <row r="1618" spans="4:7" x14ac:dyDescent="0.25">
      <c r="D1618" s="796"/>
      <c r="F1618">
        <v>1</v>
      </c>
      <c r="G1618" s="128"/>
    </row>
    <row r="1619" spans="4:7" x14ac:dyDescent="0.25">
      <c r="D1619" s="796"/>
      <c r="F1619">
        <v>1</v>
      </c>
      <c r="G1619" s="128"/>
    </row>
    <row r="1620" spans="4:7" x14ac:dyDescent="0.25">
      <c r="D1620" s="796"/>
      <c r="F1620">
        <v>1</v>
      </c>
      <c r="G1620" s="128"/>
    </row>
    <row r="1621" spans="4:7" x14ac:dyDescent="0.25">
      <c r="D1621" s="796"/>
      <c r="F1621">
        <v>1</v>
      </c>
      <c r="G1621" s="128"/>
    </row>
    <row r="1622" spans="4:7" x14ac:dyDescent="0.25">
      <c r="D1622" s="796"/>
      <c r="F1622">
        <v>1</v>
      </c>
      <c r="G1622" s="128"/>
    </row>
    <row r="1623" spans="4:7" x14ac:dyDescent="0.25">
      <c r="D1623" s="796"/>
      <c r="F1623">
        <v>1</v>
      </c>
      <c r="G1623" s="128"/>
    </row>
    <row r="1624" spans="4:7" x14ac:dyDescent="0.25">
      <c r="D1624" s="796"/>
      <c r="F1624">
        <v>1</v>
      </c>
      <c r="G1624" s="128"/>
    </row>
    <row r="1625" spans="4:7" x14ac:dyDescent="0.25">
      <c r="D1625" s="796"/>
      <c r="F1625">
        <v>1</v>
      </c>
      <c r="G1625" s="128"/>
    </row>
    <row r="1626" spans="4:7" x14ac:dyDescent="0.25">
      <c r="D1626" s="796"/>
      <c r="F1626">
        <v>1</v>
      </c>
      <c r="G1626" s="128"/>
    </row>
    <row r="1627" spans="4:7" x14ac:dyDescent="0.25">
      <c r="D1627" s="796"/>
      <c r="F1627">
        <v>1</v>
      </c>
      <c r="G1627" s="128"/>
    </row>
    <row r="1628" spans="4:7" x14ac:dyDescent="0.25">
      <c r="D1628" s="796"/>
      <c r="F1628">
        <v>1</v>
      </c>
      <c r="G1628" s="128"/>
    </row>
    <row r="1629" spans="4:7" x14ac:dyDescent="0.25">
      <c r="D1629" s="796"/>
      <c r="F1629">
        <v>1</v>
      </c>
      <c r="G1629" s="128"/>
    </row>
    <row r="1630" spans="4:7" x14ac:dyDescent="0.25">
      <c r="D1630" s="796"/>
      <c r="F1630">
        <v>1</v>
      </c>
      <c r="G1630" s="128"/>
    </row>
    <row r="1631" spans="4:7" x14ac:dyDescent="0.25">
      <c r="D1631" s="796"/>
      <c r="F1631">
        <v>1</v>
      </c>
      <c r="G1631" s="128"/>
    </row>
    <row r="1632" spans="4:7" x14ac:dyDescent="0.25">
      <c r="D1632" s="796"/>
      <c r="F1632">
        <v>1</v>
      </c>
      <c r="G1632" s="128"/>
    </row>
    <row r="1633" spans="4:7" x14ac:dyDescent="0.25">
      <c r="D1633" s="796"/>
      <c r="F1633">
        <v>1</v>
      </c>
      <c r="G1633" s="128"/>
    </row>
    <row r="1634" spans="4:7" x14ac:dyDescent="0.25">
      <c r="D1634" s="796"/>
      <c r="F1634">
        <v>1</v>
      </c>
      <c r="G1634" s="128"/>
    </row>
    <row r="1635" spans="4:7" x14ac:dyDescent="0.25">
      <c r="D1635" s="796"/>
      <c r="F1635">
        <v>1</v>
      </c>
      <c r="G1635" s="128"/>
    </row>
    <row r="1636" spans="4:7" x14ac:dyDescent="0.25">
      <c r="D1636" s="796"/>
      <c r="F1636">
        <v>1</v>
      </c>
      <c r="G1636" s="128"/>
    </row>
    <row r="1637" spans="4:7" x14ac:dyDescent="0.25">
      <c r="D1637" s="796"/>
      <c r="F1637">
        <v>1</v>
      </c>
      <c r="G1637" s="128"/>
    </row>
    <row r="1638" spans="4:7" x14ac:dyDescent="0.25">
      <c r="D1638" s="796"/>
      <c r="F1638">
        <v>1</v>
      </c>
      <c r="G1638" s="128"/>
    </row>
    <row r="1639" spans="4:7" x14ac:dyDescent="0.25">
      <c r="D1639" s="796"/>
      <c r="F1639">
        <v>1</v>
      </c>
      <c r="G1639" s="128"/>
    </row>
    <row r="1640" spans="4:7" x14ac:dyDescent="0.25">
      <c r="D1640" s="796"/>
      <c r="F1640">
        <v>1</v>
      </c>
      <c r="G1640" s="128"/>
    </row>
    <row r="1641" spans="4:7" x14ac:dyDescent="0.25">
      <c r="D1641" s="796"/>
      <c r="F1641">
        <v>1</v>
      </c>
      <c r="G1641" s="128"/>
    </row>
    <row r="1642" spans="4:7" x14ac:dyDescent="0.25">
      <c r="D1642" s="796"/>
      <c r="F1642">
        <v>1</v>
      </c>
      <c r="G1642" s="128"/>
    </row>
    <row r="1643" spans="4:7" x14ac:dyDescent="0.25">
      <c r="D1643" s="796"/>
      <c r="F1643">
        <v>1</v>
      </c>
      <c r="G1643" s="128"/>
    </row>
    <row r="1644" spans="4:7" x14ac:dyDescent="0.25">
      <c r="D1644" s="796"/>
      <c r="F1644">
        <v>1</v>
      </c>
      <c r="G1644" s="128"/>
    </row>
    <row r="1645" spans="4:7" x14ac:dyDescent="0.25">
      <c r="D1645" s="796"/>
      <c r="F1645">
        <v>1</v>
      </c>
      <c r="G1645" s="128"/>
    </row>
    <row r="1646" spans="4:7" x14ac:dyDescent="0.25">
      <c r="D1646" s="796"/>
      <c r="F1646">
        <v>1</v>
      </c>
      <c r="G1646" s="128"/>
    </row>
    <row r="1647" spans="4:7" x14ac:dyDescent="0.25">
      <c r="D1647" s="796"/>
      <c r="F1647">
        <v>1</v>
      </c>
      <c r="G1647" s="128"/>
    </row>
    <row r="1648" spans="4:7" x14ac:dyDescent="0.25">
      <c r="D1648" s="796"/>
      <c r="F1648">
        <v>1</v>
      </c>
      <c r="G1648" s="128"/>
    </row>
    <row r="1649" spans="4:7" x14ac:dyDescent="0.25">
      <c r="D1649" s="796"/>
      <c r="F1649">
        <v>1</v>
      </c>
      <c r="G1649" s="128"/>
    </row>
    <row r="1650" spans="4:7" x14ac:dyDescent="0.25">
      <c r="D1650" s="796"/>
      <c r="F1650">
        <v>1</v>
      </c>
      <c r="G1650" s="128"/>
    </row>
    <row r="1651" spans="4:7" x14ac:dyDescent="0.25">
      <c r="D1651" s="796"/>
      <c r="F1651">
        <v>1</v>
      </c>
      <c r="G1651" s="128"/>
    </row>
    <row r="1652" spans="4:7" x14ac:dyDescent="0.25">
      <c r="D1652" s="796"/>
      <c r="F1652">
        <v>1</v>
      </c>
      <c r="G1652" s="128"/>
    </row>
    <row r="1653" spans="4:7" x14ac:dyDescent="0.25">
      <c r="D1653" s="796"/>
      <c r="F1653">
        <v>1</v>
      </c>
      <c r="G1653" s="128"/>
    </row>
    <row r="1654" spans="4:7" x14ac:dyDescent="0.25">
      <c r="D1654" s="796"/>
      <c r="F1654">
        <v>1</v>
      </c>
      <c r="G1654" s="128"/>
    </row>
    <row r="1655" spans="4:7" x14ac:dyDescent="0.25">
      <c r="D1655" s="796"/>
      <c r="F1655">
        <v>1</v>
      </c>
      <c r="G1655" s="128"/>
    </row>
    <row r="1656" spans="4:7" x14ac:dyDescent="0.25">
      <c r="D1656" s="796"/>
      <c r="F1656">
        <v>1</v>
      </c>
      <c r="G1656" s="128"/>
    </row>
    <row r="1657" spans="4:7" x14ac:dyDescent="0.25">
      <c r="D1657" s="796"/>
      <c r="F1657">
        <v>1</v>
      </c>
      <c r="G1657" s="128"/>
    </row>
    <row r="1658" spans="4:7" x14ac:dyDescent="0.25">
      <c r="D1658" s="796"/>
      <c r="F1658">
        <v>1</v>
      </c>
      <c r="G1658" s="128"/>
    </row>
    <row r="1659" spans="4:7" x14ac:dyDescent="0.25">
      <c r="D1659" s="796"/>
      <c r="F1659">
        <v>1</v>
      </c>
      <c r="G1659" s="128"/>
    </row>
    <row r="1660" spans="4:7" x14ac:dyDescent="0.25">
      <c r="D1660" s="796"/>
      <c r="F1660">
        <v>1</v>
      </c>
      <c r="G1660" s="128"/>
    </row>
    <row r="1661" spans="4:7" x14ac:dyDescent="0.25">
      <c r="D1661" s="796"/>
      <c r="F1661">
        <v>1</v>
      </c>
      <c r="G1661" s="128"/>
    </row>
    <row r="1662" spans="4:7" x14ac:dyDescent="0.25">
      <c r="D1662" s="796"/>
      <c r="F1662">
        <v>1</v>
      </c>
      <c r="G1662" s="128"/>
    </row>
    <row r="1663" spans="4:7" x14ac:dyDescent="0.25">
      <c r="D1663" s="796"/>
      <c r="F1663">
        <v>1</v>
      </c>
      <c r="G1663" s="128"/>
    </row>
    <row r="1664" spans="4:7" x14ac:dyDescent="0.25">
      <c r="D1664" s="796"/>
      <c r="F1664">
        <v>1</v>
      </c>
      <c r="G1664" s="128"/>
    </row>
    <row r="1665" spans="4:7" x14ac:dyDescent="0.25">
      <c r="D1665" s="796"/>
      <c r="F1665">
        <v>1</v>
      </c>
      <c r="G1665" s="128"/>
    </row>
    <row r="1666" spans="4:7" x14ac:dyDescent="0.25">
      <c r="D1666" s="796"/>
      <c r="F1666">
        <v>1</v>
      </c>
      <c r="G1666" s="128"/>
    </row>
    <row r="1667" spans="4:7" x14ac:dyDescent="0.25">
      <c r="D1667" s="796"/>
      <c r="F1667">
        <v>1</v>
      </c>
      <c r="G1667" s="128"/>
    </row>
    <row r="1668" spans="4:7" x14ac:dyDescent="0.25">
      <c r="D1668" s="796"/>
      <c r="F1668">
        <v>1</v>
      </c>
      <c r="G1668" s="128"/>
    </row>
    <row r="1669" spans="4:7" x14ac:dyDescent="0.25">
      <c r="D1669" s="796"/>
      <c r="F1669">
        <v>1</v>
      </c>
      <c r="G1669" s="128"/>
    </row>
    <row r="1670" spans="4:7" x14ac:dyDescent="0.25">
      <c r="D1670" s="796"/>
      <c r="F1670">
        <v>1</v>
      </c>
      <c r="G1670" s="128"/>
    </row>
    <row r="1671" spans="4:7" x14ac:dyDescent="0.25">
      <c r="D1671" s="796"/>
      <c r="F1671">
        <v>1</v>
      </c>
      <c r="G1671" s="128"/>
    </row>
    <row r="1672" spans="4:7" x14ac:dyDescent="0.25">
      <c r="D1672" s="796"/>
      <c r="F1672">
        <v>1</v>
      </c>
      <c r="G1672" s="128"/>
    </row>
    <row r="1673" spans="4:7" x14ac:dyDescent="0.25">
      <c r="D1673" s="796"/>
      <c r="F1673">
        <v>1</v>
      </c>
      <c r="G1673" s="128"/>
    </row>
    <row r="1674" spans="4:7" x14ac:dyDescent="0.25">
      <c r="D1674" s="796"/>
      <c r="F1674">
        <v>1</v>
      </c>
      <c r="G1674" s="128"/>
    </row>
    <row r="1675" spans="4:7" x14ac:dyDescent="0.25">
      <c r="D1675" s="796"/>
      <c r="F1675">
        <v>1</v>
      </c>
      <c r="G1675" s="128"/>
    </row>
    <row r="1676" spans="4:7" x14ac:dyDescent="0.25">
      <c r="D1676" s="796"/>
      <c r="F1676">
        <v>1</v>
      </c>
      <c r="G1676" s="128"/>
    </row>
    <row r="1677" spans="4:7" x14ac:dyDescent="0.25">
      <c r="D1677" s="796"/>
      <c r="F1677">
        <v>1</v>
      </c>
      <c r="G1677" s="128"/>
    </row>
    <row r="1678" spans="4:7" x14ac:dyDescent="0.25">
      <c r="D1678" s="796"/>
      <c r="F1678">
        <v>1</v>
      </c>
      <c r="G1678" s="128"/>
    </row>
    <row r="1679" spans="4:7" x14ac:dyDescent="0.25">
      <c r="D1679" s="796"/>
      <c r="F1679">
        <v>1</v>
      </c>
      <c r="G1679" s="128"/>
    </row>
    <row r="1680" spans="4:7" x14ac:dyDescent="0.25">
      <c r="D1680" s="796"/>
      <c r="F1680">
        <v>1</v>
      </c>
      <c r="G1680" s="128"/>
    </row>
    <row r="1681" spans="4:7" x14ac:dyDescent="0.25">
      <c r="D1681" s="796"/>
      <c r="F1681">
        <v>1</v>
      </c>
      <c r="G1681" s="128"/>
    </row>
    <row r="1682" spans="4:7" x14ac:dyDescent="0.25">
      <c r="D1682" s="796"/>
      <c r="F1682">
        <v>1</v>
      </c>
      <c r="G1682" s="128"/>
    </row>
    <row r="1683" spans="4:7" x14ac:dyDescent="0.25">
      <c r="D1683" s="796"/>
      <c r="F1683">
        <v>1</v>
      </c>
      <c r="G1683" s="128"/>
    </row>
    <row r="1684" spans="4:7" x14ac:dyDescent="0.25">
      <c r="D1684" s="796"/>
      <c r="F1684">
        <v>1</v>
      </c>
      <c r="G1684" s="128"/>
    </row>
    <row r="1685" spans="4:7" x14ac:dyDescent="0.25">
      <c r="D1685" s="796"/>
      <c r="F1685">
        <v>1</v>
      </c>
      <c r="G1685" s="128"/>
    </row>
    <row r="1686" spans="4:7" x14ac:dyDescent="0.25">
      <c r="D1686" s="796"/>
      <c r="F1686">
        <v>1</v>
      </c>
      <c r="G1686" s="128"/>
    </row>
    <row r="1687" spans="4:7" x14ac:dyDescent="0.25">
      <c r="D1687" s="796"/>
      <c r="F1687">
        <v>1</v>
      </c>
      <c r="G1687" s="128"/>
    </row>
    <row r="1688" spans="4:7" x14ac:dyDescent="0.25">
      <c r="D1688" s="796"/>
      <c r="F1688">
        <v>1</v>
      </c>
      <c r="G1688" s="128"/>
    </row>
    <row r="1689" spans="4:7" x14ac:dyDescent="0.25">
      <c r="D1689" s="796"/>
      <c r="F1689">
        <v>1</v>
      </c>
      <c r="G1689" s="128"/>
    </row>
    <row r="1690" spans="4:7" x14ac:dyDescent="0.25">
      <c r="D1690" s="796"/>
      <c r="F1690">
        <v>1</v>
      </c>
      <c r="G1690" s="128"/>
    </row>
    <row r="1691" spans="4:7" x14ac:dyDescent="0.25">
      <c r="D1691" s="796"/>
      <c r="F1691">
        <v>1</v>
      </c>
      <c r="G1691" s="128"/>
    </row>
    <row r="1692" spans="4:7" x14ac:dyDescent="0.25">
      <c r="D1692" s="796"/>
      <c r="F1692">
        <v>1</v>
      </c>
      <c r="G1692" s="128"/>
    </row>
    <row r="1693" spans="4:7" x14ac:dyDescent="0.25">
      <c r="D1693" s="796"/>
      <c r="F1693">
        <v>1</v>
      </c>
      <c r="G1693" s="128"/>
    </row>
    <row r="1694" spans="4:7" x14ac:dyDescent="0.25">
      <c r="D1694" s="796"/>
      <c r="F1694">
        <v>1</v>
      </c>
      <c r="G1694" s="128"/>
    </row>
    <row r="1695" spans="4:7" x14ac:dyDescent="0.25">
      <c r="D1695" s="796"/>
      <c r="F1695">
        <v>1</v>
      </c>
      <c r="G1695" s="128"/>
    </row>
    <row r="1696" spans="4:7" x14ac:dyDescent="0.25">
      <c r="D1696" s="796"/>
      <c r="F1696">
        <v>1</v>
      </c>
      <c r="G1696" s="128"/>
    </row>
    <row r="1697" spans="4:7" x14ac:dyDescent="0.25">
      <c r="D1697" s="796"/>
      <c r="F1697">
        <v>1</v>
      </c>
      <c r="G1697" s="128"/>
    </row>
    <row r="1698" spans="4:7" x14ac:dyDescent="0.25">
      <c r="D1698" s="796"/>
      <c r="F1698">
        <v>1</v>
      </c>
      <c r="G1698" s="128"/>
    </row>
    <row r="1699" spans="4:7" x14ac:dyDescent="0.25">
      <c r="D1699" s="796"/>
      <c r="F1699">
        <v>1</v>
      </c>
      <c r="G1699" s="128"/>
    </row>
    <row r="1700" spans="4:7" x14ac:dyDescent="0.25">
      <c r="D1700" s="796"/>
      <c r="F1700">
        <v>1</v>
      </c>
      <c r="G1700" s="128"/>
    </row>
    <row r="1701" spans="4:7" x14ac:dyDescent="0.25">
      <c r="D1701" s="796"/>
      <c r="F1701">
        <v>1</v>
      </c>
      <c r="G1701" s="128"/>
    </row>
    <row r="1702" spans="4:7" x14ac:dyDescent="0.25">
      <c r="D1702" s="796"/>
      <c r="F1702">
        <v>1</v>
      </c>
      <c r="G1702" s="128"/>
    </row>
    <row r="1703" spans="4:7" x14ac:dyDescent="0.25">
      <c r="D1703" s="796"/>
      <c r="F1703">
        <v>1</v>
      </c>
      <c r="G1703" s="128"/>
    </row>
    <row r="1704" spans="4:7" x14ac:dyDescent="0.25">
      <c r="D1704" s="796"/>
      <c r="F1704">
        <v>1</v>
      </c>
      <c r="G1704" s="128"/>
    </row>
    <row r="1705" spans="4:7" x14ac:dyDescent="0.25">
      <c r="D1705" s="796"/>
      <c r="F1705">
        <v>1</v>
      </c>
      <c r="G1705" s="128"/>
    </row>
    <row r="1706" spans="4:7" x14ac:dyDescent="0.25">
      <c r="D1706" s="796"/>
      <c r="F1706">
        <v>1</v>
      </c>
      <c r="G1706" s="128"/>
    </row>
    <row r="1707" spans="4:7" x14ac:dyDescent="0.25">
      <c r="D1707" s="796"/>
      <c r="F1707">
        <v>1</v>
      </c>
      <c r="G1707" s="128"/>
    </row>
    <row r="1708" spans="4:7" x14ac:dyDescent="0.25">
      <c r="D1708" s="796"/>
      <c r="F1708">
        <v>1</v>
      </c>
      <c r="G1708" s="128"/>
    </row>
    <row r="1709" spans="4:7" x14ac:dyDescent="0.25">
      <c r="D1709" s="796"/>
      <c r="F1709">
        <v>1</v>
      </c>
      <c r="G1709" s="128"/>
    </row>
    <row r="1710" spans="4:7" x14ac:dyDescent="0.25">
      <c r="D1710" s="796"/>
      <c r="F1710">
        <v>1</v>
      </c>
      <c r="G1710" s="128"/>
    </row>
    <row r="1711" spans="4:7" x14ac:dyDescent="0.25">
      <c r="D1711" s="796"/>
      <c r="F1711">
        <v>1</v>
      </c>
      <c r="G1711" s="128"/>
    </row>
    <row r="1712" spans="4:7" x14ac:dyDescent="0.25">
      <c r="D1712" s="796"/>
      <c r="F1712">
        <v>1</v>
      </c>
      <c r="G1712" s="128"/>
    </row>
    <row r="1713" spans="4:7" x14ac:dyDescent="0.25">
      <c r="D1713" s="796"/>
      <c r="F1713">
        <v>1</v>
      </c>
      <c r="G1713" s="128"/>
    </row>
    <row r="1714" spans="4:7" x14ac:dyDescent="0.25">
      <c r="D1714" s="796"/>
      <c r="F1714">
        <v>1</v>
      </c>
      <c r="G1714" s="128"/>
    </row>
    <row r="1715" spans="4:7" x14ac:dyDescent="0.25">
      <c r="D1715" s="796"/>
      <c r="F1715">
        <v>1</v>
      </c>
      <c r="G1715" s="128"/>
    </row>
    <row r="1716" spans="4:7" x14ac:dyDescent="0.25">
      <c r="D1716" s="796"/>
      <c r="F1716">
        <v>1</v>
      </c>
      <c r="G1716" s="128"/>
    </row>
    <row r="1717" spans="4:7" x14ac:dyDescent="0.25">
      <c r="D1717" s="796"/>
      <c r="F1717">
        <v>1</v>
      </c>
      <c r="G1717" s="128"/>
    </row>
    <row r="1718" spans="4:7" x14ac:dyDescent="0.25">
      <c r="D1718" s="796"/>
      <c r="F1718">
        <v>1</v>
      </c>
      <c r="G1718" s="128"/>
    </row>
    <row r="1719" spans="4:7" x14ac:dyDescent="0.25">
      <c r="D1719" s="796"/>
      <c r="F1719">
        <v>1</v>
      </c>
      <c r="G1719" s="128"/>
    </row>
    <row r="1720" spans="4:7" x14ac:dyDescent="0.25">
      <c r="D1720" s="796"/>
      <c r="F1720">
        <v>1</v>
      </c>
      <c r="G1720" s="128"/>
    </row>
    <row r="1721" spans="4:7" x14ac:dyDescent="0.25">
      <c r="D1721" s="796"/>
      <c r="F1721">
        <v>1</v>
      </c>
      <c r="G1721" s="128"/>
    </row>
    <row r="1722" spans="4:7" x14ac:dyDescent="0.25">
      <c r="D1722" s="796"/>
      <c r="F1722">
        <v>1</v>
      </c>
      <c r="G1722" s="128"/>
    </row>
    <row r="1723" spans="4:7" x14ac:dyDescent="0.25">
      <c r="D1723" s="796"/>
      <c r="F1723">
        <v>1</v>
      </c>
      <c r="G1723" s="128"/>
    </row>
    <row r="1724" spans="4:7" x14ac:dyDescent="0.25">
      <c r="D1724" s="796"/>
      <c r="F1724">
        <v>1</v>
      </c>
      <c r="G1724" s="128"/>
    </row>
    <row r="1725" spans="4:7" x14ac:dyDescent="0.25">
      <c r="D1725" s="796"/>
      <c r="F1725">
        <v>1</v>
      </c>
      <c r="G1725" s="128"/>
    </row>
    <row r="1726" spans="4:7" x14ac:dyDescent="0.25">
      <c r="D1726" s="796"/>
      <c r="F1726">
        <v>1</v>
      </c>
      <c r="G1726" s="128"/>
    </row>
    <row r="1727" spans="4:7" x14ac:dyDescent="0.25">
      <c r="D1727" s="796"/>
      <c r="F1727">
        <v>1</v>
      </c>
      <c r="G1727" s="128"/>
    </row>
    <row r="1728" spans="4:7" x14ac:dyDescent="0.25">
      <c r="D1728" s="796"/>
      <c r="F1728">
        <v>1</v>
      </c>
      <c r="G1728" s="128"/>
    </row>
    <row r="1729" spans="4:7" x14ac:dyDescent="0.25">
      <c r="D1729" s="796"/>
      <c r="F1729">
        <v>1</v>
      </c>
      <c r="G1729" s="128"/>
    </row>
    <row r="1730" spans="4:7" x14ac:dyDescent="0.25">
      <c r="D1730" s="796"/>
      <c r="F1730">
        <v>1</v>
      </c>
      <c r="G1730" s="128"/>
    </row>
    <row r="1731" spans="4:7" x14ac:dyDescent="0.25">
      <c r="D1731" s="796"/>
      <c r="F1731">
        <v>1</v>
      </c>
      <c r="G1731" s="128"/>
    </row>
    <row r="1732" spans="4:7" x14ac:dyDescent="0.25">
      <c r="D1732" s="796"/>
      <c r="F1732">
        <v>1</v>
      </c>
      <c r="G1732" s="128"/>
    </row>
    <row r="1733" spans="4:7" x14ac:dyDescent="0.25">
      <c r="D1733" s="796"/>
      <c r="F1733">
        <v>1</v>
      </c>
      <c r="G1733" s="128"/>
    </row>
    <row r="1734" spans="4:7" x14ac:dyDescent="0.25">
      <c r="D1734" s="796"/>
      <c r="F1734">
        <v>1</v>
      </c>
      <c r="G1734" s="128"/>
    </row>
    <row r="1735" spans="4:7" x14ac:dyDescent="0.25">
      <c r="D1735" s="796"/>
      <c r="F1735">
        <v>1</v>
      </c>
      <c r="G1735" s="128"/>
    </row>
    <row r="1736" spans="4:7" x14ac:dyDescent="0.25">
      <c r="D1736" s="796"/>
      <c r="F1736">
        <v>1</v>
      </c>
      <c r="G1736" s="128"/>
    </row>
    <row r="1737" spans="4:7" x14ac:dyDescent="0.25">
      <c r="D1737" s="796"/>
      <c r="F1737">
        <v>1</v>
      </c>
      <c r="G1737" s="128"/>
    </row>
    <row r="1738" spans="4:7" x14ac:dyDescent="0.25">
      <c r="D1738" s="796"/>
      <c r="F1738">
        <v>1</v>
      </c>
      <c r="G1738" s="128"/>
    </row>
    <row r="1739" spans="4:7" x14ac:dyDescent="0.25">
      <c r="D1739" s="796"/>
      <c r="F1739">
        <v>1</v>
      </c>
      <c r="G1739" s="128"/>
    </row>
    <row r="1740" spans="4:7" x14ac:dyDescent="0.25">
      <c r="D1740" s="796"/>
      <c r="F1740">
        <v>1</v>
      </c>
      <c r="G1740" s="128"/>
    </row>
    <row r="1741" spans="4:7" x14ac:dyDescent="0.25">
      <c r="D1741" s="796"/>
      <c r="F1741">
        <v>1</v>
      </c>
      <c r="G1741" s="128"/>
    </row>
    <row r="1742" spans="4:7" x14ac:dyDescent="0.25">
      <c r="D1742" s="796"/>
      <c r="F1742">
        <v>1</v>
      </c>
      <c r="G1742" s="128"/>
    </row>
    <row r="1743" spans="4:7" x14ac:dyDescent="0.25">
      <c r="D1743" s="796"/>
      <c r="F1743">
        <v>1</v>
      </c>
      <c r="G1743" s="128"/>
    </row>
    <row r="1744" spans="4:7" x14ac:dyDescent="0.25">
      <c r="D1744" s="796"/>
      <c r="F1744">
        <v>1</v>
      </c>
      <c r="G1744" s="128"/>
    </row>
    <row r="1745" spans="4:7" x14ac:dyDescent="0.25">
      <c r="D1745" s="796"/>
      <c r="F1745">
        <v>1</v>
      </c>
      <c r="G1745" s="128"/>
    </row>
    <row r="1746" spans="4:7" x14ac:dyDescent="0.25">
      <c r="D1746" s="796"/>
      <c r="F1746">
        <v>1</v>
      </c>
      <c r="G1746" s="128"/>
    </row>
    <row r="1747" spans="4:7" x14ac:dyDescent="0.25">
      <c r="D1747" s="796"/>
      <c r="F1747">
        <v>1</v>
      </c>
      <c r="G1747" s="128"/>
    </row>
    <row r="1748" spans="4:7" x14ac:dyDescent="0.25">
      <c r="D1748" s="796"/>
      <c r="F1748">
        <v>1</v>
      </c>
      <c r="G1748" s="128"/>
    </row>
    <row r="1749" spans="4:7" x14ac:dyDescent="0.25">
      <c r="D1749" s="796"/>
      <c r="F1749">
        <v>1</v>
      </c>
      <c r="G1749" s="128"/>
    </row>
    <row r="1750" spans="4:7" x14ac:dyDescent="0.25">
      <c r="D1750" s="796"/>
      <c r="F1750">
        <v>1</v>
      </c>
      <c r="G1750" s="128"/>
    </row>
    <row r="1751" spans="4:7" x14ac:dyDescent="0.25">
      <c r="D1751" s="796"/>
      <c r="F1751">
        <v>1</v>
      </c>
      <c r="G1751" s="128"/>
    </row>
    <row r="1752" spans="4:7" x14ac:dyDescent="0.25">
      <c r="D1752" s="796"/>
      <c r="F1752">
        <v>1</v>
      </c>
      <c r="G1752" s="128"/>
    </row>
    <row r="1753" spans="4:7" x14ac:dyDescent="0.25">
      <c r="D1753" s="796"/>
      <c r="F1753">
        <v>1</v>
      </c>
      <c r="G1753" s="128"/>
    </row>
    <row r="1754" spans="4:7" x14ac:dyDescent="0.25">
      <c r="D1754" s="796"/>
      <c r="F1754">
        <v>1</v>
      </c>
      <c r="G1754" s="128"/>
    </row>
    <row r="1755" spans="4:7" x14ac:dyDescent="0.25">
      <c r="D1755" s="796"/>
      <c r="F1755">
        <v>1</v>
      </c>
      <c r="G1755" s="128"/>
    </row>
    <row r="1756" spans="4:7" x14ac:dyDescent="0.25">
      <c r="D1756" s="796"/>
      <c r="F1756">
        <v>1</v>
      </c>
      <c r="G1756" s="128"/>
    </row>
    <row r="1757" spans="4:7" x14ac:dyDescent="0.25">
      <c r="D1757" s="796"/>
      <c r="F1757">
        <v>1</v>
      </c>
      <c r="G1757" s="128"/>
    </row>
    <row r="1758" spans="4:7" x14ac:dyDescent="0.25">
      <c r="D1758" s="796"/>
      <c r="F1758">
        <v>1</v>
      </c>
      <c r="G1758" s="128"/>
    </row>
    <row r="1759" spans="4:7" x14ac:dyDescent="0.25">
      <c r="D1759" s="796"/>
      <c r="F1759">
        <v>1</v>
      </c>
      <c r="G1759" s="128"/>
    </row>
    <row r="1760" spans="4:7" x14ac:dyDescent="0.25">
      <c r="D1760" s="796"/>
      <c r="F1760">
        <v>1</v>
      </c>
      <c r="G1760" s="128"/>
    </row>
    <row r="1761" spans="4:7" x14ac:dyDescent="0.25">
      <c r="D1761" s="796"/>
      <c r="F1761">
        <v>1</v>
      </c>
      <c r="G1761" s="128"/>
    </row>
    <row r="1762" spans="4:7" x14ac:dyDescent="0.25">
      <c r="D1762" s="796"/>
      <c r="F1762">
        <v>1</v>
      </c>
      <c r="G1762" s="128"/>
    </row>
    <row r="1763" spans="4:7" x14ac:dyDescent="0.25">
      <c r="D1763" s="796"/>
      <c r="F1763">
        <v>1</v>
      </c>
      <c r="G1763" s="128"/>
    </row>
    <row r="1764" spans="4:7" x14ac:dyDescent="0.25">
      <c r="D1764" s="796"/>
      <c r="F1764">
        <v>1</v>
      </c>
      <c r="G1764" s="128"/>
    </row>
    <row r="1765" spans="4:7" x14ac:dyDescent="0.25">
      <c r="D1765" s="796"/>
      <c r="F1765">
        <v>1</v>
      </c>
      <c r="G1765" s="128"/>
    </row>
    <row r="1766" spans="4:7" x14ac:dyDescent="0.25">
      <c r="D1766" s="796"/>
      <c r="F1766">
        <v>1</v>
      </c>
      <c r="G1766" s="128"/>
    </row>
    <row r="1767" spans="4:7" x14ac:dyDescent="0.25">
      <c r="D1767" s="796"/>
      <c r="F1767">
        <v>1</v>
      </c>
      <c r="G1767" s="128"/>
    </row>
    <row r="1768" spans="4:7" x14ac:dyDescent="0.25">
      <c r="D1768" s="796"/>
      <c r="F1768">
        <v>1</v>
      </c>
      <c r="G1768" s="128"/>
    </row>
    <row r="1769" spans="4:7" x14ac:dyDescent="0.25">
      <c r="D1769" s="796"/>
      <c r="F1769">
        <v>1</v>
      </c>
      <c r="G1769" s="128"/>
    </row>
    <row r="1770" spans="4:7" x14ac:dyDescent="0.25">
      <c r="D1770" s="796"/>
      <c r="F1770">
        <v>1</v>
      </c>
      <c r="G1770" s="128"/>
    </row>
    <row r="1771" spans="4:7" x14ac:dyDescent="0.25">
      <c r="D1771" s="796"/>
      <c r="F1771">
        <v>1</v>
      </c>
      <c r="G1771" s="128"/>
    </row>
    <row r="1772" spans="4:7" x14ac:dyDescent="0.25">
      <c r="D1772" s="796"/>
      <c r="F1772">
        <v>1</v>
      </c>
      <c r="G1772" s="128"/>
    </row>
    <row r="1773" spans="4:7" x14ac:dyDescent="0.25">
      <c r="D1773" s="796"/>
      <c r="F1773">
        <v>1</v>
      </c>
      <c r="G1773" s="128"/>
    </row>
    <row r="1774" spans="4:7" x14ac:dyDescent="0.25">
      <c r="D1774" s="796"/>
      <c r="F1774">
        <v>1</v>
      </c>
      <c r="G1774" s="128"/>
    </row>
    <row r="1775" spans="4:7" x14ac:dyDescent="0.25">
      <c r="D1775" s="796"/>
      <c r="F1775">
        <v>1</v>
      </c>
      <c r="G1775" s="128"/>
    </row>
    <row r="1776" spans="4:7" x14ac:dyDescent="0.25">
      <c r="D1776" s="796"/>
      <c r="F1776">
        <v>1</v>
      </c>
      <c r="G1776" s="128"/>
    </row>
    <row r="1777" spans="4:7" x14ac:dyDescent="0.25">
      <c r="D1777" s="796"/>
      <c r="F1777">
        <v>1</v>
      </c>
      <c r="G1777" s="128"/>
    </row>
    <row r="1778" spans="4:7" x14ac:dyDescent="0.25">
      <c r="D1778" s="796"/>
      <c r="F1778">
        <v>1</v>
      </c>
      <c r="G1778" s="128"/>
    </row>
    <row r="1779" spans="4:7" x14ac:dyDescent="0.25">
      <c r="D1779" s="796"/>
      <c r="F1779">
        <v>1</v>
      </c>
      <c r="G1779" s="128"/>
    </row>
    <row r="1780" spans="4:7" x14ac:dyDescent="0.25">
      <c r="D1780" s="796"/>
      <c r="F1780">
        <v>1</v>
      </c>
      <c r="G1780" s="128"/>
    </row>
    <row r="1781" spans="4:7" x14ac:dyDescent="0.25">
      <c r="D1781" s="796"/>
      <c r="F1781">
        <v>1</v>
      </c>
      <c r="G1781" s="128"/>
    </row>
    <row r="1782" spans="4:7" x14ac:dyDescent="0.25">
      <c r="D1782" s="796"/>
      <c r="F1782">
        <v>1</v>
      </c>
      <c r="G1782" s="128"/>
    </row>
    <row r="1783" spans="4:7" x14ac:dyDescent="0.25">
      <c r="D1783" s="796"/>
      <c r="F1783">
        <v>1</v>
      </c>
      <c r="G1783" s="128"/>
    </row>
    <row r="1784" spans="4:7" x14ac:dyDescent="0.25">
      <c r="D1784" s="796"/>
      <c r="F1784">
        <v>1</v>
      </c>
      <c r="G1784" s="128"/>
    </row>
    <row r="1785" spans="4:7" x14ac:dyDescent="0.25">
      <c r="D1785" s="796"/>
      <c r="F1785">
        <v>1</v>
      </c>
      <c r="G1785" s="128"/>
    </row>
    <row r="1786" spans="4:7" x14ac:dyDescent="0.25">
      <c r="D1786" s="796"/>
      <c r="F1786">
        <v>1</v>
      </c>
      <c r="G1786" s="128"/>
    </row>
    <row r="1787" spans="4:7" x14ac:dyDescent="0.25">
      <c r="D1787" s="796"/>
      <c r="F1787">
        <v>1</v>
      </c>
      <c r="G1787" s="128"/>
    </row>
    <row r="1788" spans="4:7" x14ac:dyDescent="0.25">
      <c r="D1788" s="796"/>
      <c r="F1788">
        <v>1</v>
      </c>
      <c r="G1788" s="128"/>
    </row>
    <row r="1789" spans="4:7" x14ac:dyDescent="0.25">
      <c r="D1789" s="796"/>
      <c r="F1789">
        <v>1</v>
      </c>
      <c r="G1789" s="128"/>
    </row>
    <row r="1790" spans="4:7" x14ac:dyDescent="0.25">
      <c r="D1790" s="796"/>
      <c r="F1790">
        <v>1</v>
      </c>
      <c r="G1790" s="128"/>
    </row>
    <row r="1791" spans="4:7" x14ac:dyDescent="0.25">
      <c r="D1791" s="796"/>
      <c r="F1791">
        <v>1</v>
      </c>
      <c r="G1791" s="128"/>
    </row>
    <row r="1792" spans="4:7" x14ac:dyDescent="0.25">
      <c r="D1792" s="796"/>
      <c r="F1792">
        <v>1</v>
      </c>
      <c r="G1792" s="128"/>
    </row>
    <row r="1793" spans="4:7" x14ac:dyDescent="0.25">
      <c r="D1793" s="796"/>
      <c r="F1793">
        <v>1</v>
      </c>
      <c r="G1793" s="128"/>
    </row>
    <row r="1794" spans="4:7" x14ac:dyDescent="0.25">
      <c r="D1794" s="796"/>
      <c r="F1794">
        <v>1</v>
      </c>
      <c r="G1794" s="128"/>
    </row>
    <row r="1795" spans="4:7" x14ac:dyDescent="0.25">
      <c r="D1795" s="796"/>
      <c r="F1795">
        <v>1</v>
      </c>
      <c r="G1795" s="128"/>
    </row>
    <row r="1796" spans="4:7" x14ac:dyDescent="0.25">
      <c r="D1796" s="796"/>
      <c r="F1796">
        <v>1</v>
      </c>
      <c r="G1796" s="128"/>
    </row>
    <row r="1797" spans="4:7" x14ac:dyDescent="0.25">
      <c r="D1797" s="796"/>
      <c r="F1797">
        <v>1</v>
      </c>
      <c r="G1797" s="128"/>
    </row>
    <row r="1798" spans="4:7" x14ac:dyDescent="0.25">
      <c r="D1798" s="796"/>
      <c r="F1798">
        <v>1</v>
      </c>
      <c r="G1798" s="128"/>
    </row>
    <row r="1799" spans="4:7" x14ac:dyDescent="0.25">
      <c r="D1799" s="796"/>
      <c r="F1799">
        <v>1</v>
      </c>
      <c r="G1799" s="128"/>
    </row>
    <row r="1800" spans="4:7" x14ac:dyDescent="0.25">
      <c r="D1800" s="796"/>
      <c r="F1800">
        <v>1</v>
      </c>
      <c r="G1800" s="128"/>
    </row>
    <row r="1801" spans="4:7" x14ac:dyDescent="0.25">
      <c r="D1801" s="796"/>
      <c r="F1801">
        <v>1</v>
      </c>
      <c r="G1801" s="128"/>
    </row>
    <row r="1802" spans="4:7" x14ac:dyDescent="0.25">
      <c r="D1802" s="796"/>
      <c r="F1802">
        <v>1</v>
      </c>
      <c r="G1802" s="128"/>
    </row>
    <row r="1803" spans="4:7" x14ac:dyDescent="0.25">
      <c r="D1803" s="796"/>
      <c r="F1803">
        <v>1</v>
      </c>
      <c r="G1803" s="128"/>
    </row>
    <row r="1804" spans="4:7" x14ac:dyDescent="0.25">
      <c r="D1804" s="796"/>
      <c r="F1804">
        <v>1</v>
      </c>
      <c r="G1804" s="128"/>
    </row>
    <row r="1805" spans="4:7" x14ac:dyDescent="0.25">
      <c r="D1805" s="796"/>
      <c r="F1805">
        <v>1</v>
      </c>
      <c r="G1805" s="128"/>
    </row>
    <row r="1806" spans="4:7" x14ac:dyDescent="0.25">
      <c r="D1806" s="796"/>
      <c r="F1806">
        <v>1</v>
      </c>
      <c r="G1806" s="128"/>
    </row>
    <row r="1807" spans="4:7" x14ac:dyDescent="0.25">
      <c r="D1807" s="796"/>
      <c r="F1807">
        <v>1</v>
      </c>
      <c r="G1807" s="128"/>
    </row>
    <row r="1808" spans="4:7" x14ac:dyDescent="0.25">
      <c r="D1808" s="796"/>
      <c r="F1808">
        <v>1</v>
      </c>
      <c r="G1808" s="128"/>
    </row>
    <row r="1809" spans="4:7" x14ac:dyDescent="0.25">
      <c r="D1809" s="796"/>
      <c r="F1809">
        <v>1</v>
      </c>
      <c r="G1809" s="128"/>
    </row>
    <row r="1810" spans="4:7" x14ac:dyDescent="0.25">
      <c r="D1810" s="796"/>
      <c r="F1810">
        <v>1</v>
      </c>
      <c r="G1810" s="128"/>
    </row>
    <row r="1811" spans="4:7" x14ac:dyDescent="0.25">
      <c r="D1811" s="796"/>
      <c r="F1811">
        <v>1</v>
      </c>
      <c r="G1811" s="128"/>
    </row>
    <row r="1812" spans="4:7" x14ac:dyDescent="0.25">
      <c r="D1812" s="796"/>
      <c r="F1812">
        <v>1</v>
      </c>
      <c r="G1812" s="128"/>
    </row>
    <row r="1813" spans="4:7" x14ac:dyDescent="0.25">
      <c r="D1813" s="796"/>
      <c r="F1813">
        <v>1</v>
      </c>
      <c r="G1813" s="128"/>
    </row>
    <row r="1814" spans="4:7" x14ac:dyDescent="0.25">
      <c r="D1814" s="796"/>
      <c r="F1814">
        <v>1</v>
      </c>
      <c r="G1814" s="128"/>
    </row>
    <row r="1815" spans="4:7" x14ac:dyDescent="0.25">
      <c r="D1815" s="796"/>
      <c r="F1815">
        <v>1</v>
      </c>
      <c r="G1815" s="128"/>
    </row>
    <row r="1816" spans="4:7" x14ac:dyDescent="0.25">
      <c r="D1816" s="796"/>
      <c r="F1816">
        <v>1</v>
      </c>
      <c r="G1816" s="128"/>
    </row>
    <row r="1817" spans="4:7" x14ac:dyDescent="0.25">
      <c r="D1817" s="796"/>
      <c r="F1817">
        <v>1</v>
      </c>
      <c r="G1817" s="128"/>
    </row>
    <row r="1818" spans="4:7" x14ac:dyDescent="0.25">
      <c r="D1818" s="796"/>
      <c r="F1818">
        <v>1</v>
      </c>
      <c r="G1818" s="128"/>
    </row>
    <row r="1819" spans="4:7" x14ac:dyDescent="0.25">
      <c r="D1819" s="796"/>
      <c r="F1819">
        <v>1</v>
      </c>
      <c r="G1819" s="128"/>
    </row>
    <row r="1820" spans="4:7" x14ac:dyDescent="0.25">
      <c r="D1820" s="796"/>
      <c r="F1820">
        <v>1</v>
      </c>
      <c r="G1820" s="128"/>
    </row>
    <row r="1821" spans="4:7" x14ac:dyDescent="0.25">
      <c r="D1821" s="796"/>
      <c r="F1821">
        <v>1</v>
      </c>
      <c r="G1821" s="128"/>
    </row>
    <row r="1822" spans="4:7" x14ac:dyDescent="0.25">
      <c r="D1822" s="796"/>
      <c r="F1822">
        <v>1</v>
      </c>
    </row>
    <row r="1823" spans="4:7" x14ac:dyDescent="0.25">
      <c r="D1823" s="796"/>
      <c r="F1823">
        <v>1</v>
      </c>
    </row>
    <row r="1824" spans="4:7" x14ac:dyDescent="0.25">
      <c r="D1824" s="796"/>
      <c r="F1824">
        <v>1</v>
      </c>
    </row>
    <row r="1825" spans="4:6" x14ac:dyDescent="0.25">
      <c r="D1825" s="796"/>
      <c r="F1825">
        <v>1</v>
      </c>
    </row>
    <row r="1826" spans="4:6" x14ac:dyDescent="0.25">
      <c r="D1826" s="796"/>
      <c r="F1826">
        <v>1</v>
      </c>
    </row>
    <row r="1827" spans="4:6" x14ac:dyDescent="0.25">
      <c r="D1827" s="796"/>
      <c r="F1827">
        <v>1</v>
      </c>
    </row>
    <row r="1828" spans="4:6" x14ac:dyDescent="0.25">
      <c r="D1828" s="796"/>
      <c r="F1828">
        <v>1</v>
      </c>
    </row>
    <row r="1829" spans="4:6" x14ac:dyDescent="0.25">
      <c r="D1829" s="796"/>
      <c r="F1829">
        <v>1</v>
      </c>
    </row>
    <row r="1830" spans="4:6" x14ac:dyDescent="0.25">
      <c r="D1830" s="796"/>
      <c r="F1830">
        <v>1</v>
      </c>
    </row>
    <row r="1831" spans="4:6" x14ac:dyDescent="0.25">
      <c r="D1831" s="796"/>
      <c r="F1831">
        <v>1</v>
      </c>
    </row>
    <row r="1832" spans="4:6" x14ac:dyDescent="0.25">
      <c r="D1832" s="796"/>
      <c r="F1832">
        <v>1</v>
      </c>
    </row>
    <row r="1833" spans="4:6" x14ac:dyDescent="0.25">
      <c r="D1833" s="796"/>
      <c r="F1833">
        <v>1</v>
      </c>
    </row>
    <row r="1834" spans="4:6" x14ac:dyDescent="0.25">
      <c r="D1834" s="796"/>
      <c r="F1834">
        <v>1</v>
      </c>
    </row>
    <row r="1835" spans="4:6" x14ac:dyDescent="0.25">
      <c r="D1835" s="796"/>
      <c r="F1835">
        <v>1</v>
      </c>
    </row>
    <row r="1836" spans="4:6" x14ac:dyDescent="0.25">
      <c r="D1836" s="796"/>
      <c r="F1836">
        <v>1</v>
      </c>
    </row>
    <row r="1837" spans="4:6" x14ac:dyDescent="0.25">
      <c r="D1837" s="796"/>
      <c r="F1837">
        <v>1</v>
      </c>
    </row>
    <row r="1838" spans="4:6" x14ac:dyDescent="0.25">
      <c r="D1838" s="796"/>
      <c r="F1838">
        <v>1</v>
      </c>
    </row>
    <row r="1839" spans="4:6" x14ac:dyDescent="0.25">
      <c r="D1839" s="796"/>
      <c r="F1839">
        <v>1</v>
      </c>
    </row>
    <row r="1840" spans="4:6" x14ac:dyDescent="0.25">
      <c r="D1840" s="796"/>
      <c r="F1840">
        <v>1</v>
      </c>
    </row>
    <row r="1841" spans="4:6" x14ac:dyDescent="0.25">
      <c r="D1841" s="796"/>
      <c r="F1841">
        <v>1</v>
      </c>
    </row>
    <row r="1842" spans="4:6" x14ac:dyDescent="0.25">
      <c r="D1842" s="796"/>
      <c r="F1842">
        <v>1</v>
      </c>
    </row>
    <row r="1843" spans="4:6" x14ac:dyDescent="0.25">
      <c r="D1843" s="796"/>
      <c r="F1843">
        <v>1</v>
      </c>
    </row>
    <row r="1844" spans="4:6" x14ac:dyDescent="0.25">
      <c r="D1844" s="796"/>
      <c r="F1844">
        <v>1</v>
      </c>
    </row>
    <row r="1845" spans="4:6" x14ac:dyDescent="0.25">
      <c r="D1845" s="796"/>
      <c r="F1845">
        <v>1</v>
      </c>
    </row>
    <row r="1846" spans="4:6" x14ac:dyDescent="0.25">
      <c r="D1846" s="796"/>
      <c r="F1846">
        <v>1</v>
      </c>
    </row>
    <row r="1847" spans="4:6" x14ac:dyDescent="0.25">
      <c r="D1847" s="796"/>
      <c r="F1847">
        <v>1</v>
      </c>
    </row>
    <row r="1848" spans="4:6" x14ac:dyDescent="0.25">
      <c r="D1848" s="796"/>
      <c r="F1848">
        <v>1</v>
      </c>
    </row>
    <row r="1849" spans="4:6" x14ac:dyDescent="0.25">
      <c r="D1849" s="796"/>
      <c r="F1849">
        <v>1</v>
      </c>
    </row>
    <row r="1850" spans="4:6" x14ac:dyDescent="0.25">
      <c r="D1850" s="796"/>
      <c r="F1850">
        <v>1</v>
      </c>
    </row>
    <row r="1851" spans="4:6" x14ac:dyDescent="0.25">
      <c r="D1851" s="796"/>
      <c r="F1851">
        <v>1</v>
      </c>
    </row>
    <row r="1852" spans="4:6" x14ac:dyDescent="0.25">
      <c r="D1852" s="796"/>
      <c r="F1852">
        <v>1</v>
      </c>
    </row>
    <row r="1853" spans="4:6" x14ac:dyDescent="0.25">
      <c r="D1853" s="796"/>
      <c r="F1853">
        <v>1</v>
      </c>
    </row>
    <row r="1854" spans="4:6" x14ac:dyDescent="0.25">
      <c r="D1854" s="796"/>
      <c r="F1854">
        <v>1</v>
      </c>
    </row>
    <row r="1855" spans="4:6" x14ac:dyDescent="0.25">
      <c r="D1855" s="796"/>
      <c r="F1855">
        <v>1</v>
      </c>
    </row>
    <row r="1856" spans="4:6" x14ac:dyDescent="0.25">
      <c r="D1856" s="796"/>
      <c r="F1856">
        <v>1</v>
      </c>
    </row>
    <row r="1857" spans="4:6" x14ac:dyDescent="0.25">
      <c r="D1857" s="796"/>
      <c r="F1857">
        <v>1</v>
      </c>
    </row>
    <row r="1858" spans="4:6" x14ac:dyDescent="0.25">
      <c r="D1858" s="796"/>
      <c r="F1858">
        <v>1</v>
      </c>
    </row>
    <row r="1859" spans="4:6" x14ac:dyDescent="0.25">
      <c r="D1859" s="796"/>
      <c r="F1859">
        <v>1</v>
      </c>
    </row>
    <row r="1860" spans="4:6" x14ac:dyDescent="0.25">
      <c r="D1860" s="796"/>
      <c r="F1860">
        <v>1</v>
      </c>
    </row>
    <row r="1861" spans="4:6" x14ac:dyDescent="0.25">
      <c r="D1861" s="796"/>
      <c r="F1861">
        <v>1</v>
      </c>
    </row>
    <row r="1862" spans="4:6" x14ac:dyDescent="0.25">
      <c r="D1862" s="796"/>
      <c r="F1862">
        <v>1</v>
      </c>
    </row>
    <row r="1863" spans="4:6" x14ac:dyDescent="0.25">
      <c r="D1863" s="796"/>
      <c r="F1863">
        <v>1</v>
      </c>
    </row>
    <row r="1864" spans="4:6" x14ac:dyDescent="0.25">
      <c r="D1864" s="796"/>
      <c r="F1864">
        <v>1</v>
      </c>
    </row>
    <row r="1865" spans="4:6" x14ac:dyDescent="0.25">
      <c r="D1865" s="796"/>
      <c r="F1865">
        <v>1</v>
      </c>
    </row>
    <row r="1866" spans="4:6" x14ac:dyDescent="0.25">
      <c r="D1866" s="796"/>
      <c r="F1866">
        <v>1</v>
      </c>
    </row>
    <row r="1867" spans="4:6" x14ac:dyDescent="0.25">
      <c r="D1867" s="796"/>
      <c r="F1867">
        <v>1</v>
      </c>
    </row>
    <row r="1868" spans="4:6" x14ac:dyDescent="0.25">
      <c r="D1868" s="796"/>
      <c r="F1868">
        <v>1</v>
      </c>
    </row>
    <row r="1869" spans="4:6" x14ac:dyDescent="0.25">
      <c r="D1869" s="796"/>
      <c r="F1869">
        <v>1</v>
      </c>
    </row>
    <row r="1870" spans="4:6" x14ac:dyDescent="0.25">
      <c r="D1870" s="796"/>
      <c r="F1870">
        <v>1</v>
      </c>
    </row>
    <row r="1871" spans="4:6" x14ac:dyDescent="0.25">
      <c r="D1871" s="796"/>
      <c r="F1871">
        <v>1</v>
      </c>
    </row>
    <row r="1872" spans="4:6" x14ac:dyDescent="0.25">
      <c r="D1872" s="796"/>
      <c r="F1872">
        <v>1</v>
      </c>
    </row>
    <row r="1873" spans="4:6" x14ac:dyDescent="0.25">
      <c r="D1873" s="796"/>
      <c r="F1873">
        <v>1</v>
      </c>
    </row>
    <row r="1874" spans="4:6" x14ac:dyDescent="0.25">
      <c r="D1874" s="796"/>
      <c r="F1874">
        <v>1</v>
      </c>
    </row>
    <row r="1875" spans="4:6" x14ac:dyDescent="0.25">
      <c r="D1875" s="796"/>
      <c r="F1875">
        <v>1</v>
      </c>
    </row>
    <row r="1876" spans="4:6" x14ac:dyDescent="0.25">
      <c r="D1876" s="796"/>
      <c r="F1876">
        <v>1</v>
      </c>
    </row>
    <row r="1877" spans="4:6" x14ac:dyDescent="0.25">
      <c r="D1877" s="796"/>
      <c r="F1877">
        <v>1</v>
      </c>
    </row>
    <row r="1878" spans="4:6" x14ac:dyDescent="0.25">
      <c r="D1878" s="796"/>
      <c r="F1878">
        <v>1</v>
      </c>
    </row>
    <row r="1879" spans="4:6" x14ac:dyDescent="0.25">
      <c r="D1879" s="796"/>
      <c r="F1879">
        <v>1</v>
      </c>
    </row>
    <row r="1880" spans="4:6" x14ac:dyDescent="0.25">
      <c r="D1880" s="796"/>
      <c r="F1880">
        <v>1</v>
      </c>
    </row>
    <row r="1881" spans="4:6" x14ac:dyDescent="0.25">
      <c r="D1881" s="796"/>
      <c r="F1881">
        <v>1</v>
      </c>
    </row>
    <row r="1882" spans="4:6" x14ac:dyDescent="0.25">
      <c r="D1882" s="796"/>
      <c r="F1882">
        <v>1</v>
      </c>
    </row>
    <row r="1883" spans="4:6" x14ac:dyDescent="0.25">
      <c r="D1883" s="796"/>
      <c r="F1883">
        <v>1</v>
      </c>
    </row>
    <row r="1884" spans="4:6" x14ac:dyDescent="0.25">
      <c r="D1884" s="796"/>
      <c r="F1884">
        <v>1</v>
      </c>
    </row>
    <row r="1885" spans="4:6" x14ac:dyDescent="0.25">
      <c r="D1885" s="796"/>
      <c r="F1885">
        <v>1</v>
      </c>
    </row>
    <row r="1886" spans="4:6" x14ac:dyDescent="0.25">
      <c r="D1886" s="796"/>
      <c r="F1886">
        <v>1</v>
      </c>
    </row>
    <row r="1887" spans="4:6" x14ac:dyDescent="0.25">
      <c r="D1887" s="796"/>
      <c r="F1887">
        <v>1</v>
      </c>
    </row>
    <row r="1888" spans="4:6" x14ac:dyDescent="0.25">
      <c r="D1888" s="796"/>
      <c r="F1888">
        <v>1</v>
      </c>
    </row>
    <row r="1889" spans="4:6" x14ac:dyDescent="0.25">
      <c r="D1889" s="796"/>
      <c r="F1889">
        <v>1</v>
      </c>
    </row>
    <row r="1890" spans="4:6" x14ac:dyDescent="0.25">
      <c r="D1890" s="796"/>
      <c r="F1890">
        <v>1</v>
      </c>
    </row>
    <row r="1891" spans="4:6" x14ac:dyDescent="0.25">
      <c r="D1891" s="796"/>
      <c r="F1891">
        <v>1</v>
      </c>
    </row>
    <row r="1892" spans="4:6" x14ac:dyDescent="0.25">
      <c r="D1892" s="796"/>
      <c r="F1892">
        <v>1</v>
      </c>
    </row>
    <row r="1893" spans="4:6" x14ac:dyDescent="0.25">
      <c r="D1893" s="796"/>
      <c r="F1893">
        <v>1</v>
      </c>
    </row>
    <row r="1894" spans="4:6" x14ac:dyDescent="0.25">
      <c r="D1894" s="796"/>
      <c r="F1894">
        <v>1</v>
      </c>
    </row>
    <row r="1895" spans="4:6" x14ac:dyDescent="0.25">
      <c r="D1895" s="796"/>
      <c r="F1895">
        <v>1</v>
      </c>
    </row>
    <row r="1896" spans="4:6" x14ac:dyDescent="0.25">
      <c r="D1896" s="796"/>
      <c r="F1896">
        <v>1</v>
      </c>
    </row>
    <row r="1897" spans="4:6" x14ac:dyDescent="0.25">
      <c r="D1897" s="796"/>
      <c r="F1897">
        <v>1</v>
      </c>
    </row>
    <row r="1898" spans="4:6" x14ac:dyDescent="0.25">
      <c r="D1898" s="796"/>
      <c r="F1898">
        <v>1</v>
      </c>
    </row>
    <row r="1899" spans="4:6" x14ac:dyDescent="0.25">
      <c r="D1899" s="796"/>
      <c r="F1899">
        <v>1</v>
      </c>
    </row>
    <row r="1900" spans="4:6" x14ac:dyDescent="0.25">
      <c r="D1900" s="796"/>
      <c r="F1900">
        <v>1</v>
      </c>
    </row>
    <row r="1901" spans="4:6" x14ac:dyDescent="0.25">
      <c r="D1901" s="796"/>
      <c r="F1901">
        <v>1</v>
      </c>
    </row>
    <row r="1902" spans="4:6" x14ac:dyDescent="0.25">
      <c r="D1902" s="796"/>
      <c r="F1902">
        <v>1</v>
      </c>
    </row>
    <row r="1903" spans="4:6" x14ac:dyDescent="0.25">
      <c r="D1903" s="796"/>
      <c r="F1903">
        <v>1</v>
      </c>
    </row>
    <row r="1904" spans="4:6" x14ac:dyDescent="0.25">
      <c r="D1904" s="796"/>
      <c r="F1904">
        <v>1</v>
      </c>
    </row>
    <row r="1905" spans="4:6" x14ac:dyDescent="0.25">
      <c r="D1905" s="796"/>
      <c r="F1905">
        <v>1</v>
      </c>
    </row>
    <row r="1906" spans="4:6" x14ac:dyDescent="0.25">
      <c r="D1906" s="796"/>
      <c r="F1906">
        <v>1</v>
      </c>
    </row>
    <row r="1907" spans="4:6" x14ac:dyDescent="0.25">
      <c r="D1907" s="796"/>
      <c r="F1907">
        <v>1</v>
      </c>
    </row>
    <row r="1908" spans="4:6" x14ac:dyDescent="0.25">
      <c r="D1908" s="796"/>
      <c r="F1908">
        <v>1</v>
      </c>
    </row>
    <row r="1909" spans="4:6" x14ac:dyDescent="0.25">
      <c r="D1909" s="796"/>
      <c r="F1909">
        <v>1</v>
      </c>
    </row>
    <row r="1910" spans="4:6" x14ac:dyDescent="0.25">
      <c r="D1910" s="796"/>
      <c r="F1910">
        <v>1</v>
      </c>
    </row>
    <row r="1911" spans="4:6" x14ac:dyDescent="0.25">
      <c r="D1911" s="796"/>
      <c r="F1911">
        <v>1</v>
      </c>
    </row>
    <row r="1912" spans="4:6" x14ac:dyDescent="0.25">
      <c r="D1912" s="796"/>
      <c r="F1912">
        <v>1</v>
      </c>
    </row>
    <row r="1913" spans="4:6" x14ac:dyDescent="0.25">
      <c r="D1913" s="796"/>
      <c r="F1913">
        <v>1</v>
      </c>
    </row>
    <row r="1914" spans="4:6" x14ac:dyDescent="0.25">
      <c r="D1914" s="796"/>
      <c r="F1914">
        <v>1</v>
      </c>
    </row>
    <row r="1915" spans="4:6" x14ac:dyDescent="0.25">
      <c r="D1915" s="796"/>
      <c r="F1915">
        <v>1</v>
      </c>
    </row>
    <row r="1916" spans="4:6" x14ac:dyDescent="0.25">
      <c r="D1916" s="796"/>
      <c r="F1916">
        <v>1</v>
      </c>
    </row>
    <row r="1917" spans="4:6" x14ac:dyDescent="0.25">
      <c r="D1917" s="796"/>
      <c r="F1917">
        <v>1</v>
      </c>
    </row>
    <row r="1918" spans="4:6" x14ac:dyDescent="0.25">
      <c r="D1918" s="796"/>
      <c r="F1918">
        <v>1</v>
      </c>
    </row>
    <row r="1919" spans="4:6" x14ac:dyDescent="0.25">
      <c r="D1919" s="796"/>
      <c r="F1919">
        <v>1</v>
      </c>
    </row>
    <row r="1920" spans="4:6" x14ac:dyDescent="0.25">
      <c r="D1920" s="796"/>
      <c r="F1920">
        <v>1</v>
      </c>
    </row>
    <row r="1921" spans="4:6" x14ac:dyDescent="0.25">
      <c r="D1921" s="796"/>
      <c r="F1921">
        <v>1</v>
      </c>
    </row>
    <row r="1922" spans="4:6" x14ac:dyDescent="0.25">
      <c r="D1922" s="796"/>
      <c r="F1922">
        <v>1</v>
      </c>
    </row>
    <row r="1923" spans="4:6" x14ac:dyDescent="0.25">
      <c r="D1923" s="796"/>
      <c r="F1923">
        <v>1</v>
      </c>
    </row>
    <row r="1924" spans="4:6" x14ac:dyDescent="0.25">
      <c r="D1924" s="796"/>
      <c r="F1924">
        <v>1</v>
      </c>
    </row>
    <row r="1925" spans="4:6" x14ac:dyDescent="0.25">
      <c r="D1925" s="796"/>
      <c r="F1925">
        <v>1</v>
      </c>
    </row>
    <row r="1926" spans="4:6" x14ac:dyDescent="0.25">
      <c r="D1926" s="796"/>
      <c r="F1926">
        <v>1</v>
      </c>
    </row>
    <row r="1927" spans="4:6" x14ac:dyDescent="0.25">
      <c r="D1927" s="796"/>
      <c r="F1927">
        <v>1</v>
      </c>
    </row>
    <row r="1928" spans="4:6" x14ac:dyDescent="0.25">
      <c r="D1928" s="796"/>
      <c r="F1928">
        <v>1</v>
      </c>
    </row>
    <row r="1929" spans="4:6" x14ac:dyDescent="0.25">
      <c r="D1929" s="796"/>
      <c r="F1929">
        <v>1</v>
      </c>
    </row>
    <row r="1930" spans="4:6" x14ac:dyDescent="0.25">
      <c r="D1930" s="796"/>
      <c r="F1930">
        <v>1</v>
      </c>
    </row>
    <row r="1931" spans="4:6" x14ac:dyDescent="0.25">
      <c r="D1931" s="796"/>
      <c r="F1931">
        <v>1</v>
      </c>
    </row>
    <row r="1932" spans="4:6" x14ac:dyDescent="0.25">
      <c r="D1932" s="796"/>
      <c r="F1932">
        <v>1</v>
      </c>
    </row>
    <row r="1933" spans="4:6" x14ac:dyDescent="0.25">
      <c r="D1933" s="796"/>
      <c r="F1933">
        <v>1</v>
      </c>
    </row>
    <row r="1934" spans="4:6" x14ac:dyDescent="0.25">
      <c r="D1934" s="796"/>
      <c r="F1934">
        <v>1</v>
      </c>
    </row>
    <row r="1935" spans="4:6" x14ac:dyDescent="0.25">
      <c r="D1935" s="796"/>
      <c r="F1935">
        <v>1</v>
      </c>
    </row>
    <row r="1936" spans="4:6" x14ac:dyDescent="0.25">
      <c r="D1936" s="796"/>
      <c r="F1936">
        <v>1</v>
      </c>
    </row>
    <row r="1937" spans="4:6" x14ac:dyDescent="0.25">
      <c r="D1937" s="796"/>
      <c r="F1937">
        <v>1</v>
      </c>
    </row>
    <row r="1938" spans="4:6" x14ac:dyDescent="0.25">
      <c r="D1938" s="796"/>
      <c r="F1938">
        <v>1</v>
      </c>
    </row>
    <row r="1939" spans="4:6" x14ac:dyDescent="0.25">
      <c r="D1939" s="796"/>
      <c r="F1939">
        <v>1</v>
      </c>
    </row>
    <row r="1940" spans="4:6" x14ac:dyDescent="0.25">
      <c r="D1940" s="796"/>
      <c r="F1940">
        <v>1</v>
      </c>
    </row>
    <row r="1941" spans="4:6" x14ac:dyDescent="0.25">
      <c r="D1941" s="796"/>
      <c r="F1941">
        <v>1</v>
      </c>
    </row>
    <row r="1942" spans="4:6" x14ac:dyDescent="0.25">
      <c r="D1942" s="796"/>
      <c r="F1942">
        <v>1</v>
      </c>
    </row>
    <row r="1943" spans="4:6" x14ac:dyDescent="0.25">
      <c r="D1943" s="796"/>
      <c r="F1943">
        <v>1</v>
      </c>
    </row>
    <row r="1944" spans="4:6" x14ac:dyDescent="0.25">
      <c r="D1944" s="796"/>
      <c r="F1944">
        <v>1</v>
      </c>
    </row>
    <row r="1945" spans="4:6" x14ac:dyDescent="0.25">
      <c r="D1945" s="796"/>
      <c r="F1945">
        <v>1</v>
      </c>
    </row>
    <row r="1946" spans="4:6" x14ac:dyDescent="0.25">
      <c r="D1946" s="796"/>
      <c r="F1946">
        <v>1</v>
      </c>
    </row>
    <row r="1947" spans="4:6" x14ac:dyDescent="0.25">
      <c r="D1947" s="796"/>
      <c r="F1947">
        <v>1</v>
      </c>
    </row>
    <row r="1948" spans="4:6" x14ac:dyDescent="0.25">
      <c r="D1948" s="796"/>
      <c r="F1948">
        <v>1</v>
      </c>
    </row>
    <row r="1949" spans="4:6" x14ac:dyDescent="0.25">
      <c r="D1949" s="796"/>
      <c r="F1949">
        <v>1</v>
      </c>
    </row>
    <row r="1950" spans="4:6" x14ac:dyDescent="0.25">
      <c r="D1950" s="796"/>
      <c r="F1950">
        <v>1</v>
      </c>
    </row>
    <row r="1951" spans="4:6" x14ac:dyDescent="0.25">
      <c r="D1951" s="796"/>
      <c r="F1951">
        <v>1</v>
      </c>
    </row>
    <row r="1952" spans="4:6" x14ac:dyDescent="0.25">
      <c r="D1952" s="796"/>
      <c r="F1952">
        <v>1</v>
      </c>
    </row>
    <row r="1953" spans="4:6" x14ac:dyDescent="0.25">
      <c r="D1953" s="796"/>
      <c r="F1953">
        <v>1</v>
      </c>
    </row>
    <row r="1954" spans="4:6" x14ac:dyDescent="0.25">
      <c r="D1954" s="796"/>
      <c r="F1954">
        <v>1</v>
      </c>
    </row>
    <row r="1955" spans="4:6" x14ac:dyDescent="0.25">
      <c r="D1955" s="796"/>
      <c r="F1955">
        <v>1</v>
      </c>
    </row>
    <row r="1956" spans="4:6" x14ac:dyDescent="0.25">
      <c r="D1956" s="796"/>
      <c r="F1956">
        <v>1</v>
      </c>
    </row>
    <row r="1957" spans="4:6" x14ac:dyDescent="0.25">
      <c r="D1957" s="796"/>
      <c r="F1957">
        <v>1</v>
      </c>
    </row>
    <row r="1958" spans="4:6" x14ac:dyDescent="0.25">
      <c r="D1958" s="796"/>
      <c r="F1958">
        <v>1</v>
      </c>
    </row>
    <row r="1959" spans="4:6" x14ac:dyDescent="0.25">
      <c r="D1959" s="796"/>
      <c r="F1959">
        <v>1</v>
      </c>
    </row>
    <row r="1960" spans="4:6" x14ac:dyDescent="0.25">
      <c r="D1960" s="796"/>
      <c r="F1960">
        <v>1</v>
      </c>
    </row>
    <row r="1961" spans="4:6" x14ac:dyDescent="0.25">
      <c r="D1961" s="796"/>
      <c r="F1961">
        <v>1</v>
      </c>
    </row>
    <row r="1962" spans="4:6" x14ac:dyDescent="0.25">
      <c r="D1962" s="796"/>
      <c r="F1962">
        <v>1</v>
      </c>
    </row>
    <row r="1963" spans="4:6" x14ac:dyDescent="0.25">
      <c r="D1963" s="796"/>
      <c r="F1963">
        <v>1</v>
      </c>
    </row>
    <row r="1964" spans="4:6" x14ac:dyDescent="0.25">
      <c r="D1964" s="796"/>
      <c r="F1964">
        <v>1</v>
      </c>
    </row>
    <row r="1965" spans="4:6" x14ac:dyDescent="0.25">
      <c r="D1965" s="796"/>
      <c r="F1965">
        <v>1</v>
      </c>
    </row>
    <row r="1966" spans="4:6" x14ac:dyDescent="0.25">
      <c r="D1966" s="796"/>
      <c r="F1966">
        <v>1</v>
      </c>
    </row>
    <row r="1967" spans="4:6" x14ac:dyDescent="0.25">
      <c r="D1967" s="796"/>
      <c r="F1967">
        <v>1</v>
      </c>
    </row>
    <row r="1968" spans="4:6" x14ac:dyDescent="0.25">
      <c r="D1968" s="796"/>
      <c r="F1968">
        <v>1</v>
      </c>
    </row>
    <row r="1969" spans="4:6" x14ac:dyDescent="0.25">
      <c r="D1969" s="796"/>
      <c r="F1969">
        <v>1</v>
      </c>
    </row>
    <row r="1970" spans="4:6" x14ac:dyDescent="0.25">
      <c r="D1970" s="796"/>
      <c r="F1970">
        <v>1</v>
      </c>
    </row>
    <row r="1971" spans="4:6" x14ac:dyDescent="0.25">
      <c r="D1971" s="796"/>
      <c r="F1971">
        <v>1</v>
      </c>
    </row>
    <row r="1972" spans="4:6" x14ac:dyDescent="0.25">
      <c r="D1972" s="796"/>
      <c r="F1972">
        <v>1</v>
      </c>
    </row>
    <row r="1973" spans="4:6" x14ac:dyDescent="0.25">
      <c r="D1973" s="796"/>
      <c r="F1973">
        <v>1</v>
      </c>
    </row>
    <row r="1974" spans="4:6" x14ac:dyDescent="0.25">
      <c r="D1974" s="796"/>
      <c r="F1974">
        <v>1</v>
      </c>
    </row>
    <row r="1975" spans="4:6" x14ac:dyDescent="0.25">
      <c r="D1975" s="796"/>
      <c r="F1975">
        <v>1</v>
      </c>
    </row>
    <row r="1976" spans="4:6" x14ac:dyDescent="0.25">
      <c r="D1976" s="796"/>
      <c r="F1976">
        <v>1</v>
      </c>
    </row>
    <row r="1977" spans="4:6" x14ac:dyDescent="0.25">
      <c r="D1977" s="796"/>
      <c r="F1977">
        <v>1</v>
      </c>
    </row>
    <row r="1978" spans="4:6" x14ac:dyDescent="0.25">
      <c r="D1978" s="796"/>
      <c r="F1978">
        <v>1</v>
      </c>
    </row>
    <row r="1979" spans="4:6" x14ac:dyDescent="0.25">
      <c r="D1979" s="796"/>
      <c r="F1979">
        <v>1</v>
      </c>
    </row>
    <row r="1980" spans="4:6" x14ac:dyDescent="0.25">
      <c r="D1980" s="796"/>
      <c r="F1980">
        <v>1</v>
      </c>
    </row>
    <row r="1981" spans="4:6" x14ac:dyDescent="0.25">
      <c r="D1981" s="796"/>
      <c r="F1981">
        <v>1</v>
      </c>
    </row>
    <row r="1982" spans="4:6" x14ac:dyDescent="0.25">
      <c r="D1982" s="796"/>
      <c r="F1982">
        <v>1</v>
      </c>
    </row>
    <row r="1983" spans="4:6" x14ac:dyDescent="0.25">
      <c r="D1983" s="796"/>
      <c r="F1983">
        <v>1</v>
      </c>
    </row>
    <row r="1984" spans="4:6" x14ac:dyDescent="0.25">
      <c r="D1984" s="796"/>
      <c r="F1984">
        <v>1</v>
      </c>
    </row>
    <row r="1985" spans="4:6" x14ac:dyDescent="0.25">
      <c r="D1985" s="796"/>
      <c r="F1985">
        <v>1</v>
      </c>
    </row>
    <row r="1986" spans="4:6" x14ac:dyDescent="0.25">
      <c r="D1986" s="796"/>
      <c r="F1986">
        <v>1</v>
      </c>
    </row>
    <row r="1987" spans="4:6" x14ac:dyDescent="0.25">
      <c r="D1987" s="796"/>
      <c r="F1987">
        <v>1</v>
      </c>
    </row>
    <row r="1988" spans="4:6" x14ac:dyDescent="0.25">
      <c r="D1988" s="796"/>
      <c r="F1988">
        <v>1</v>
      </c>
    </row>
    <row r="1989" spans="4:6" x14ac:dyDescent="0.25">
      <c r="D1989" s="796"/>
      <c r="F1989">
        <v>1</v>
      </c>
    </row>
    <row r="1990" spans="4:6" x14ac:dyDescent="0.25">
      <c r="D1990" s="796"/>
      <c r="F1990">
        <v>1</v>
      </c>
    </row>
    <row r="1991" spans="4:6" x14ac:dyDescent="0.25">
      <c r="D1991" s="796"/>
      <c r="F1991">
        <v>1</v>
      </c>
    </row>
    <row r="1992" spans="4:6" x14ac:dyDescent="0.25">
      <c r="D1992" s="796"/>
      <c r="F1992">
        <v>1</v>
      </c>
    </row>
    <row r="1993" spans="4:6" x14ac:dyDescent="0.25">
      <c r="D1993" s="796"/>
      <c r="F1993">
        <v>1</v>
      </c>
    </row>
    <row r="1994" spans="4:6" x14ac:dyDescent="0.25">
      <c r="D1994" s="796"/>
      <c r="F1994">
        <v>1</v>
      </c>
    </row>
    <row r="1995" spans="4:6" x14ac:dyDescent="0.25">
      <c r="D1995" s="796"/>
      <c r="F1995">
        <v>1</v>
      </c>
    </row>
    <row r="1996" spans="4:6" x14ac:dyDescent="0.25">
      <c r="D1996" s="796"/>
      <c r="F1996">
        <v>1</v>
      </c>
    </row>
    <row r="1997" spans="4:6" x14ac:dyDescent="0.25">
      <c r="D1997" s="796"/>
      <c r="F1997">
        <v>1</v>
      </c>
    </row>
    <row r="1998" spans="4:6" x14ac:dyDescent="0.25">
      <c r="D1998" s="796"/>
      <c r="F1998">
        <v>1</v>
      </c>
    </row>
    <row r="1999" spans="4:6" x14ac:dyDescent="0.25">
      <c r="D1999" s="796"/>
      <c r="F1999">
        <v>1</v>
      </c>
    </row>
    <row r="2000" spans="4:6" x14ac:dyDescent="0.25">
      <c r="D2000" s="796"/>
      <c r="F2000">
        <v>1</v>
      </c>
    </row>
    <row r="2001" spans="4:6" x14ac:dyDescent="0.25">
      <c r="D2001" s="796"/>
      <c r="F2001">
        <v>1</v>
      </c>
    </row>
    <row r="2002" spans="4:6" x14ac:dyDescent="0.25">
      <c r="D2002" s="796"/>
      <c r="F2002">
        <v>1</v>
      </c>
    </row>
    <row r="2003" spans="4:6" x14ac:dyDescent="0.25">
      <c r="D2003" s="796"/>
      <c r="F2003">
        <v>1</v>
      </c>
    </row>
    <row r="2004" spans="4:6" x14ac:dyDescent="0.25">
      <c r="D2004" s="796"/>
      <c r="F2004">
        <v>1</v>
      </c>
    </row>
    <row r="2005" spans="4:6" x14ac:dyDescent="0.25">
      <c r="D2005" s="796"/>
      <c r="F2005">
        <v>1</v>
      </c>
    </row>
    <row r="2006" spans="4:6" x14ac:dyDescent="0.25">
      <c r="D2006" s="796"/>
      <c r="F2006">
        <v>1</v>
      </c>
    </row>
    <row r="2007" spans="4:6" x14ac:dyDescent="0.25">
      <c r="D2007" s="796"/>
      <c r="F2007">
        <v>1</v>
      </c>
    </row>
    <row r="2008" spans="4:6" x14ac:dyDescent="0.25">
      <c r="D2008" s="796"/>
      <c r="F2008">
        <v>1</v>
      </c>
    </row>
    <row r="2009" spans="4:6" x14ac:dyDescent="0.25">
      <c r="D2009" s="796"/>
      <c r="F2009">
        <v>1</v>
      </c>
    </row>
    <row r="2010" spans="4:6" x14ac:dyDescent="0.25">
      <c r="D2010" s="796"/>
      <c r="F2010">
        <v>1</v>
      </c>
    </row>
    <row r="2011" spans="4:6" x14ac:dyDescent="0.25">
      <c r="D2011" s="796"/>
      <c r="F2011">
        <v>1</v>
      </c>
    </row>
    <row r="2012" spans="4:6" x14ac:dyDescent="0.25">
      <c r="D2012" s="796"/>
      <c r="F2012">
        <v>1</v>
      </c>
    </row>
    <row r="2013" spans="4:6" x14ac:dyDescent="0.25">
      <c r="D2013" s="796"/>
      <c r="F2013">
        <v>1</v>
      </c>
    </row>
    <row r="2014" spans="4:6" x14ac:dyDescent="0.25">
      <c r="D2014" s="796"/>
      <c r="F2014">
        <v>1</v>
      </c>
    </row>
    <row r="2015" spans="4:6" x14ac:dyDescent="0.25">
      <c r="D2015" s="796"/>
      <c r="F2015">
        <v>1</v>
      </c>
    </row>
    <row r="2016" spans="4:6" x14ac:dyDescent="0.25">
      <c r="D2016" s="796"/>
      <c r="F2016">
        <v>1</v>
      </c>
    </row>
    <row r="2017" spans="4:6" x14ac:dyDescent="0.25">
      <c r="D2017" s="796"/>
      <c r="F2017">
        <v>1</v>
      </c>
    </row>
    <row r="2018" spans="4:6" x14ac:dyDescent="0.25">
      <c r="D2018" s="796"/>
      <c r="F2018">
        <v>1</v>
      </c>
    </row>
    <row r="2019" spans="4:6" x14ac:dyDescent="0.25">
      <c r="D2019" s="796"/>
      <c r="F2019">
        <v>1</v>
      </c>
    </row>
    <row r="2020" spans="4:6" x14ac:dyDescent="0.25">
      <c r="D2020" s="796"/>
      <c r="F2020">
        <v>1</v>
      </c>
    </row>
    <row r="2021" spans="4:6" x14ac:dyDescent="0.25">
      <c r="D2021" s="796"/>
      <c r="F2021">
        <v>1</v>
      </c>
    </row>
    <row r="2022" spans="4:6" x14ac:dyDescent="0.25">
      <c r="D2022" s="796"/>
      <c r="F2022">
        <v>1</v>
      </c>
    </row>
    <row r="2023" spans="4:6" x14ac:dyDescent="0.25">
      <c r="D2023" s="796"/>
      <c r="F2023">
        <v>1</v>
      </c>
    </row>
    <row r="2024" spans="4:6" x14ac:dyDescent="0.25">
      <c r="D2024" s="796"/>
      <c r="F2024">
        <v>1</v>
      </c>
    </row>
    <row r="2025" spans="4:6" x14ac:dyDescent="0.25">
      <c r="D2025" s="796"/>
      <c r="F2025">
        <v>1</v>
      </c>
    </row>
    <row r="2026" spans="4:6" x14ac:dyDescent="0.25">
      <c r="D2026" s="796"/>
      <c r="F2026">
        <v>1</v>
      </c>
    </row>
    <row r="2027" spans="4:6" x14ac:dyDescent="0.25">
      <c r="D2027" s="796"/>
      <c r="F2027">
        <v>1</v>
      </c>
    </row>
    <row r="2028" spans="4:6" x14ac:dyDescent="0.25">
      <c r="D2028" s="796"/>
      <c r="F2028">
        <v>1</v>
      </c>
    </row>
    <row r="2029" spans="4:6" x14ac:dyDescent="0.25">
      <c r="D2029" s="796"/>
      <c r="F2029">
        <v>1</v>
      </c>
    </row>
    <row r="2030" spans="4:6" x14ac:dyDescent="0.25">
      <c r="D2030" s="796"/>
      <c r="F2030">
        <v>1</v>
      </c>
    </row>
    <row r="2031" spans="4:6" x14ac:dyDescent="0.25">
      <c r="D2031" s="796"/>
      <c r="F2031">
        <v>1</v>
      </c>
    </row>
    <row r="2032" spans="4:6" x14ac:dyDescent="0.25">
      <c r="D2032" s="796"/>
      <c r="F2032">
        <v>1</v>
      </c>
    </row>
    <row r="2033" spans="4:6" x14ac:dyDescent="0.25">
      <c r="D2033" s="796"/>
      <c r="F2033">
        <v>1</v>
      </c>
    </row>
    <row r="2034" spans="4:6" x14ac:dyDescent="0.25">
      <c r="D2034" s="796"/>
      <c r="F2034">
        <v>1</v>
      </c>
    </row>
    <row r="2035" spans="4:6" x14ac:dyDescent="0.25">
      <c r="D2035" s="796"/>
      <c r="F2035">
        <v>1</v>
      </c>
    </row>
    <row r="2036" spans="4:6" x14ac:dyDescent="0.25">
      <c r="D2036" s="796"/>
      <c r="F2036">
        <v>1</v>
      </c>
    </row>
    <row r="2037" spans="4:6" x14ac:dyDescent="0.25">
      <c r="D2037" s="796"/>
      <c r="F2037">
        <v>1</v>
      </c>
    </row>
    <row r="2038" spans="4:6" x14ac:dyDescent="0.25">
      <c r="D2038" s="796"/>
      <c r="F2038">
        <v>1</v>
      </c>
    </row>
    <row r="2039" spans="4:6" x14ac:dyDescent="0.25">
      <c r="D2039" s="796"/>
      <c r="F2039">
        <v>1</v>
      </c>
    </row>
    <row r="2040" spans="4:6" x14ac:dyDescent="0.25">
      <c r="D2040" s="796"/>
      <c r="F2040">
        <v>1</v>
      </c>
    </row>
    <row r="2041" spans="4:6" x14ac:dyDescent="0.25">
      <c r="D2041" s="796"/>
      <c r="F2041">
        <v>1</v>
      </c>
    </row>
    <row r="2042" spans="4:6" x14ac:dyDescent="0.25">
      <c r="D2042" s="796"/>
      <c r="F2042">
        <v>1</v>
      </c>
    </row>
    <row r="2043" spans="4:6" x14ac:dyDescent="0.25">
      <c r="D2043" s="796"/>
      <c r="F2043">
        <v>1</v>
      </c>
    </row>
    <row r="2044" spans="4:6" x14ac:dyDescent="0.25">
      <c r="D2044" s="796"/>
      <c r="F2044">
        <v>1</v>
      </c>
    </row>
    <row r="2045" spans="4:6" x14ac:dyDescent="0.25">
      <c r="D2045" s="796"/>
      <c r="F2045">
        <v>1</v>
      </c>
    </row>
    <row r="2046" spans="4:6" x14ac:dyDescent="0.25">
      <c r="D2046" s="796"/>
      <c r="F2046">
        <v>1</v>
      </c>
    </row>
    <row r="2047" spans="4:6" x14ac:dyDescent="0.25">
      <c r="D2047" s="796"/>
      <c r="F2047">
        <v>1</v>
      </c>
    </row>
    <row r="2048" spans="4:6" x14ac:dyDescent="0.25">
      <c r="D2048" s="796"/>
      <c r="F2048">
        <v>1</v>
      </c>
    </row>
    <row r="2049" spans="4:6" x14ac:dyDescent="0.25">
      <c r="D2049" s="796"/>
      <c r="F2049">
        <v>1</v>
      </c>
    </row>
    <row r="2050" spans="4:6" x14ac:dyDescent="0.25">
      <c r="D2050" s="796"/>
      <c r="F2050">
        <v>1</v>
      </c>
    </row>
    <row r="2051" spans="4:6" x14ac:dyDescent="0.25">
      <c r="D2051" s="796"/>
      <c r="F2051">
        <v>1</v>
      </c>
    </row>
    <row r="2052" spans="4:6" x14ac:dyDescent="0.25">
      <c r="D2052" s="796"/>
      <c r="F2052">
        <v>1</v>
      </c>
    </row>
    <row r="2053" spans="4:6" x14ac:dyDescent="0.25">
      <c r="D2053" s="796"/>
      <c r="F2053">
        <v>1</v>
      </c>
    </row>
    <row r="2054" spans="4:6" x14ac:dyDescent="0.25">
      <c r="D2054" s="796"/>
      <c r="F2054">
        <v>1</v>
      </c>
    </row>
    <row r="2055" spans="4:6" x14ac:dyDescent="0.25">
      <c r="D2055" s="796"/>
      <c r="F2055">
        <v>1</v>
      </c>
    </row>
    <row r="2056" spans="4:6" x14ac:dyDescent="0.25">
      <c r="D2056" s="796"/>
      <c r="F2056">
        <v>1</v>
      </c>
    </row>
    <row r="2057" spans="4:6" x14ac:dyDescent="0.25">
      <c r="D2057" s="796"/>
      <c r="F2057">
        <v>1</v>
      </c>
    </row>
    <row r="2058" spans="4:6" x14ac:dyDescent="0.25">
      <c r="D2058" s="796"/>
      <c r="F2058">
        <v>1</v>
      </c>
    </row>
    <row r="2059" spans="4:6" x14ac:dyDescent="0.25">
      <c r="D2059" s="796"/>
      <c r="F2059">
        <v>1</v>
      </c>
    </row>
    <row r="2060" spans="4:6" x14ac:dyDescent="0.25">
      <c r="D2060" s="796"/>
      <c r="F2060">
        <v>1</v>
      </c>
    </row>
    <row r="2061" spans="4:6" x14ac:dyDescent="0.25">
      <c r="D2061" s="796"/>
      <c r="F2061">
        <v>1</v>
      </c>
    </row>
    <row r="2062" spans="4:6" x14ac:dyDescent="0.25">
      <c r="D2062" s="796"/>
      <c r="F2062">
        <v>1</v>
      </c>
    </row>
    <row r="2063" spans="4:6" x14ac:dyDescent="0.25">
      <c r="D2063" s="796"/>
      <c r="F2063">
        <v>1</v>
      </c>
    </row>
    <row r="2064" spans="4:6" x14ac:dyDescent="0.25">
      <c r="D2064" s="796"/>
      <c r="F2064">
        <v>1</v>
      </c>
    </row>
    <row r="2065" spans="4:6" x14ac:dyDescent="0.25">
      <c r="D2065" s="796"/>
      <c r="F2065">
        <v>1</v>
      </c>
    </row>
    <row r="2066" spans="4:6" x14ac:dyDescent="0.25">
      <c r="D2066" s="796"/>
      <c r="F2066">
        <v>1</v>
      </c>
    </row>
    <row r="2067" spans="4:6" x14ac:dyDescent="0.25">
      <c r="D2067" s="796"/>
      <c r="F2067">
        <v>1</v>
      </c>
    </row>
    <row r="2068" spans="4:6" x14ac:dyDescent="0.25">
      <c r="D2068" s="796"/>
      <c r="F2068">
        <v>1</v>
      </c>
    </row>
    <row r="2069" spans="4:6" x14ac:dyDescent="0.25">
      <c r="D2069" s="796"/>
      <c r="F2069">
        <v>1</v>
      </c>
    </row>
    <row r="2070" spans="4:6" x14ac:dyDescent="0.25">
      <c r="D2070" s="796"/>
      <c r="F2070">
        <v>1</v>
      </c>
    </row>
    <row r="2071" spans="4:6" x14ac:dyDescent="0.25">
      <c r="D2071" s="796"/>
      <c r="F2071">
        <v>1</v>
      </c>
    </row>
    <row r="2072" spans="4:6" x14ac:dyDescent="0.25">
      <c r="D2072" s="796"/>
      <c r="F2072">
        <v>1</v>
      </c>
    </row>
    <row r="2073" spans="4:6" x14ac:dyDescent="0.25">
      <c r="D2073" s="796"/>
      <c r="F2073">
        <v>1</v>
      </c>
    </row>
    <row r="2074" spans="4:6" x14ac:dyDescent="0.25">
      <c r="D2074" s="796"/>
      <c r="F2074">
        <v>1</v>
      </c>
    </row>
    <row r="2075" spans="4:6" x14ac:dyDescent="0.25">
      <c r="D2075" s="796"/>
      <c r="F2075">
        <v>1</v>
      </c>
    </row>
    <row r="2076" spans="4:6" x14ac:dyDescent="0.25">
      <c r="D2076" s="796"/>
      <c r="F2076">
        <v>1</v>
      </c>
    </row>
    <row r="2077" spans="4:6" x14ac:dyDescent="0.25">
      <c r="D2077" s="796"/>
      <c r="F2077">
        <v>1</v>
      </c>
    </row>
    <row r="2078" spans="4:6" x14ac:dyDescent="0.25">
      <c r="D2078" s="796"/>
      <c r="F2078">
        <v>1</v>
      </c>
    </row>
    <row r="2079" spans="4:6" x14ac:dyDescent="0.25">
      <c r="D2079" s="796"/>
      <c r="F2079">
        <v>1</v>
      </c>
    </row>
    <row r="2080" spans="4:6" x14ac:dyDescent="0.25">
      <c r="D2080" s="796"/>
      <c r="F2080">
        <v>1</v>
      </c>
    </row>
    <row r="2081" spans="4:6" x14ac:dyDescent="0.25">
      <c r="D2081" s="796"/>
      <c r="F2081">
        <v>1</v>
      </c>
    </row>
    <row r="2082" spans="4:6" x14ac:dyDescent="0.25">
      <c r="D2082" s="796"/>
      <c r="F2082">
        <v>1</v>
      </c>
    </row>
    <row r="2083" spans="4:6" x14ac:dyDescent="0.25">
      <c r="D2083" s="796"/>
      <c r="F2083">
        <v>1</v>
      </c>
    </row>
    <row r="2084" spans="4:6" x14ac:dyDescent="0.25">
      <c r="D2084" s="796"/>
      <c r="F2084">
        <v>1</v>
      </c>
    </row>
    <row r="2085" spans="4:6" x14ac:dyDescent="0.25">
      <c r="D2085" s="796"/>
      <c r="F2085">
        <v>1</v>
      </c>
    </row>
    <row r="2086" spans="4:6" x14ac:dyDescent="0.25">
      <c r="D2086" s="796"/>
      <c r="F2086">
        <v>1</v>
      </c>
    </row>
    <row r="2087" spans="4:6" x14ac:dyDescent="0.25">
      <c r="D2087" s="796"/>
      <c r="F2087">
        <v>1</v>
      </c>
    </row>
    <row r="2088" spans="4:6" x14ac:dyDescent="0.25">
      <c r="D2088" s="796"/>
      <c r="F2088">
        <v>1</v>
      </c>
    </row>
    <row r="2089" spans="4:6" x14ac:dyDescent="0.25">
      <c r="D2089" s="796"/>
      <c r="F2089">
        <v>1</v>
      </c>
    </row>
    <row r="2090" spans="4:6" x14ac:dyDescent="0.25">
      <c r="D2090" s="796"/>
      <c r="F2090">
        <v>1</v>
      </c>
    </row>
    <row r="2091" spans="4:6" x14ac:dyDescent="0.25">
      <c r="D2091" s="796"/>
      <c r="F2091">
        <v>1</v>
      </c>
    </row>
    <row r="2092" spans="4:6" x14ac:dyDescent="0.25">
      <c r="D2092" s="796"/>
      <c r="F2092">
        <v>1</v>
      </c>
    </row>
    <row r="2093" spans="4:6" x14ac:dyDescent="0.25">
      <c r="D2093" s="796"/>
      <c r="F2093">
        <v>1</v>
      </c>
    </row>
    <row r="2094" spans="4:6" x14ac:dyDescent="0.25">
      <c r="D2094" s="796"/>
      <c r="F2094">
        <v>1</v>
      </c>
    </row>
    <row r="2095" spans="4:6" x14ac:dyDescent="0.25">
      <c r="D2095" s="796"/>
      <c r="F2095">
        <v>1</v>
      </c>
    </row>
    <row r="2096" spans="4:6" x14ac:dyDescent="0.25">
      <c r="D2096" s="796"/>
      <c r="F2096">
        <v>1</v>
      </c>
    </row>
    <row r="2097" spans="4:6" x14ac:dyDescent="0.25">
      <c r="D2097" s="796"/>
      <c r="F2097">
        <v>1</v>
      </c>
    </row>
    <row r="2098" spans="4:6" x14ac:dyDescent="0.25">
      <c r="D2098" s="796"/>
      <c r="F2098">
        <v>1</v>
      </c>
    </row>
    <row r="2099" spans="4:6" x14ac:dyDescent="0.25">
      <c r="D2099" s="796"/>
      <c r="F2099">
        <v>1</v>
      </c>
    </row>
    <row r="2100" spans="4:6" x14ac:dyDescent="0.25">
      <c r="D2100" s="796"/>
      <c r="F2100">
        <v>1</v>
      </c>
    </row>
    <row r="2101" spans="4:6" x14ac:dyDescent="0.25">
      <c r="D2101" s="796"/>
      <c r="F2101">
        <v>1</v>
      </c>
    </row>
    <row r="2102" spans="4:6" x14ac:dyDescent="0.25">
      <c r="D2102" s="796"/>
      <c r="F2102">
        <v>1</v>
      </c>
    </row>
    <row r="2103" spans="4:6" x14ac:dyDescent="0.25">
      <c r="D2103" s="796"/>
      <c r="F2103">
        <v>1</v>
      </c>
    </row>
    <row r="2104" spans="4:6" x14ac:dyDescent="0.25">
      <c r="D2104" s="796"/>
      <c r="F2104">
        <v>1</v>
      </c>
    </row>
    <row r="2105" spans="4:6" x14ac:dyDescent="0.25">
      <c r="D2105" s="796"/>
      <c r="F2105">
        <v>1</v>
      </c>
    </row>
    <row r="2106" spans="4:6" x14ac:dyDescent="0.25">
      <c r="D2106" s="796"/>
      <c r="F2106">
        <v>1</v>
      </c>
    </row>
    <row r="2107" spans="4:6" x14ac:dyDescent="0.25">
      <c r="D2107" s="796"/>
      <c r="F2107">
        <v>1</v>
      </c>
    </row>
    <row r="2108" spans="4:6" x14ac:dyDescent="0.25">
      <c r="D2108" s="796"/>
      <c r="F2108">
        <v>1</v>
      </c>
    </row>
    <row r="2109" spans="4:6" x14ac:dyDescent="0.25">
      <c r="D2109" s="796"/>
      <c r="F2109">
        <v>1</v>
      </c>
    </row>
    <row r="2110" spans="4:6" x14ac:dyDescent="0.25">
      <c r="D2110" s="796"/>
      <c r="F2110">
        <v>1</v>
      </c>
    </row>
    <row r="2111" spans="4:6" x14ac:dyDescent="0.25">
      <c r="D2111" s="796"/>
      <c r="F2111">
        <v>1</v>
      </c>
    </row>
    <row r="2112" spans="4:6" x14ac:dyDescent="0.25">
      <c r="D2112" s="796"/>
      <c r="F2112">
        <v>1</v>
      </c>
    </row>
    <row r="2113" spans="4:6" x14ac:dyDescent="0.25">
      <c r="D2113" s="796"/>
      <c r="F2113">
        <v>1</v>
      </c>
    </row>
    <row r="2114" spans="4:6" x14ac:dyDescent="0.25">
      <c r="D2114" s="796"/>
      <c r="F2114">
        <v>1</v>
      </c>
    </row>
    <row r="2115" spans="4:6" x14ac:dyDescent="0.25">
      <c r="D2115" s="796"/>
      <c r="F2115">
        <v>1</v>
      </c>
    </row>
    <row r="2116" spans="4:6" x14ac:dyDescent="0.25">
      <c r="D2116" s="796"/>
      <c r="F2116">
        <v>1</v>
      </c>
    </row>
    <row r="2117" spans="4:6" x14ac:dyDescent="0.25">
      <c r="D2117" s="796"/>
      <c r="F2117">
        <v>1</v>
      </c>
    </row>
    <row r="2118" spans="4:6" x14ac:dyDescent="0.25">
      <c r="D2118" s="796"/>
      <c r="F2118">
        <v>1</v>
      </c>
    </row>
    <row r="2119" spans="4:6" x14ac:dyDescent="0.25">
      <c r="D2119" s="796"/>
      <c r="F2119">
        <v>1</v>
      </c>
    </row>
    <row r="2120" spans="4:6" x14ac:dyDescent="0.25">
      <c r="D2120" s="796"/>
      <c r="F2120">
        <v>1</v>
      </c>
    </row>
    <row r="2121" spans="4:6" x14ac:dyDescent="0.25">
      <c r="D2121" s="796"/>
      <c r="F2121">
        <v>1</v>
      </c>
    </row>
    <row r="2122" spans="4:6" x14ac:dyDescent="0.25">
      <c r="D2122" s="796"/>
      <c r="F2122">
        <v>1</v>
      </c>
    </row>
    <row r="2123" spans="4:6" x14ac:dyDescent="0.25">
      <c r="D2123" s="796"/>
      <c r="F2123">
        <v>1</v>
      </c>
    </row>
    <row r="2124" spans="4:6" x14ac:dyDescent="0.25">
      <c r="D2124" s="796"/>
      <c r="F2124">
        <v>1</v>
      </c>
    </row>
    <row r="2125" spans="4:6" x14ac:dyDescent="0.25">
      <c r="D2125" s="796"/>
      <c r="F2125">
        <v>1</v>
      </c>
    </row>
    <row r="2126" spans="4:6" x14ac:dyDescent="0.25">
      <c r="D2126" s="796"/>
      <c r="F2126">
        <v>1</v>
      </c>
    </row>
    <row r="2127" spans="4:6" x14ac:dyDescent="0.25">
      <c r="D2127" s="796"/>
      <c r="F2127">
        <v>1</v>
      </c>
    </row>
    <row r="2128" spans="4:6" x14ac:dyDescent="0.25">
      <c r="D2128" s="796"/>
      <c r="F2128">
        <v>1</v>
      </c>
    </row>
    <row r="2129" spans="4:6" x14ac:dyDescent="0.25">
      <c r="D2129" s="796"/>
      <c r="F2129">
        <v>1</v>
      </c>
    </row>
    <row r="2130" spans="4:6" x14ac:dyDescent="0.25">
      <c r="D2130" s="796"/>
      <c r="F2130">
        <v>1</v>
      </c>
    </row>
    <row r="2131" spans="4:6" x14ac:dyDescent="0.25">
      <c r="D2131" s="796"/>
      <c r="F2131">
        <v>1</v>
      </c>
    </row>
    <row r="2132" spans="4:6" x14ac:dyDescent="0.25">
      <c r="D2132" s="796"/>
      <c r="F2132">
        <v>1</v>
      </c>
    </row>
    <row r="2133" spans="4:6" x14ac:dyDescent="0.25">
      <c r="D2133" s="796"/>
      <c r="F2133">
        <v>1</v>
      </c>
    </row>
    <row r="2134" spans="4:6" x14ac:dyDescent="0.25">
      <c r="D2134" s="796"/>
      <c r="F2134">
        <v>1</v>
      </c>
    </row>
    <row r="2135" spans="4:6" x14ac:dyDescent="0.25">
      <c r="D2135" s="796"/>
      <c r="F2135">
        <v>1</v>
      </c>
    </row>
    <row r="2136" spans="4:6" x14ac:dyDescent="0.25">
      <c r="D2136" s="796"/>
      <c r="F2136">
        <v>1</v>
      </c>
    </row>
    <row r="2137" spans="4:6" x14ac:dyDescent="0.25">
      <c r="D2137" s="796"/>
      <c r="F2137">
        <v>1</v>
      </c>
    </row>
    <row r="2138" spans="4:6" x14ac:dyDescent="0.25">
      <c r="D2138" s="796"/>
      <c r="F2138">
        <v>1</v>
      </c>
    </row>
    <row r="2139" spans="4:6" x14ac:dyDescent="0.25">
      <c r="D2139" s="796"/>
      <c r="F2139">
        <v>1</v>
      </c>
    </row>
    <row r="2140" spans="4:6" x14ac:dyDescent="0.25">
      <c r="D2140" s="796"/>
      <c r="F2140">
        <v>1</v>
      </c>
    </row>
    <row r="2141" spans="4:6" x14ac:dyDescent="0.25">
      <c r="D2141" s="796"/>
      <c r="F2141">
        <v>1</v>
      </c>
    </row>
    <row r="2142" spans="4:6" x14ac:dyDescent="0.25">
      <c r="D2142" s="796"/>
      <c r="F2142">
        <v>1</v>
      </c>
    </row>
    <row r="2143" spans="4:6" x14ac:dyDescent="0.25">
      <c r="D2143" s="796"/>
      <c r="F2143">
        <v>1</v>
      </c>
    </row>
    <row r="2144" spans="4:6" x14ac:dyDescent="0.25">
      <c r="D2144" s="796"/>
      <c r="F2144">
        <v>1</v>
      </c>
    </row>
    <row r="2145" spans="4:6" x14ac:dyDescent="0.25">
      <c r="D2145" s="796"/>
      <c r="F2145">
        <v>1</v>
      </c>
    </row>
    <row r="2146" spans="4:6" x14ac:dyDescent="0.25">
      <c r="D2146" s="796"/>
      <c r="F2146">
        <v>1</v>
      </c>
    </row>
    <row r="2147" spans="4:6" x14ac:dyDescent="0.25">
      <c r="D2147" s="796"/>
      <c r="F2147">
        <v>1</v>
      </c>
    </row>
    <row r="2148" spans="4:6" x14ac:dyDescent="0.25">
      <c r="D2148" s="796"/>
      <c r="F2148">
        <v>1</v>
      </c>
    </row>
    <row r="2149" spans="4:6" x14ac:dyDescent="0.25">
      <c r="D2149" s="796"/>
      <c r="F2149">
        <v>1</v>
      </c>
    </row>
    <row r="2150" spans="4:6" x14ac:dyDescent="0.25">
      <c r="D2150" s="796"/>
      <c r="F2150">
        <v>1</v>
      </c>
    </row>
    <row r="2151" spans="4:6" x14ac:dyDescent="0.25">
      <c r="D2151" s="796"/>
      <c r="F2151">
        <v>1</v>
      </c>
    </row>
    <row r="2152" spans="4:6" x14ac:dyDescent="0.25">
      <c r="D2152" s="796"/>
      <c r="F2152">
        <v>1</v>
      </c>
    </row>
    <row r="2153" spans="4:6" x14ac:dyDescent="0.25">
      <c r="D2153" s="796"/>
      <c r="F2153">
        <v>1</v>
      </c>
    </row>
    <row r="2154" spans="4:6" x14ac:dyDescent="0.25">
      <c r="D2154" s="796"/>
      <c r="F2154">
        <v>1</v>
      </c>
    </row>
    <row r="2155" spans="4:6" x14ac:dyDescent="0.25">
      <c r="D2155" s="796"/>
      <c r="F2155">
        <v>1</v>
      </c>
    </row>
    <row r="2156" spans="4:6" x14ac:dyDescent="0.25">
      <c r="D2156" s="796"/>
      <c r="F2156">
        <v>1</v>
      </c>
    </row>
    <row r="2157" spans="4:6" x14ac:dyDescent="0.25">
      <c r="D2157" s="796"/>
      <c r="F2157">
        <v>1</v>
      </c>
    </row>
    <row r="2158" spans="4:6" x14ac:dyDescent="0.25">
      <c r="D2158" s="796"/>
      <c r="F2158">
        <v>1</v>
      </c>
    </row>
    <row r="2159" spans="4:6" x14ac:dyDescent="0.25">
      <c r="D2159" s="796"/>
      <c r="F2159">
        <v>1</v>
      </c>
    </row>
    <row r="2160" spans="4:6" x14ac:dyDescent="0.25">
      <c r="D2160" s="796"/>
      <c r="F2160">
        <v>1</v>
      </c>
    </row>
    <row r="2161" spans="4:6" x14ac:dyDescent="0.25">
      <c r="D2161" s="796"/>
      <c r="F2161">
        <v>1</v>
      </c>
    </row>
    <row r="2162" spans="4:6" x14ac:dyDescent="0.25">
      <c r="D2162" s="796"/>
      <c r="F2162">
        <v>1</v>
      </c>
    </row>
    <row r="2163" spans="4:6" x14ac:dyDescent="0.25">
      <c r="D2163" s="796"/>
      <c r="F2163">
        <v>1</v>
      </c>
    </row>
    <row r="2164" spans="4:6" x14ac:dyDescent="0.25">
      <c r="D2164" s="796"/>
      <c r="F2164">
        <v>1</v>
      </c>
    </row>
    <row r="2165" spans="4:6" x14ac:dyDescent="0.25">
      <c r="D2165" s="796"/>
      <c r="F2165">
        <v>1</v>
      </c>
    </row>
    <row r="2166" spans="4:6" x14ac:dyDescent="0.25">
      <c r="D2166" s="796"/>
      <c r="F2166">
        <v>1</v>
      </c>
    </row>
    <row r="2167" spans="4:6" x14ac:dyDescent="0.25">
      <c r="D2167" s="796"/>
      <c r="F2167">
        <v>1</v>
      </c>
    </row>
    <row r="2168" spans="4:6" x14ac:dyDescent="0.25">
      <c r="D2168" s="796"/>
      <c r="F2168">
        <v>1</v>
      </c>
    </row>
    <row r="2169" spans="4:6" x14ac:dyDescent="0.25">
      <c r="D2169" s="796"/>
      <c r="F2169">
        <v>1</v>
      </c>
    </row>
    <row r="2170" spans="4:6" x14ac:dyDescent="0.25">
      <c r="D2170" s="796"/>
      <c r="F2170">
        <v>1</v>
      </c>
    </row>
    <row r="2171" spans="4:6" x14ac:dyDescent="0.25">
      <c r="D2171" s="796"/>
      <c r="F2171">
        <v>1</v>
      </c>
    </row>
    <row r="2172" spans="4:6" x14ac:dyDescent="0.25">
      <c r="D2172" s="796"/>
      <c r="F2172">
        <v>1</v>
      </c>
    </row>
    <row r="2173" spans="4:6" x14ac:dyDescent="0.25">
      <c r="D2173" s="796"/>
      <c r="F2173">
        <v>1</v>
      </c>
    </row>
    <row r="2174" spans="4:6" x14ac:dyDescent="0.25">
      <c r="D2174" s="796"/>
      <c r="F2174">
        <v>1</v>
      </c>
    </row>
    <row r="2175" spans="4:6" x14ac:dyDescent="0.25">
      <c r="D2175" s="796"/>
      <c r="F2175">
        <v>1</v>
      </c>
    </row>
    <row r="2176" spans="4:6" x14ac:dyDescent="0.25">
      <c r="D2176" s="796"/>
      <c r="F2176">
        <v>1</v>
      </c>
    </row>
    <row r="2177" spans="4:6" x14ac:dyDescent="0.25">
      <c r="D2177" s="796"/>
      <c r="F2177">
        <v>1</v>
      </c>
    </row>
    <row r="2178" spans="4:6" x14ac:dyDescent="0.25">
      <c r="D2178" s="796"/>
      <c r="F2178">
        <v>1</v>
      </c>
    </row>
    <row r="2179" spans="4:6" x14ac:dyDescent="0.25">
      <c r="D2179" s="796"/>
      <c r="F2179">
        <v>1</v>
      </c>
    </row>
    <row r="2180" spans="4:6" x14ac:dyDescent="0.25">
      <c r="D2180" s="796"/>
      <c r="F2180">
        <v>1</v>
      </c>
    </row>
    <row r="2181" spans="4:6" x14ac:dyDescent="0.25">
      <c r="D2181" s="796"/>
      <c r="F2181">
        <v>1</v>
      </c>
    </row>
    <row r="2182" spans="4:6" x14ac:dyDescent="0.25">
      <c r="D2182" s="796"/>
      <c r="F2182">
        <v>1</v>
      </c>
    </row>
    <row r="2183" spans="4:6" x14ac:dyDescent="0.25">
      <c r="D2183" s="796"/>
      <c r="F2183">
        <v>1</v>
      </c>
    </row>
    <row r="2184" spans="4:6" x14ac:dyDescent="0.25">
      <c r="D2184" s="796"/>
      <c r="F2184">
        <v>1</v>
      </c>
    </row>
    <row r="2185" spans="4:6" x14ac:dyDescent="0.25">
      <c r="D2185" s="796"/>
      <c r="F2185">
        <v>1</v>
      </c>
    </row>
    <row r="2186" spans="4:6" x14ac:dyDescent="0.25">
      <c r="D2186" s="796"/>
      <c r="F2186">
        <v>1</v>
      </c>
    </row>
    <row r="2187" spans="4:6" x14ac:dyDescent="0.25">
      <c r="D2187" s="796"/>
      <c r="F2187">
        <v>1</v>
      </c>
    </row>
    <row r="2188" spans="4:6" x14ac:dyDescent="0.25">
      <c r="D2188" s="796"/>
      <c r="F2188">
        <v>1</v>
      </c>
    </row>
    <row r="2189" spans="4:6" x14ac:dyDescent="0.25">
      <c r="D2189" s="796"/>
      <c r="F2189">
        <v>1</v>
      </c>
    </row>
    <row r="2190" spans="4:6" x14ac:dyDescent="0.25">
      <c r="D2190" s="796"/>
      <c r="F2190">
        <v>1</v>
      </c>
    </row>
    <row r="2191" spans="4:6" x14ac:dyDescent="0.25">
      <c r="D2191" s="796"/>
      <c r="F2191">
        <v>1</v>
      </c>
    </row>
    <row r="2192" spans="4:6" x14ac:dyDescent="0.25">
      <c r="D2192" s="796"/>
      <c r="F2192">
        <v>1</v>
      </c>
    </row>
    <row r="2193" spans="4:6" x14ac:dyDescent="0.25">
      <c r="D2193" s="796"/>
      <c r="F2193">
        <v>1</v>
      </c>
    </row>
    <row r="2194" spans="4:6" x14ac:dyDescent="0.25">
      <c r="D2194" s="796"/>
      <c r="F2194">
        <v>1</v>
      </c>
    </row>
    <row r="2195" spans="4:6" x14ac:dyDescent="0.25">
      <c r="D2195" s="796"/>
      <c r="F2195">
        <v>1</v>
      </c>
    </row>
    <row r="2196" spans="4:6" x14ac:dyDescent="0.25">
      <c r="D2196" s="796"/>
      <c r="F2196">
        <v>1</v>
      </c>
    </row>
    <row r="2197" spans="4:6" x14ac:dyDescent="0.25">
      <c r="D2197" s="796"/>
      <c r="F2197">
        <v>1</v>
      </c>
    </row>
    <row r="2198" spans="4:6" x14ac:dyDescent="0.25">
      <c r="D2198" s="796"/>
      <c r="F2198">
        <v>1</v>
      </c>
    </row>
    <row r="2199" spans="4:6" x14ac:dyDescent="0.25">
      <c r="D2199" s="796"/>
      <c r="F2199">
        <v>1</v>
      </c>
    </row>
    <row r="2200" spans="4:6" x14ac:dyDescent="0.25">
      <c r="D2200" s="796"/>
      <c r="F2200">
        <v>1</v>
      </c>
    </row>
    <row r="2201" spans="4:6" x14ac:dyDescent="0.25">
      <c r="D2201" s="796"/>
      <c r="F2201">
        <v>1</v>
      </c>
    </row>
    <row r="2202" spans="4:6" x14ac:dyDescent="0.25">
      <c r="D2202" s="796"/>
      <c r="F2202">
        <v>1</v>
      </c>
    </row>
    <row r="2203" spans="4:6" x14ac:dyDescent="0.25">
      <c r="D2203" s="796"/>
      <c r="F2203">
        <v>1</v>
      </c>
    </row>
    <row r="2204" spans="4:6" x14ac:dyDescent="0.25">
      <c r="D2204" s="796"/>
      <c r="F2204">
        <v>1</v>
      </c>
    </row>
    <row r="2205" spans="4:6" x14ac:dyDescent="0.25">
      <c r="D2205" s="796"/>
      <c r="F2205">
        <v>1</v>
      </c>
    </row>
    <row r="2206" spans="4:6" x14ac:dyDescent="0.25">
      <c r="D2206" s="796"/>
      <c r="F2206">
        <v>1</v>
      </c>
    </row>
    <row r="2207" spans="4:6" x14ac:dyDescent="0.25">
      <c r="D2207" s="796"/>
      <c r="F2207">
        <v>1</v>
      </c>
    </row>
    <row r="2208" spans="4:6" x14ac:dyDescent="0.25">
      <c r="D2208" s="796"/>
    </row>
    <row r="2209" spans="4:4" x14ac:dyDescent="0.25">
      <c r="D2209" s="796"/>
    </row>
    <row r="2210" spans="4:4" x14ac:dyDescent="0.25">
      <c r="D2210" s="796"/>
    </row>
    <row r="2211" spans="4:4" x14ac:dyDescent="0.25">
      <c r="D2211" s="796"/>
    </row>
    <row r="2212" spans="4:4" x14ac:dyDescent="0.25">
      <c r="D2212" s="796"/>
    </row>
    <row r="2213" spans="4:4" x14ac:dyDescent="0.25">
      <c r="D2213" s="796"/>
    </row>
    <row r="2214" spans="4:4" x14ac:dyDescent="0.25">
      <c r="D2214" s="796"/>
    </row>
    <row r="2215" spans="4:4" x14ac:dyDescent="0.25">
      <c r="D2215" s="796"/>
    </row>
    <row r="2216" spans="4:4" x14ac:dyDescent="0.25">
      <c r="D2216" s="796"/>
    </row>
    <row r="2217" spans="4:4" x14ac:dyDescent="0.25">
      <c r="D2217" s="796"/>
    </row>
    <row r="2218" spans="4:4" x14ac:dyDescent="0.25">
      <c r="D2218" s="796"/>
    </row>
    <row r="2219" spans="4:4" x14ac:dyDescent="0.25">
      <c r="D2219" s="796"/>
    </row>
    <row r="2220" spans="4:4" x14ac:dyDescent="0.25">
      <c r="D2220" s="796"/>
    </row>
    <row r="2221" spans="4:4" x14ac:dyDescent="0.25">
      <c r="D2221" s="796"/>
    </row>
    <row r="2222" spans="4:4" x14ac:dyDescent="0.25">
      <c r="D2222" s="796"/>
    </row>
    <row r="2223" spans="4:4" x14ac:dyDescent="0.25">
      <c r="D2223" s="796"/>
    </row>
    <row r="2224" spans="4:4" x14ac:dyDescent="0.25">
      <c r="D2224" s="796"/>
    </row>
    <row r="2225" spans="4:4" x14ac:dyDescent="0.25">
      <c r="D2225" s="796"/>
    </row>
    <row r="2226" spans="4:4" x14ac:dyDescent="0.25">
      <c r="D2226" s="796"/>
    </row>
    <row r="2227" spans="4:4" x14ac:dyDescent="0.25">
      <c r="D2227" s="796"/>
    </row>
    <row r="2228" spans="4:4" x14ac:dyDescent="0.25">
      <c r="D2228" s="796"/>
    </row>
    <row r="2229" spans="4:4" x14ac:dyDescent="0.25">
      <c r="D2229" s="796"/>
    </row>
    <row r="2230" spans="4:4" x14ac:dyDescent="0.25">
      <c r="D2230" s="796"/>
    </row>
    <row r="2231" spans="4:4" x14ac:dyDescent="0.25">
      <c r="D2231" s="796"/>
    </row>
    <row r="2232" spans="4:4" x14ac:dyDescent="0.25">
      <c r="D2232" s="796"/>
    </row>
    <row r="2233" spans="4:4" x14ac:dyDescent="0.25">
      <c r="D2233" s="796"/>
    </row>
    <row r="2234" spans="4:4" x14ac:dyDescent="0.25">
      <c r="D2234" s="796"/>
    </row>
    <row r="2235" spans="4:4" x14ac:dyDescent="0.25">
      <c r="D2235" s="796"/>
    </row>
    <row r="2236" spans="4:4" x14ac:dyDescent="0.25">
      <c r="D2236" s="796"/>
    </row>
    <row r="2237" spans="4:4" x14ac:dyDescent="0.25">
      <c r="D2237" s="796"/>
    </row>
    <row r="2238" spans="4:4" x14ac:dyDescent="0.25">
      <c r="D2238" s="796"/>
    </row>
    <row r="2239" spans="4:4" x14ac:dyDescent="0.25">
      <c r="D2239" s="796"/>
    </row>
    <row r="2240" spans="4:4" x14ac:dyDescent="0.25">
      <c r="D2240" s="796"/>
    </row>
    <row r="2241" spans="4:4" x14ac:dyDescent="0.25">
      <c r="D2241" s="796"/>
    </row>
    <row r="2242" spans="4:4" x14ac:dyDescent="0.25">
      <c r="D2242" s="796"/>
    </row>
    <row r="2243" spans="4:4" x14ac:dyDescent="0.25">
      <c r="D2243" s="796"/>
    </row>
    <row r="2244" spans="4:4" x14ac:dyDescent="0.25">
      <c r="D2244" s="796"/>
    </row>
    <row r="2245" spans="4:4" x14ac:dyDescent="0.25">
      <c r="D2245" s="796"/>
    </row>
    <row r="2246" spans="4:4" x14ac:dyDescent="0.25">
      <c r="D2246" s="796"/>
    </row>
    <row r="2247" spans="4:4" x14ac:dyDescent="0.25">
      <c r="D2247" s="796"/>
    </row>
    <row r="2248" spans="4:4" x14ac:dyDescent="0.25">
      <c r="D2248" s="796"/>
    </row>
    <row r="2249" spans="4:4" x14ac:dyDescent="0.25">
      <c r="D2249" s="796"/>
    </row>
    <row r="2250" spans="4:4" x14ac:dyDescent="0.25">
      <c r="D2250" s="796"/>
    </row>
    <row r="2251" spans="4:4" x14ac:dyDescent="0.25">
      <c r="D2251" s="796"/>
    </row>
    <row r="2252" spans="4:4" x14ac:dyDescent="0.25">
      <c r="D2252" s="796"/>
    </row>
    <row r="2253" spans="4:4" x14ac:dyDescent="0.25">
      <c r="D2253" s="796"/>
    </row>
    <row r="2254" spans="4:4" x14ac:dyDescent="0.25">
      <c r="D2254" s="796"/>
    </row>
    <row r="2255" spans="4:4" x14ac:dyDescent="0.25">
      <c r="D2255" s="796"/>
    </row>
    <row r="2256" spans="4:4" x14ac:dyDescent="0.25">
      <c r="D2256" s="796"/>
    </row>
    <row r="2257" spans="4:4" x14ac:dyDescent="0.25">
      <c r="D2257" s="796"/>
    </row>
    <row r="2258" spans="4:4" x14ac:dyDescent="0.25">
      <c r="D2258" s="796"/>
    </row>
    <row r="2259" spans="4:4" x14ac:dyDescent="0.25">
      <c r="D2259" s="796"/>
    </row>
    <row r="2260" spans="4:4" x14ac:dyDescent="0.25">
      <c r="D2260" s="796"/>
    </row>
    <row r="2261" spans="4:4" x14ac:dyDescent="0.25">
      <c r="D2261" s="796"/>
    </row>
    <row r="2262" spans="4:4" x14ac:dyDescent="0.25">
      <c r="D2262" s="796"/>
    </row>
    <row r="2263" spans="4:4" x14ac:dyDescent="0.25">
      <c r="D2263" s="796"/>
    </row>
    <row r="2264" spans="4:4" x14ac:dyDescent="0.25">
      <c r="D2264" s="796"/>
    </row>
    <row r="2265" spans="4:4" x14ac:dyDescent="0.25">
      <c r="D2265" s="796"/>
    </row>
    <row r="2266" spans="4:4" x14ac:dyDescent="0.25">
      <c r="D2266" s="796"/>
    </row>
    <row r="2267" spans="4:4" x14ac:dyDescent="0.25">
      <c r="D2267" s="796"/>
    </row>
    <row r="2268" spans="4:4" x14ac:dyDescent="0.25">
      <c r="D2268" s="796"/>
    </row>
    <row r="2269" spans="4:4" x14ac:dyDescent="0.25">
      <c r="D2269" s="796"/>
    </row>
    <row r="2270" spans="4:4" x14ac:dyDescent="0.25">
      <c r="D2270" s="796"/>
    </row>
    <row r="2271" spans="4:4" x14ac:dyDescent="0.25">
      <c r="D2271" s="796"/>
    </row>
    <row r="2272" spans="4:4" x14ac:dyDescent="0.25">
      <c r="D2272" s="796"/>
    </row>
    <row r="2273" spans="4:4" x14ac:dyDescent="0.25">
      <c r="D2273" s="796"/>
    </row>
    <row r="2274" spans="4:4" x14ac:dyDescent="0.25">
      <c r="D2274" s="796"/>
    </row>
    <row r="2275" spans="4:4" x14ac:dyDescent="0.25">
      <c r="D2275" s="796"/>
    </row>
    <row r="2276" spans="4:4" x14ac:dyDescent="0.25">
      <c r="D2276" s="796"/>
    </row>
    <row r="2277" spans="4:4" x14ac:dyDescent="0.25">
      <c r="D2277" s="796"/>
    </row>
    <row r="2278" spans="4:4" x14ac:dyDescent="0.25">
      <c r="D2278" s="796"/>
    </row>
    <row r="2279" spans="4:4" x14ac:dyDescent="0.25">
      <c r="D2279" s="796"/>
    </row>
    <row r="2280" spans="4:4" x14ac:dyDescent="0.25">
      <c r="D2280" s="796"/>
    </row>
    <row r="2281" spans="4:4" x14ac:dyDescent="0.25">
      <c r="D2281" s="796"/>
    </row>
    <row r="2282" spans="4:4" x14ac:dyDescent="0.25">
      <c r="D2282" s="796"/>
    </row>
    <row r="2283" spans="4:4" x14ac:dyDescent="0.25">
      <c r="D2283" s="796"/>
    </row>
    <row r="2284" spans="4:4" x14ac:dyDescent="0.25">
      <c r="D2284" s="796"/>
    </row>
    <row r="2285" spans="4:4" x14ac:dyDescent="0.25">
      <c r="D2285" s="796"/>
    </row>
    <row r="2286" spans="4:4" x14ac:dyDescent="0.25">
      <c r="D2286" s="796"/>
    </row>
    <row r="2287" spans="4:4" x14ac:dyDescent="0.25">
      <c r="D2287" s="796"/>
    </row>
    <row r="2288" spans="4:4" x14ac:dyDescent="0.25">
      <c r="D2288" s="796"/>
    </row>
    <row r="2289" spans="4:4" x14ac:dyDescent="0.25">
      <c r="D2289" s="796"/>
    </row>
    <row r="2290" spans="4:4" x14ac:dyDescent="0.25">
      <c r="D2290" s="796"/>
    </row>
    <row r="2291" spans="4:4" x14ac:dyDescent="0.25">
      <c r="D2291" s="796"/>
    </row>
    <row r="2292" spans="4:4" x14ac:dyDescent="0.25">
      <c r="D2292" s="796"/>
    </row>
    <row r="2293" spans="4:4" x14ac:dyDescent="0.25">
      <c r="D2293" s="796"/>
    </row>
    <row r="2294" spans="4:4" x14ac:dyDescent="0.25">
      <c r="D2294" s="796"/>
    </row>
    <row r="2295" spans="4:4" x14ac:dyDescent="0.25">
      <c r="D2295" s="796"/>
    </row>
    <row r="2296" spans="4:4" x14ac:dyDescent="0.25">
      <c r="D2296" s="796"/>
    </row>
    <row r="2297" spans="4:4" x14ac:dyDescent="0.25">
      <c r="D2297" s="796"/>
    </row>
    <row r="2298" spans="4:4" x14ac:dyDescent="0.25">
      <c r="D2298" s="796"/>
    </row>
    <row r="2299" spans="4:4" x14ac:dyDescent="0.25">
      <c r="D2299" s="796"/>
    </row>
    <row r="2300" spans="4:4" x14ac:dyDescent="0.25">
      <c r="D2300" s="796"/>
    </row>
    <row r="2301" spans="4:4" x14ac:dyDescent="0.25">
      <c r="D2301" s="796"/>
    </row>
    <row r="2302" spans="4:4" x14ac:dyDescent="0.25">
      <c r="D2302" s="796"/>
    </row>
    <row r="2303" spans="4:4" x14ac:dyDescent="0.25">
      <c r="D2303" s="796"/>
    </row>
    <row r="2304" spans="4:4" x14ac:dyDescent="0.25">
      <c r="D2304" s="796"/>
    </row>
    <row r="2305" spans="4:4" x14ac:dyDescent="0.25">
      <c r="D2305" s="796"/>
    </row>
    <row r="2306" spans="4:4" x14ac:dyDescent="0.25">
      <c r="D2306" s="796"/>
    </row>
    <row r="2307" spans="4:4" x14ac:dyDescent="0.25">
      <c r="D2307" s="796"/>
    </row>
    <row r="2308" spans="4:4" x14ac:dyDescent="0.25">
      <c r="D2308" s="796"/>
    </row>
    <row r="2309" spans="4:4" x14ac:dyDescent="0.25">
      <c r="D2309" s="796"/>
    </row>
    <row r="2310" spans="4:4" x14ac:dyDescent="0.25">
      <c r="D2310" s="796"/>
    </row>
    <row r="2311" spans="4:4" x14ac:dyDescent="0.25">
      <c r="D2311" s="796"/>
    </row>
    <row r="2312" spans="4:4" x14ac:dyDescent="0.25">
      <c r="D2312" s="796"/>
    </row>
    <row r="2313" spans="4:4" x14ac:dyDescent="0.25">
      <c r="D2313" s="796"/>
    </row>
    <row r="2314" spans="4:4" x14ac:dyDescent="0.25">
      <c r="D2314" s="796"/>
    </row>
    <row r="2315" spans="4:4" x14ac:dyDescent="0.25">
      <c r="D2315" s="796"/>
    </row>
    <row r="2316" spans="4:4" x14ac:dyDescent="0.25">
      <c r="D2316" s="796"/>
    </row>
    <row r="2317" spans="4:4" x14ac:dyDescent="0.25">
      <c r="D2317" s="796"/>
    </row>
    <row r="2318" spans="4:4" x14ac:dyDescent="0.25">
      <c r="D2318" s="796"/>
    </row>
    <row r="2319" spans="4:4" x14ac:dyDescent="0.25">
      <c r="D2319" s="796"/>
    </row>
    <row r="2320" spans="4:4" x14ac:dyDescent="0.25">
      <c r="D2320" s="796"/>
    </row>
    <row r="2321" spans="4:4" x14ac:dyDescent="0.25">
      <c r="D2321" s="796"/>
    </row>
    <row r="2322" spans="4:4" x14ac:dyDescent="0.25">
      <c r="D2322" s="796"/>
    </row>
    <row r="2323" spans="4:4" x14ac:dyDescent="0.25">
      <c r="D2323" s="796"/>
    </row>
    <row r="2324" spans="4:4" x14ac:dyDescent="0.25">
      <c r="D2324" s="796"/>
    </row>
    <row r="2325" spans="4:4" x14ac:dyDescent="0.25">
      <c r="D2325" s="796"/>
    </row>
    <row r="2326" spans="4:4" x14ac:dyDescent="0.25">
      <c r="D2326" s="796"/>
    </row>
    <row r="2327" spans="4:4" x14ac:dyDescent="0.25">
      <c r="D2327" s="796"/>
    </row>
    <row r="2328" spans="4:4" x14ac:dyDescent="0.25">
      <c r="D2328" s="796"/>
    </row>
    <row r="2329" spans="4:4" x14ac:dyDescent="0.25">
      <c r="D2329" s="796"/>
    </row>
    <row r="2330" spans="4:4" x14ac:dyDescent="0.25">
      <c r="D2330" s="796"/>
    </row>
    <row r="2331" spans="4:4" x14ac:dyDescent="0.25">
      <c r="D2331" s="796"/>
    </row>
    <row r="2332" spans="4:4" x14ac:dyDescent="0.25">
      <c r="D2332" s="796"/>
    </row>
    <row r="2333" spans="4:4" x14ac:dyDescent="0.25">
      <c r="D2333" s="796"/>
    </row>
    <row r="2334" spans="4:4" x14ac:dyDescent="0.25">
      <c r="D2334" s="796"/>
    </row>
    <row r="2335" spans="4:4" x14ac:dyDescent="0.25">
      <c r="D2335" s="796"/>
    </row>
    <row r="2336" spans="4:4" x14ac:dyDescent="0.25">
      <c r="D2336" s="796"/>
    </row>
    <row r="2337" spans="4:4" x14ac:dyDescent="0.25">
      <c r="D2337" s="796"/>
    </row>
    <row r="2338" spans="4:4" x14ac:dyDescent="0.25">
      <c r="D2338" s="796"/>
    </row>
    <row r="2339" spans="4:4" x14ac:dyDescent="0.25">
      <c r="D2339" s="796"/>
    </row>
    <row r="2340" spans="4:4" x14ac:dyDescent="0.25">
      <c r="D2340" s="796"/>
    </row>
    <row r="2341" spans="4:4" x14ac:dyDescent="0.25">
      <c r="D2341" s="796"/>
    </row>
    <row r="2342" spans="4:4" x14ac:dyDescent="0.25">
      <c r="D2342" s="796"/>
    </row>
    <row r="2343" spans="4:4" x14ac:dyDescent="0.25">
      <c r="D2343" s="796"/>
    </row>
    <row r="2344" spans="4:4" x14ac:dyDescent="0.25">
      <c r="D2344" s="796"/>
    </row>
    <row r="2345" spans="4:4" x14ac:dyDescent="0.25">
      <c r="D2345" s="796"/>
    </row>
    <row r="2346" spans="4:4" x14ac:dyDescent="0.25">
      <c r="D2346" s="796"/>
    </row>
    <row r="2347" spans="4:4" x14ac:dyDescent="0.25">
      <c r="D2347" s="796"/>
    </row>
    <row r="2348" spans="4:4" x14ac:dyDescent="0.25">
      <c r="D2348" s="796"/>
    </row>
    <row r="2349" spans="4:4" x14ac:dyDescent="0.25">
      <c r="D2349" s="796"/>
    </row>
    <row r="2350" spans="4:4" x14ac:dyDescent="0.25">
      <c r="D2350" s="796"/>
    </row>
    <row r="2351" spans="4:4" x14ac:dyDescent="0.25">
      <c r="D2351" s="796"/>
    </row>
    <row r="2352" spans="4:4" x14ac:dyDescent="0.25">
      <c r="D2352" s="796"/>
    </row>
    <row r="2353" spans="4:4" x14ac:dyDescent="0.25">
      <c r="D2353" s="796"/>
    </row>
    <row r="2354" spans="4:4" x14ac:dyDescent="0.25">
      <c r="D2354" s="796"/>
    </row>
    <row r="2355" spans="4:4" x14ac:dyDescent="0.25">
      <c r="D2355" s="796"/>
    </row>
    <row r="2356" spans="4:4" x14ac:dyDescent="0.25">
      <c r="D2356" s="796"/>
    </row>
    <row r="2357" spans="4:4" x14ac:dyDescent="0.25">
      <c r="D2357" s="796"/>
    </row>
    <row r="2358" spans="4:4" x14ac:dyDescent="0.25">
      <c r="D2358" s="796"/>
    </row>
    <row r="2359" spans="4:4" x14ac:dyDescent="0.25">
      <c r="D2359" s="796"/>
    </row>
    <row r="2360" spans="4:4" x14ac:dyDescent="0.25">
      <c r="D2360" s="796"/>
    </row>
    <row r="2361" spans="4:4" x14ac:dyDescent="0.25">
      <c r="D2361" s="796"/>
    </row>
    <row r="2362" spans="4:4" x14ac:dyDescent="0.25">
      <c r="D2362" s="796"/>
    </row>
    <row r="2363" spans="4:4" x14ac:dyDescent="0.25">
      <c r="D2363" s="796"/>
    </row>
    <row r="2364" spans="4:4" x14ac:dyDescent="0.25">
      <c r="D2364" s="796"/>
    </row>
    <row r="2365" spans="4:4" x14ac:dyDescent="0.25">
      <c r="D2365" s="796"/>
    </row>
    <row r="2366" spans="4:4" x14ac:dyDescent="0.25">
      <c r="D2366" s="796"/>
    </row>
    <row r="2367" spans="4:4" x14ac:dyDescent="0.25">
      <c r="D2367" s="796"/>
    </row>
    <row r="2368" spans="4:4" x14ac:dyDescent="0.25">
      <c r="D2368" s="796"/>
    </row>
    <row r="2369" spans="4:4" x14ac:dyDescent="0.25">
      <c r="D2369" s="796"/>
    </row>
    <row r="2370" spans="4:4" x14ac:dyDescent="0.25">
      <c r="D2370" s="796"/>
    </row>
    <row r="2371" spans="4:4" x14ac:dyDescent="0.25">
      <c r="D2371" s="796"/>
    </row>
    <row r="2372" spans="4:4" x14ac:dyDescent="0.25">
      <c r="D2372" s="796"/>
    </row>
    <row r="2373" spans="4:4" x14ac:dyDescent="0.25">
      <c r="D2373" s="796"/>
    </row>
    <row r="2374" spans="4:4" x14ac:dyDescent="0.25">
      <c r="D2374" s="796"/>
    </row>
    <row r="2375" spans="4:4" x14ac:dyDescent="0.25">
      <c r="D2375" s="796"/>
    </row>
    <row r="2376" spans="4:4" x14ac:dyDescent="0.25">
      <c r="D2376" s="796"/>
    </row>
    <row r="2377" spans="4:4" x14ac:dyDescent="0.25">
      <c r="D2377" s="796"/>
    </row>
    <row r="2378" spans="4:4" x14ac:dyDescent="0.25">
      <c r="D2378" s="796"/>
    </row>
    <row r="2379" spans="4:4" x14ac:dyDescent="0.25">
      <c r="D2379" s="796"/>
    </row>
    <row r="2380" spans="4:4" x14ac:dyDescent="0.25">
      <c r="D2380" s="796"/>
    </row>
    <row r="2381" spans="4:4" x14ac:dyDescent="0.25">
      <c r="D2381" s="796"/>
    </row>
    <row r="2382" spans="4:4" x14ac:dyDescent="0.25">
      <c r="D2382" s="796"/>
    </row>
    <row r="2383" spans="4:4" x14ac:dyDescent="0.25">
      <c r="D2383" s="796"/>
    </row>
    <row r="2384" spans="4:4" x14ac:dyDescent="0.25">
      <c r="D2384" s="796"/>
    </row>
    <row r="2385" spans="4:4" x14ac:dyDescent="0.25">
      <c r="D2385" s="796"/>
    </row>
    <row r="2386" spans="4:4" x14ac:dyDescent="0.25">
      <c r="D2386" s="796"/>
    </row>
    <row r="2387" spans="4:4" x14ac:dyDescent="0.25">
      <c r="D2387" s="796"/>
    </row>
    <row r="2388" spans="4:4" x14ac:dyDescent="0.25">
      <c r="D2388" s="796"/>
    </row>
    <row r="2389" spans="4:4" x14ac:dyDescent="0.25">
      <c r="D2389" s="796"/>
    </row>
    <row r="2390" spans="4:4" x14ac:dyDescent="0.25">
      <c r="D2390" s="796"/>
    </row>
    <row r="2391" spans="4:4" x14ac:dyDescent="0.25">
      <c r="D2391" s="796"/>
    </row>
    <row r="2392" spans="4:4" x14ac:dyDescent="0.25">
      <c r="D2392" s="796"/>
    </row>
    <row r="2393" spans="4:4" x14ac:dyDescent="0.25">
      <c r="D2393" s="796"/>
    </row>
    <row r="2394" spans="4:4" x14ac:dyDescent="0.25">
      <c r="D2394" s="796"/>
    </row>
    <row r="2395" spans="4:4" x14ac:dyDescent="0.25">
      <c r="D2395" s="796"/>
    </row>
    <row r="2396" spans="4:4" x14ac:dyDescent="0.25">
      <c r="D2396" s="796"/>
    </row>
    <row r="2397" spans="4:4" x14ac:dyDescent="0.25">
      <c r="D2397" s="796"/>
    </row>
    <row r="2398" spans="4:4" x14ac:dyDescent="0.25">
      <c r="D2398" s="796"/>
    </row>
    <row r="2399" spans="4:4" x14ac:dyDescent="0.25">
      <c r="D2399" s="796"/>
    </row>
    <row r="2400" spans="4:4" x14ac:dyDescent="0.25">
      <c r="D2400" s="796"/>
    </row>
    <row r="2401" spans="4:4" x14ac:dyDescent="0.25">
      <c r="D2401" s="796"/>
    </row>
    <row r="2402" spans="4:4" x14ac:dyDescent="0.25">
      <c r="D2402" s="796"/>
    </row>
    <row r="2403" spans="4:4" x14ac:dyDescent="0.25">
      <c r="D2403" s="796"/>
    </row>
    <row r="2404" spans="4:4" x14ac:dyDescent="0.25">
      <c r="D2404" s="796"/>
    </row>
    <row r="2405" spans="4:4" x14ac:dyDescent="0.25">
      <c r="D2405" s="796"/>
    </row>
    <row r="2406" spans="4:4" x14ac:dyDescent="0.25">
      <c r="D2406" s="796"/>
    </row>
    <row r="2407" spans="4:4" x14ac:dyDescent="0.25">
      <c r="D2407" s="796"/>
    </row>
    <row r="2408" spans="4:4" x14ac:dyDescent="0.25">
      <c r="D2408" s="796"/>
    </row>
    <row r="2409" spans="4:4" x14ac:dyDescent="0.25">
      <c r="D2409" s="796"/>
    </row>
    <row r="2410" spans="4:4" x14ac:dyDescent="0.25">
      <c r="D2410" s="796"/>
    </row>
    <row r="2411" spans="4:4" x14ac:dyDescent="0.25">
      <c r="D2411" s="796"/>
    </row>
    <row r="2412" spans="4:4" x14ac:dyDescent="0.25">
      <c r="D2412" s="796"/>
    </row>
    <row r="2413" spans="4:4" x14ac:dyDescent="0.25">
      <c r="D2413" s="796"/>
    </row>
    <row r="2414" spans="4:4" x14ac:dyDescent="0.25">
      <c r="D2414" s="796"/>
    </row>
    <row r="2415" spans="4:4" x14ac:dyDescent="0.25">
      <c r="D2415" s="796"/>
    </row>
    <row r="2416" spans="4:4" x14ac:dyDescent="0.25">
      <c r="D2416" s="796"/>
    </row>
    <row r="2417" spans="4:4" x14ac:dyDescent="0.25">
      <c r="D2417" s="796"/>
    </row>
    <row r="2418" spans="4:4" x14ac:dyDescent="0.25">
      <c r="D2418" s="796"/>
    </row>
    <row r="2419" spans="4:4" x14ac:dyDescent="0.25">
      <c r="D2419" s="796"/>
    </row>
    <row r="2420" spans="4:4" x14ac:dyDescent="0.25">
      <c r="D2420" s="796"/>
    </row>
    <row r="2421" spans="4:4" x14ac:dyDescent="0.25">
      <c r="D2421" s="796"/>
    </row>
    <row r="2422" spans="4:4" x14ac:dyDescent="0.25">
      <c r="D2422" s="796"/>
    </row>
    <row r="2423" spans="4:4" x14ac:dyDescent="0.25">
      <c r="D2423" s="796"/>
    </row>
    <row r="2424" spans="4:4" x14ac:dyDescent="0.25">
      <c r="D2424" s="796"/>
    </row>
    <row r="2425" spans="4:4" x14ac:dyDescent="0.25">
      <c r="D2425" s="796"/>
    </row>
    <row r="2426" spans="4:4" x14ac:dyDescent="0.25">
      <c r="D2426" s="796"/>
    </row>
    <row r="2427" spans="4:4" x14ac:dyDescent="0.25">
      <c r="D2427" s="796"/>
    </row>
    <row r="2428" spans="4:4" x14ac:dyDescent="0.25">
      <c r="D2428" s="796"/>
    </row>
    <row r="2429" spans="4:4" x14ac:dyDescent="0.25">
      <c r="D2429" s="796"/>
    </row>
    <row r="2430" spans="4:4" x14ac:dyDescent="0.25">
      <c r="D2430" s="796"/>
    </row>
    <row r="2431" spans="4:4" x14ac:dyDescent="0.25">
      <c r="D2431" s="796"/>
    </row>
    <row r="2432" spans="4:4" x14ac:dyDescent="0.25">
      <c r="D2432" s="796"/>
    </row>
    <row r="2433" spans="4:4" x14ac:dyDescent="0.25">
      <c r="D2433" s="796"/>
    </row>
    <row r="2434" spans="4:4" x14ac:dyDescent="0.25">
      <c r="D2434" s="796"/>
    </row>
    <row r="2435" spans="4:4" x14ac:dyDescent="0.25">
      <c r="D2435" s="796"/>
    </row>
    <row r="2436" spans="4:4" x14ac:dyDescent="0.25">
      <c r="D2436" s="796"/>
    </row>
    <row r="2437" spans="4:4" x14ac:dyDescent="0.25">
      <c r="D2437" s="796"/>
    </row>
    <row r="2438" spans="4:4" x14ac:dyDescent="0.25">
      <c r="D2438" s="796"/>
    </row>
    <row r="2439" spans="4:4" x14ac:dyDescent="0.25">
      <c r="D2439" s="796"/>
    </row>
    <row r="2440" spans="4:4" x14ac:dyDescent="0.25">
      <c r="D2440" s="796"/>
    </row>
    <row r="2441" spans="4:4" x14ac:dyDescent="0.25">
      <c r="D2441" s="796"/>
    </row>
    <row r="2442" spans="4:4" x14ac:dyDescent="0.25">
      <c r="D2442" s="796"/>
    </row>
    <row r="2443" spans="4:4" x14ac:dyDescent="0.25">
      <c r="D2443" s="796"/>
    </row>
    <row r="2444" spans="4:4" x14ac:dyDescent="0.25">
      <c r="D2444" s="796"/>
    </row>
    <row r="2445" spans="4:4" x14ac:dyDescent="0.25">
      <c r="D2445" s="796"/>
    </row>
    <row r="2446" spans="4:4" x14ac:dyDescent="0.25">
      <c r="D2446" s="796"/>
    </row>
    <row r="2447" spans="4:4" x14ac:dyDescent="0.25">
      <c r="D2447" s="796"/>
    </row>
    <row r="2448" spans="4:4" x14ac:dyDescent="0.25">
      <c r="D2448" s="796"/>
    </row>
    <row r="2449" spans="4:4" x14ac:dyDescent="0.25">
      <c r="D2449" s="796"/>
    </row>
    <row r="2450" spans="4:4" x14ac:dyDescent="0.25">
      <c r="D2450" s="796"/>
    </row>
    <row r="2451" spans="4:4" x14ac:dyDescent="0.25">
      <c r="D2451" s="796"/>
    </row>
    <row r="2452" spans="4:4" x14ac:dyDescent="0.25">
      <c r="D2452" s="796"/>
    </row>
    <row r="2453" spans="4:4" x14ac:dyDescent="0.25">
      <c r="D2453" s="796"/>
    </row>
    <row r="2454" spans="4:4" x14ac:dyDescent="0.25">
      <c r="D2454" s="796"/>
    </row>
    <row r="2455" spans="4:4" x14ac:dyDescent="0.25">
      <c r="D2455" s="796"/>
    </row>
    <row r="2456" spans="4:4" x14ac:dyDescent="0.25">
      <c r="D2456" s="796"/>
    </row>
    <row r="2457" spans="4:4" x14ac:dyDescent="0.25">
      <c r="D2457" s="796"/>
    </row>
    <row r="2458" spans="4:4" x14ac:dyDescent="0.25">
      <c r="D2458" s="796"/>
    </row>
    <row r="2459" spans="4:4" x14ac:dyDescent="0.25">
      <c r="D2459" s="796"/>
    </row>
    <row r="2460" spans="4:4" x14ac:dyDescent="0.25">
      <c r="D2460" s="796"/>
    </row>
    <row r="2461" spans="4:4" x14ac:dyDescent="0.25">
      <c r="D2461" s="796"/>
    </row>
    <row r="2462" spans="4:4" x14ac:dyDescent="0.25">
      <c r="D2462" s="796"/>
    </row>
    <row r="2463" spans="4:4" x14ac:dyDescent="0.25">
      <c r="D2463" s="796"/>
    </row>
    <row r="2464" spans="4:4" x14ac:dyDescent="0.25">
      <c r="D2464" s="796"/>
    </row>
    <row r="2465" spans="4:4" x14ac:dyDescent="0.25">
      <c r="D2465" s="796"/>
    </row>
    <row r="2466" spans="4:4" x14ac:dyDescent="0.25">
      <c r="D2466" s="796"/>
    </row>
    <row r="2467" spans="4:4" x14ac:dyDescent="0.25">
      <c r="D2467" s="796"/>
    </row>
    <row r="2468" spans="4:4" x14ac:dyDescent="0.25">
      <c r="D2468" s="796"/>
    </row>
    <row r="2469" spans="4:4" x14ac:dyDescent="0.25">
      <c r="D2469" s="796"/>
    </row>
    <row r="2470" spans="4:4" x14ac:dyDescent="0.25">
      <c r="D2470" s="796"/>
    </row>
    <row r="2471" spans="4:4" x14ac:dyDescent="0.25">
      <c r="D2471" s="796"/>
    </row>
    <row r="2472" spans="4:4" x14ac:dyDescent="0.25">
      <c r="D2472" s="796"/>
    </row>
    <row r="2473" spans="4:4" x14ac:dyDescent="0.25">
      <c r="D2473" s="796"/>
    </row>
    <row r="2474" spans="4:4" x14ac:dyDescent="0.25">
      <c r="D2474" s="796"/>
    </row>
    <row r="2475" spans="4:4" x14ac:dyDescent="0.25">
      <c r="D2475" s="796"/>
    </row>
    <row r="2476" spans="4:4" x14ac:dyDescent="0.25">
      <c r="D2476" s="796"/>
    </row>
    <row r="2477" spans="4:4" x14ac:dyDescent="0.25">
      <c r="D2477" s="796"/>
    </row>
    <row r="2478" spans="4:4" x14ac:dyDescent="0.25">
      <c r="D2478" s="796"/>
    </row>
    <row r="2479" spans="4:4" x14ac:dyDescent="0.25">
      <c r="D2479" s="796"/>
    </row>
    <row r="2480" spans="4:4" x14ac:dyDescent="0.25">
      <c r="D2480" s="796"/>
    </row>
    <row r="2481" spans="4:4" x14ac:dyDescent="0.25">
      <c r="D2481" s="796"/>
    </row>
    <row r="2482" spans="4:4" x14ac:dyDescent="0.25">
      <c r="D2482" s="796"/>
    </row>
    <row r="2483" spans="4:4" x14ac:dyDescent="0.25">
      <c r="D2483" s="796"/>
    </row>
    <row r="2484" spans="4:4" x14ac:dyDescent="0.25">
      <c r="D2484" s="796"/>
    </row>
    <row r="2485" spans="4:4" x14ac:dyDescent="0.25">
      <c r="D2485" s="796"/>
    </row>
    <row r="2486" spans="4:4" x14ac:dyDescent="0.25">
      <c r="D2486" s="796"/>
    </row>
    <row r="2487" spans="4:4" x14ac:dyDescent="0.25">
      <c r="D2487" s="796"/>
    </row>
    <row r="2488" spans="4:4" x14ac:dyDescent="0.25">
      <c r="D2488" s="796"/>
    </row>
    <row r="2489" spans="4:4" x14ac:dyDescent="0.25">
      <c r="D2489" s="796"/>
    </row>
    <row r="2490" spans="4:4" x14ac:dyDescent="0.25">
      <c r="D2490" s="796"/>
    </row>
    <row r="2491" spans="4:4" x14ac:dyDescent="0.25">
      <c r="D2491" s="796"/>
    </row>
    <row r="2492" spans="4:4" x14ac:dyDescent="0.25">
      <c r="D2492" s="796"/>
    </row>
    <row r="2493" spans="4:4" x14ac:dyDescent="0.25">
      <c r="D2493" s="796"/>
    </row>
    <row r="2494" spans="4:4" x14ac:dyDescent="0.25">
      <c r="D2494" s="796"/>
    </row>
    <row r="2495" spans="4:4" x14ac:dyDescent="0.25">
      <c r="D2495" s="796"/>
    </row>
    <row r="2496" spans="4:4" x14ac:dyDescent="0.25">
      <c r="D2496" s="796"/>
    </row>
    <row r="2497" spans="4:4" x14ac:dyDescent="0.25">
      <c r="D2497" s="796"/>
    </row>
    <row r="2498" spans="4:4" x14ac:dyDescent="0.25">
      <c r="D2498" s="796"/>
    </row>
    <row r="2499" spans="4:4" x14ac:dyDescent="0.25">
      <c r="D2499" s="796"/>
    </row>
    <row r="2500" spans="4:4" x14ac:dyDescent="0.25">
      <c r="D2500" s="796"/>
    </row>
    <row r="2501" spans="4:4" x14ac:dyDescent="0.25">
      <c r="D2501" s="796"/>
    </row>
    <row r="2502" spans="4:4" x14ac:dyDescent="0.25">
      <c r="D2502" s="796"/>
    </row>
    <row r="2503" spans="4:4" x14ac:dyDescent="0.25">
      <c r="D2503" s="796"/>
    </row>
    <row r="2504" spans="4:4" x14ac:dyDescent="0.25">
      <c r="D2504" s="796"/>
    </row>
    <row r="2505" spans="4:4" x14ac:dyDescent="0.25">
      <c r="D2505" s="796"/>
    </row>
    <row r="2506" spans="4:4" x14ac:dyDescent="0.25">
      <c r="D2506" s="796"/>
    </row>
    <row r="2507" spans="4:4" x14ac:dyDescent="0.25">
      <c r="D2507" s="796"/>
    </row>
    <row r="2508" spans="4:4" x14ac:dyDescent="0.25">
      <c r="D2508" s="796"/>
    </row>
    <row r="2509" spans="4:4" x14ac:dyDescent="0.25">
      <c r="D2509" s="796"/>
    </row>
    <row r="2510" spans="4:4" x14ac:dyDescent="0.25">
      <c r="D2510" s="796"/>
    </row>
    <row r="2511" spans="4:4" x14ac:dyDescent="0.25">
      <c r="D2511" s="796"/>
    </row>
    <row r="2512" spans="4:4" x14ac:dyDescent="0.25">
      <c r="D2512" s="796"/>
    </row>
    <row r="2513" spans="4:4" x14ac:dyDescent="0.25">
      <c r="D2513" s="796"/>
    </row>
    <row r="2514" spans="4:4" x14ac:dyDescent="0.25">
      <c r="D2514" s="796"/>
    </row>
    <row r="2515" spans="4:4" x14ac:dyDescent="0.25">
      <c r="D2515" s="796"/>
    </row>
    <row r="2516" spans="4:4" x14ac:dyDescent="0.25">
      <c r="D2516" s="796"/>
    </row>
    <row r="2517" spans="4:4" x14ac:dyDescent="0.25">
      <c r="D2517" s="796"/>
    </row>
    <row r="2518" spans="4:4" x14ac:dyDescent="0.25">
      <c r="D2518" s="796"/>
    </row>
    <row r="2519" spans="4:4" x14ac:dyDescent="0.25">
      <c r="D2519" s="796"/>
    </row>
    <row r="2520" spans="4:4" x14ac:dyDescent="0.25">
      <c r="D2520" s="796"/>
    </row>
    <row r="2521" spans="4:4" x14ac:dyDescent="0.25">
      <c r="D2521" s="796"/>
    </row>
    <row r="2522" spans="4:4" x14ac:dyDescent="0.25">
      <c r="D2522" s="796"/>
    </row>
    <row r="2523" spans="4:4" x14ac:dyDescent="0.25">
      <c r="D2523" s="796"/>
    </row>
    <row r="2524" spans="4:4" x14ac:dyDescent="0.25">
      <c r="D2524" s="796"/>
    </row>
    <row r="2525" spans="4:4" x14ac:dyDescent="0.25">
      <c r="D2525" s="796"/>
    </row>
    <row r="2526" spans="4:4" x14ac:dyDescent="0.25">
      <c r="D2526" s="796"/>
    </row>
    <row r="2527" spans="4:4" x14ac:dyDescent="0.25">
      <c r="D2527" s="796"/>
    </row>
    <row r="2528" spans="4:4" x14ac:dyDescent="0.25">
      <c r="D2528" s="796"/>
    </row>
    <row r="2529" spans="4:4" x14ac:dyDescent="0.25">
      <c r="D2529" s="796"/>
    </row>
    <row r="2530" spans="4:4" x14ac:dyDescent="0.25">
      <c r="D2530" s="796"/>
    </row>
    <row r="2531" spans="4:4" x14ac:dyDescent="0.25">
      <c r="D2531" s="796"/>
    </row>
    <row r="2532" spans="4:4" x14ac:dyDescent="0.25">
      <c r="D2532" s="796"/>
    </row>
    <row r="2533" spans="4:4" x14ac:dyDescent="0.25">
      <c r="D2533" s="796"/>
    </row>
    <row r="2534" spans="4:4" x14ac:dyDescent="0.25">
      <c r="D2534" s="796"/>
    </row>
    <row r="2535" spans="4:4" x14ac:dyDescent="0.25">
      <c r="D2535" s="796"/>
    </row>
    <row r="2536" spans="4:4" x14ac:dyDescent="0.25">
      <c r="D2536" s="796"/>
    </row>
    <row r="2537" spans="4:4" x14ac:dyDescent="0.25">
      <c r="D2537" s="796"/>
    </row>
    <row r="2538" spans="4:4" x14ac:dyDescent="0.25">
      <c r="D2538" s="796"/>
    </row>
    <row r="2539" spans="4:4" x14ac:dyDescent="0.25">
      <c r="D2539" s="796"/>
    </row>
    <row r="2540" spans="4:4" x14ac:dyDescent="0.25">
      <c r="D2540" s="796"/>
    </row>
    <row r="2541" spans="4:4" x14ac:dyDescent="0.25">
      <c r="D2541" s="796"/>
    </row>
    <row r="2542" spans="4:4" x14ac:dyDescent="0.25">
      <c r="D2542" s="796"/>
    </row>
    <row r="2543" spans="4:4" x14ac:dyDescent="0.25">
      <c r="D2543" s="796"/>
    </row>
    <row r="2544" spans="4:4" x14ac:dyDescent="0.25">
      <c r="D2544" s="796"/>
    </row>
    <row r="2545" spans="4:4" x14ac:dyDescent="0.25">
      <c r="D2545" s="796"/>
    </row>
    <row r="2546" spans="4:4" x14ac:dyDescent="0.25">
      <c r="D2546" s="796"/>
    </row>
    <row r="2547" spans="4:4" x14ac:dyDescent="0.25">
      <c r="D2547" s="796"/>
    </row>
    <row r="2548" spans="4:4" x14ac:dyDescent="0.25">
      <c r="D2548" s="796"/>
    </row>
    <row r="2549" spans="4:4" x14ac:dyDescent="0.25">
      <c r="D2549" s="796"/>
    </row>
    <row r="2550" spans="4:4" x14ac:dyDescent="0.25">
      <c r="D2550" s="796"/>
    </row>
    <row r="2551" spans="4:4" x14ac:dyDescent="0.25">
      <c r="D2551" s="796"/>
    </row>
    <row r="2552" spans="4:4" x14ac:dyDescent="0.25">
      <c r="D2552" s="796"/>
    </row>
    <row r="2553" spans="4:4" x14ac:dyDescent="0.25">
      <c r="D2553" s="796"/>
    </row>
    <row r="2554" spans="4:4" x14ac:dyDescent="0.25">
      <c r="D2554" s="796"/>
    </row>
    <row r="2555" spans="4:4" x14ac:dyDescent="0.25">
      <c r="D2555" s="796"/>
    </row>
    <row r="2556" spans="4:4" x14ac:dyDescent="0.25">
      <c r="D2556" s="796"/>
    </row>
    <row r="2557" spans="4:4" x14ac:dyDescent="0.25">
      <c r="D2557" s="796"/>
    </row>
    <row r="2558" spans="4:4" x14ac:dyDescent="0.25">
      <c r="D2558" s="796"/>
    </row>
    <row r="2559" spans="4:4" x14ac:dyDescent="0.25">
      <c r="D2559" s="796"/>
    </row>
    <row r="2560" spans="4:4" x14ac:dyDescent="0.25">
      <c r="D2560" s="796"/>
    </row>
    <row r="2561" spans="4:4" x14ac:dyDescent="0.25">
      <c r="D2561" s="796"/>
    </row>
    <row r="2562" spans="4:4" x14ac:dyDescent="0.25">
      <c r="D2562" s="796"/>
    </row>
    <row r="2563" spans="4:4" x14ac:dyDescent="0.25">
      <c r="D2563" s="796"/>
    </row>
    <row r="2564" spans="4:4" x14ac:dyDescent="0.25">
      <c r="D2564" s="796"/>
    </row>
    <row r="2565" spans="4:4" x14ac:dyDescent="0.25">
      <c r="D2565" s="796"/>
    </row>
    <row r="2566" spans="4:4" x14ac:dyDescent="0.25">
      <c r="D2566" s="796"/>
    </row>
    <row r="2567" spans="4:4" x14ac:dyDescent="0.25">
      <c r="D2567" s="796"/>
    </row>
    <row r="2568" spans="4:4" x14ac:dyDescent="0.25">
      <c r="D2568" s="796"/>
    </row>
    <row r="2569" spans="4:4" x14ac:dyDescent="0.25">
      <c r="D2569" s="796"/>
    </row>
    <row r="2570" spans="4:4" x14ac:dyDescent="0.25">
      <c r="D2570" s="796"/>
    </row>
    <row r="2571" spans="4:4" x14ac:dyDescent="0.25">
      <c r="D2571" s="796"/>
    </row>
    <row r="2572" spans="4:4" x14ac:dyDescent="0.25">
      <c r="D2572" s="796"/>
    </row>
    <row r="2573" spans="4:4" x14ac:dyDescent="0.25">
      <c r="D2573" s="796"/>
    </row>
    <row r="2574" spans="4:4" x14ac:dyDescent="0.25">
      <c r="D2574" s="796"/>
    </row>
    <row r="2575" spans="4:4" x14ac:dyDescent="0.25">
      <c r="D2575" s="796"/>
    </row>
    <row r="2576" spans="4:4" x14ac:dyDescent="0.25">
      <c r="D2576" s="796"/>
    </row>
    <row r="2577" spans="4:4" x14ac:dyDescent="0.25">
      <c r="D2577" s="796"/>
    </row>
    <row r="2578" spans="4:4" x14ac:dyDescent="0.25">
      <c r="D2578" s="796"/>
    </row>
    <row r="2579" spans="4:4" x14ac:dyDescent="0.25">
      <c r="D2579" s="796"/>
    </row>
    <row r="2580" spans="4:4" x14ac:dyDescent="0.25">
      <c r="D2580" s="796"/>
    </row>
    <row r="2581" spans="4:4" x14ac:dyDescent="0.25">
      <c r="D2581" s="796"/>
    </row>
    <row r="2582" spans="4:4" x14ac:dyDescent="0.25">
      <c r="D2582" s="796"/>
    </row>
    <row r="2583" spans="4:4" x14ac:dyDescent="0.25">
      <c r="D2583" s="796"/>
    </row>
    <row r="2584" spans="4:4" x14ac:dyDescent="0.25">
      <c r="D2584" s="796"/>
    </row>
    <row r="2585" spans="4:4" x14ac:dyDescent="0.25">
      <c r="D2585" s="796"/>
    </row>
    <row r="2586" spans="4:4" x14ac:dyDescent="0.25">
      <c r="D2586" s="796"/>
    </row>
    <row r="2587" spans="4:4" x14ac:dyDescent="0.25">
      <c r="D2587" s="796"/>
    </row>
    <row r="2588" spans="4:4" x14ac:dyDescent="0.25">
      <c r="D2588" s="796"/>
    </row>
    <row r="2589" spans="4:4" x14ac:dyDescent="0.25">
      <c r="D2589" s="796"/>
    </row>
    <row r="2590" spans="4:4" x14ac:dyDescent="0.25">
      <c r="D2590" s="796"/>
    </row>
    <row r="2591" spans="4:4" x14ac:dyDescent="0.25">
      <c r="D2591" s="796"/>
    </row>
    <row r="2592" spans="4:4" x14ac:dyDescent="0.25">
      <c r="D2592" s="796"/>
    </row>
    <row r="2593" spans="4:4" x14ac:dyDescent="0.25">
      <c r="D2593" s="796"/>
    </row>
    <row r="2594" spans="4:4" x14ac:dyDescent="0.25">
      <c r="D2594" s="796"/>
    </row>
    <row r="2595" spans="4:4" x14ac:dyDescent="0.25">
      <c r="D2595" s="796"/>
    </row>
    <row r="2596" spans="4:4" x14ac:dyDescent="0.25">
      <c r="D2596" s="796"/>
    </row>
    <row r="2597" spans="4:4" x14ac:dyDescent="0.25">
      <c r="D2597" s="796"/>
    </row>
    <row r="2598" spans="4:4" x14ac:dyDescent="0.25">
      <c r="D2598" s="796"/>
    </row>
    <row r="2599" spans="4:4" x14ac:dyDescent="0.25">
      <c r="D2599" s="796"/>
    </row>
    <row r="2600" spans="4:4" x14ac:dyDescent="0.25">
      <c r="D2600" s="796"/>
    </row>
    <row r="2601" spans="4:4" x14ac:dyDescent="0.25">
      <c r="D2601" s="796"/>
    </row>
    <row r="2602" spans="4:4" x14ac:dyDescent="0.25">
      <c r="D2602" s="796"/>
    </row>
    <row r="2603" spans="4:4" x14ac:dyDescent="0.25">
      <c r="D2603" s="796"/>
    </row>
    <row r="2604" spans="4:4" x14ac:dyDescent="0.25">
      <c r="D2604" s="796"/>
    </row>
    <row r="2605" spans="4:4" x14ac:dyDescent="0.25">
      <c r="D2605" s="796"/>
    </row>
    <row r="2606" spans="4:4" x14ac:dyDescent="0.25">
      <c r="D2606" s="796"/>
    </row>
    <row r="2607" spans="4:4" x14ac:dyDescent="0.25">
      <c r="D2607" s="796"/>
    </row>
    <row r="2608" spans="4:4" x14ac:dyDescent="0.25">
      <c r="D2608" s="796"/>
    </row>
    <row r="2609" spans="4:4" x14ac:dyDescent="0.25">
      <c r="D2609" s="796"/>
    </row>
    <row r="2610" spans="4:4" x14ac:dyDescent="0.25">
      <c r="D2610" s="796"/>
    </row>
    <row r="2611" spans="4:4" x14ac:dyDescent="0.25">
      <c r="D2611" s="796"/>
    </row>
    <row r="2612" spans="4:4" x14ac:dyDescent="0.25">
      <c r="D2612" s="796"/>
    </row>
    <row r="2613" spans="4:4" x14ac:dyDescent="0.25">
      <c r="D2613" s="796"/>
    </row>
    <row r="2614" spans="4:4" x14ac:dyDescent="0.25">
      <c r="D2614" s="796"/>
    </row>
    <row r="2615" spans="4:4" x14ac:dyDescent="0.25">
      <c r="D2615" s="796"/>
    </row>
    <row r="2616" spans="4:4" x14ac:dyDescent="0.25">
      <c r="D2616" s="796"/>
    </row>
    <row r="2617" spans="4:4" x14ac:dyDescent="0.25">
      <c r="D2617" s="796"/>
    </row>
    <row r="2618" spans="4:4" x14ac:dyDescent="0.25">
      <c r="D2618" s="796"/>
    </row>
    <row r="2619" spans="4:4" x14ac:dyDescent="0.25">
      <c r="D2619" s="796"/>
    </row>
    <row r="2620" spans="4:4" x14ac:dyDescent="0.25">
      <c r="D2620" s="796"/>
    </row>
    <row r="2621" spans="4:4" x14ac:dyDescent="0.25">
      <c r="D2621" s="796"/>
    </row>
    <row r="2622" spans="4:4" x14ac:dyDescent="0.25">
      <c r="D2622" s="796"/>
    </row>
    <row r="2623" spans="4:4" x14ac:dyDescent="0.25">
      <c r="D2623" s="796"/>
    </row>
    <row r="2624" spans="4:4" x14ac:dyDescent="0.25">
      <c r="D2624" s="796"/>
    </row>
    <row r="2625" spans="4:4" x14ac:dyDescent="0.25">
      <c r="D2625" s="796"/>
    </row>
    <row r="2626" spans="4:4" x14ac:dyDescent="0.25">
      <c r="D2626" s="796"/>
    </row>
    <row r="2627" spans="4:4" x14ac:dyDescent="0.25">
      <c r="D2627" s="796"/>
    </row>
    <row r="2628" spans="4:4" x14ac:dyDescent="0.25">
      <c r="D2628" s="796"/>
    </row>
    <row r="2629" spans="4:4" x14ac:dyDescent="0.25">
      <c r="D2629" s="796"/>
    </row>
    <row r="2630" spans="4:4" x14ac:dyDescent="0.25">
      <c r="D2630" s="796"/>
    </row>
    <row r="2631" spans="4:4" x14ac:dyDescent="0.25">
      <c r="D2631" s="796"/>
    </row>
    <row r="2632" spans="4:4" x14ac:dyDescent="0.25">
      <c r="D2632" s="796"/>
    </row>
    <row r="2633" spans="4:4" x14ac:dyDescent="0.25">
      <c r="D2633" s="796"/>
    </row>
    <row r="2634" spans="4:4" x14ac:dyDescent="0.25">
      <c r="D2634" s="796"/>
    </row>
    <row r="2635" spans="4:4" x14ac:dyDescent="0.25">
      <c r="D2635" s="796"/>
    </row>
    <row r="2636" spans="4:4" x14ac:dyDescent="0.25">
      <c r="D2636" s="796"/>
    </row>
    <row r="2637" spans="4:4" x14ac:dyDescent="0.25">
      <c r="D2637" s="796"/>
    </row>
    <row r="2638" spans="4:4" x14ac:dyDescent="0.25">
      <c r="D2638" s="796"/>
    </row>
    <row r="2639" spans="4:4" x14ac:dyDescent="0.25">
      <c r="D2639" s="796"/>
    </row>
    <row r="2640" spans="4:4" x14ac:dyDescent="0.25">
      <c r="D2640" s="796"/>
    </row>
    <row r="2641" spans="4:4" x14ac:dyDescent="0.25">
      <c r="D2641" s="796"/>
    </row>
    <row r="2642" spans="4:4" x14ac:dyDescent="0.25">
      <c r="D2642" s="796"/>
    </row>
    <row r="2643" spans="4:4" x14ac:dyDescent="0.25">
      <c r="D2643" s="796"/>
    </row>
    <row r="2644" spans="4:4" x14ac:dyDescent="0.25">
      <c r="D2644" s="796"/>
    </row>
    <row r="2645" spans="4:4" x14ac:dyDescent="0.25">
      <c r="D2645" s="796"/>
    </row>
    <row r="2646" spans="4:4" x14ac:dyDescent="0.25">
      <c r="D2646" s="796"/>
    </row>
    <row r="2647" spans="4:4" x14ac:dyDescent="0.25">
      <c r="D2647" s="796"/>
    </row>
    <row r="2648" spans="4:4" x14ac:dyDescent="0.25">
      <c r="D2648" s="796"/>
    </row>
    <row r="2649" spans="4:4" x14ac:dyDescent="0.25">
      <c r="D2649" s="796"/>
    </row>
    <row r="2650" spans="4:4" x14ac:dyDescent="0.25">
      <c r="D2650" s="796"/>
    </row>
    <row r="2651" spans="4:4" x14ac:dyDescent="0.25">
      <c r="D2651" s="796"/>
    </row>
    <row r="2652" spans="4:4" x14ac:dyDescent="0.25">
      <c r="D2652" s="796"/>
    </row>
    <row r="2653" spans="4:4" x14ac:dyDescent="0.25">
      <c r="D2653" s="796"/>
    </row>
    <row r="2654" spans="4:4" x14ac:dyDescent="0.25">
      <c r="D2654" s="796"/>
    </row>
    <row r="2655" spans="4:4" x14ac:dyDescent="0.25">
      <c r="D2655" s="796"/>
    </row>
    <row r="2656" spans="4:4" x14ac:dyDescent="0.25">
      <c r="D2656" s="796"/>
    </row>
    <row r="2657" spans="4:4" x14ac:dyDescent="0.25">
      <c r="D2657" s="796"/>
    </row>
    <row r="2658" spans="4:4" x14ac:dyDescent="0.25">
      <c r="D2658" s="796"/>
    </row>
    <row r="2659" spans="4:4" x14ac:dyDescent="0.25">
      <c r="D2659" s="796"/>
    </row>
    <row r="2660" spans="4:4" x14ac:dyDescent="0.25">
      <c r="D2660" s="796"/>
    </row>
    <row r="2661" spans="4:4" x14ac:dyDescent="0.25">
      <c r="D2661" s="796"/>
    </row>
    <row r="2662" spans="4:4" x14ac:dyDescent="0.25">
      <c r="D2662" s="796"/>
    </row>
    <row r="2663" spans="4:4" x14ac:dyDescent="0.25">
      <c r="D2663" s="796"/>
    </row>
    <row r="2664" spans="4:4" x14ac:dyDescent="0.25">
      <c r="D2664" s="796"/>
    </row>
    <row r="2665" spans="4:4" x14ac:dyDescent="0.25">
      <c r="D2665" s="796"/>
    </row>
    <row r="2666" spans="4:4" x14ac:dyDescent="0.25">
      <c r="D2666" s="796"/>
    </row>
    <row r="2667" spans="4:4" x14ac:dyDescent="0.25">
      <c r="D2667" s="796"/>
    </row>
    <row r="2668" spans="4:4" x14ac:dyDescent="0.25">
      <c r="D2668" s="796"/>
    </row>
    <row r="2669" spans="4:4" x14ac:dyDescent="0.25">
      <c r="D2669" s="796"/>
    </row>
    <row r="2670" spans="4:4" x14ac:dyDescent="0.25">
      <c r="D2670" s="796"/>
    </row>
    <row r="2671" spans="4:4" x14ac:dyDescent="0.25">
      <c r="D2671" s="796"/>
    </row>
    <row r="2672" spans="4:4" x14ac:dyDescent="0.25">
      <c r="D2672" s="796"/>
    </row>
    <row r="2673" spans="4:4" x14ac:dyDescent="0.25">
      <c r="D2673" s="796"/>
    </row>
    <row r="2674" spans="4:4" x14ac:dyDescent="0.25">
      <c r="D2674" s="796"/>
    </row>
    <row r="2675" spans="4:4" x14ac:dyDescent="0.25">
      <c r="D2675" s="796"/>
    </row>
    <row r="2676" spans="4:4" x14ac:dyDescent="0.25">
      <c r="D2676" s="796"/>
    </row>
    <row r="2677" spans="4:4" x14ac:dyDescent="0.25">
      <c r="D2677" s="796"/>
    </row>
    <row r="2678" spans="4:4" x14ac:dyDescent="0.25">
      <c r="D2678" s="796"/>
    </row>
    <row r="2679" spans="4:4" x14ac:dyDescent="0.25">
      <c r="D2679" s="796"/>
    </row>
    <row r="2680" spans="4:4" x14ac:dyDescent="0.25">
      <c r="D2680" s="796"/>
    </row>
    <row r="2681" spans="4:4" x14ac:dyDescent="0.25">
      <c r="D2681" s="796"/>
    </row>
    <row r="2682" spans="4:4" x14ac:dyDescent="0.25">
      <c r="D2682" s="796"/>
    </row>
    <row r="2683" spans="4:4" x14ac:dyDescent="0.25">
      <c r="D2683" s="796"/>
    </row>
    <row r="2684" spans="4:4" x14ac:dyDescent="0.25">
      <c r="D2684" s="796"/>
    </row>
    <row r="2685" spans="4:4" x14ac:dyDescent="0.25">
      <c r="D2685" s="796"/>
    </row>
    <row r="2686" spans="4:4" x14ac:dyDescent="0.25">
      <c r="D2686" s="796"/>
    </row>
    <row r="2687" spans="4:4" x14ac:dyDescent="0.25">
      <c r="D2687" s="796"/>
    </row>
    <row r="2688" spans="4:4" x14ac:dyDescent="0.25">
      <c r="D2688" s="796"/>
    </row>
    <row r="2689" spans="4:4" x14ac:dyDescent="0.25">
      <c r="D2689" s="796"/>
    </row>
    <row r="2690" spans="4:4" x14ac:dyDescent="0.25">
      <c r="D2690" s="796"/>
    </row>
    <row r="2691" spans="4:4" x14ac:dyDescent="0.25">
      <c r="D2691" s="796"/>
    </row>
    <row r="2692" spans="4:4" x14ac:dyDescent="0.25">
      <c r="D2692" s="796"/>
    </row>
    <row r="2693" spans="4:4" x14ac:dyDescent="0.25">
      <c r="D2693" s="796"/>
    </row>
    <row r="2694" spans="4:4" x14ac:dyDescent="0.25">
      <c r="D2694" s="796"/>
    </row>
    <row r="2695" spans="4:4" x14ac:dyDescent="0.25">
      <c r="D2695" s="796"/>
    </row>
    <row r="2696" spans="4:4" x14ac:dyDescent="0.25">
      <c r="D2696" s="796"/>
    </row>
    <row r="2697" spans="4:4" x14ac:dyDescent="0.25">
      <c r="D2697" s="796"/>
    </row>
    <row r="2698" spans="4:4" x14ac:dyDescent="0.25">
      <c r="D2698" s="796"/>
    </row>
    <row r="2699" spans="4:4" x14ac:dyDescent="0.25">
      <c r="D2699" s="796"/>
    </row>
    <row r="2700" spans="4:4" x14ac:dyDescent="0.25">
      <c r="D2700" s="796"/>
    </row>
    <row r="2701" spans="4:4" x14ac:dyDescent="0.25">
      <c r="D2701" s="796"/>
    </row>
    <row r="2702" spans="4:4" x14ac:dyDescent="0.25">
      <c r="D2702" s="796"/>
    </row>
    <row r="2703" spans="4:4" x14ac:dyDescent="0.25">
      <c r="D2703" s="796"/>
    </row>
    <row r="2704" spans="4:4" x14ac:dyDescent="0.25">
      <c r="D2704" s="796"/>
    </row>
    <row r="2705" spans="4:4" x14ac:dyDescent="0.25">
      <c r="D2705" s="796"/>
    </row>
    <row r="2706" spans="4:4" x14ac:dyDescent="0.25">
      <c r="D2706" s="796"/>
    </row>
    <row r="2707" spans="4:4" x14ac:dyDescent="0.25">
      <c r="D2707" s="796"/>
    </row>
    <row r="2708" spans="4:4" x14ac:dyDescent="0.25">
      <c r="D2708" s="796"/>
    </row>
    <row r="2709" spans="4:4" x14ac:dyDescent="0.25">
      <c r="D2709" s="796"/>
    </row>
    <row r="2710" spans="4:4" x14ac:dyDescent="0.25">
      <c r="D2710" s="796"/>
    </row>
    <row r="2711" spans="4:4" x14ac:dyDescent="0.25">
      <c r="D2711" s="796"/>
    </row>
    <row r="2712" spans="4:4" x14ac:dyDescent="0.25">
      <c r="D2712" s="796"/>
    </row>
    <row r="2713" spans="4:4" x14ac:dyDescent="0.25">
      <c r="D2713" s="796"/>
    </row>
    <row r="2714" spans="4:4" x14ac:dyDescent="0.25">
      <c r="D2714" s="796"/>
    </row>
    <row r="2715" spans="4:4" x14ac:dyDescent="0.25">
      <c r="D2715" s="796"/>
    </row>
    <row r="2716" spans="4:4" x14ac:dyDescent="0.25">
      <c r="D2716" s="796"/>
    </row>
    <row r="2717" spans="4:4" x14ac:dyDescent="0.25">
      <c r="D2717" s="796"/>
    </row>
    <row r="2718" spans="4:4" x14ac:dyDescent="0.25">
      <c r="D2718" s="796"/>
    </row>
    <row r="2719" spans="4:4" x14ac:dyDescent="0.25">
      <c r="D2719" s="796"/>
    </row>
    <row r="2720" spans="4:4" x14ac:dyDescent="0.25">
      <c r="D2720" s="796"/>
    </row>
    <row r="2721" spans="4:4" x14ac:dyDescent="0.25">
      <c r="D2721" s="796"/>
    </row>
    <row r="2722" spans="4:4" x14ac:dyDescent="0.25">
      <c r="D2722" s="796"/>
    </row>
    <row r="2723" spans="4:4" x14ac:dyDescent="0.25">
      <c r="D2723" s="796"/>
    </row>
    <row r="2724" spans="4:4" x14ac:dyDescent="0.25">
      <c r="D2724" s="796"/>
    </row>
    <row r="2725" spans="4:4" x14ac:dyDescent="0.25">
      <c r="D2725" s="796"/>
    </row>
    <row r="2726" spans="4:4" x14ac:dyDescent="0.25">
      <c r="D2726" s="796"/>
    </row>
    <row r="2727" spans="4:4" x14ac:dyDescent="0.25">
      <c r="D2727" s="796"/>
    </row>
    <row r="2728" spans="4:4" x14ac:dyDescent="0.25">
      <c r="D2728" s="796"/>
    </row>
    <row r="2729" spans="4:4" x14ac:dyDescent="0.25">
      <c r="D2729" s="796"/>
    </row>
    <row r="2730" spans="4:4" x14ac:dyDescent="0.25">
      <c r="D2730" s="796"/>
    </row>
    <row r="2731" spans="4:4" x14ac:dyDescent="0.25">
      <c r="D2731" s="796"/>
    </row>
    <row r="2732" spans="4:4" x14ac:dyDescent="0.25">
      <c r="D2732" s="796"/>
    </row>
    <row r="2733" spans="4:4" x14ac:dyDescent="0.25">
      <c r="D2733" s="796"/>
    </row>
    <row r="2734" spans="4:4" x14ac:dyDescent="0.25">
      <c r="D2734" s="796"/>
    </row>
    <row r="2735" spans="4:4" x14ac:dyDescent="0.25">
      <c r="D2735" s="796"/>
    </row>
    <row r="2736" spans="4:4" x14ac:dyDescent="0.25">
      <c r="D2736" s="796"/>
    </row>
    <row r="2737" spans="4:4" x14ac:dyDescent="0.25">
      <c r="D2737" s="796"/>
    </row>
    <row r="2738" spans="4:4" x14ac:dyDescent="0.25">
      <c r="D2738" s="796"/>
    </row>
    <row r="2739" spans="4:4" x14ac:dyDescent="0.25">
      <c r="D2739" s="796"/>
    </row>
    <row r="2740" spans="4:4" x14ac:dyDescent="0.25">
      <c r="D2740" s="796"/>
    </row>
    <row r="2741" spans="4:4" x14ac:dyDescent="0.25">
      <c r="D2741" s="796"/>
    </row>
    <row r="2742" spans="4:4" x14ac:dyDescent="0.25">
      <c r="D2742" s="796"/>
    </row>
    <row r="2743" spans="4:4" x14ac:dyDescent="0.25">
      <c r="D2743" s="796"/>
    </row>
    <row r="2744" spans="4:4" x14ac:dyDescent="0.25">
      <c r="D2744" s="796"/>
    </row>
    <row r="2745" spans="4:4" x14ac:dyDescent="0.25">
      <c r="D2745" s="796"/>
    </row>
    <row r="2746" spans="4:4" x14ac:dyDescent="0.25">
      <c r="D2746" s="796"/>
    </row>
    <row r="2747" spans="4:4" x14ac:dyDescent="0.25">
      <c r="D2747" s="796"/>
    </row>
    <row r="2748" spans="4:4" x14ac:dyDescent="0.25">
      <c r="D2748" s="796"/>
    </row>
    <row r="2749" spans="4:4" x14ac:dyDescent="0.25">
      <c r="D2749" s="796"/>
    </row>
    <row r="2750" spans="4:4" x14ac:dyDescent="0.25">
      <c r="D2750" s="796"/>
    </row>
    <row r="2751" spans="4:4" x14ac:dyDescent="0.25">
      <c r="D2751" s="796"/>
    </row>
    <row r="2752" spans="4:4" x14ac:dyDescent="0.25">
      <c r="D2752" s="796"/>
    </row>
    <row r="2753" spans="4:4" x14ac:dyDescent="0.25">
      <c r="D2753" s="796"/>
    </row>
    <row r="2754" spans="4:4" x14ac:dyDescent="0.25">
      <c r="D2754" s="796"/>
    </row>
    <row r="2755" spans="4:4" x14ac:dyDescent="0.25">
      <c r="D2755" s="796"/>
    </row>
    <row r="2756" spans="4:4" x14ac:dyDescent="0.25">
      <c r="D2756" s="796"/>
    </row>
    <row r="2757" spans="4:4" x14ac:dyDescent="0.25">
      <c r="D2757" s="796"/>
    </row>
    <row r="2758" spans="4:4" x14ac:dyDescent="0.25">
      <c r="D2758" s="796"/>
    </row>
    <row r="2759" spans="4:4" x14ac:dyDescent="0.25">
      <c r="D2759" s="796"/>
    </row>
    <row r="2760" spans="4:4" x14ac:dyDescent="0.25">
      <c r="D2760" s="796"/>
    </row>
    <row r="2761" spans="4:4" x14ac:dyDescent="0.25">
      <c r="D2761" s="796"/>
    </row>
    <row r="2762" spans="4:4" x14ac:dyDescent="0.25">
      <c r="D2762" s="796"/>
    </row>
    <row r="2763" spans="4:4" x14ac:dyDescent="0.25">
      <c r="D2763" s="796"/>
    </row>
    <row r="2764" spans="4:4" x14ac:dyDescent="0.25">
      <c r="D2764" s="796"/>
    </row>
    <row r="2765" spans="4:4" x14ac:dyDescent="0.25">
      <c r="D2765" s="796"/>
    </row>
    <row r="2766" spans="4:4" x14ac:dyDescent="0.25">
      <c r="D2766" s="796"/>
    </row>
    <row r="2767" spans="4:4" x14ac:dyDescent="0.25">
      <c r="D2767" s="796"/>
    </row>
    <row r="2768" spans="4:4" x14ac:dyDescent="0.25">
      <c r="D2768" s="796"/>
    </row>
    <row r="2769" spans="4:4" x14ac:dyDescent="0.25">
      <c r="D2769" s="796"/>
    </row>
    <row r="2770" spans="4:4" x14ac:dyDescent="0.25">
      <c r="D2770" s="796"/>
    </row>
    <row r="2771" spans="4:4" x14ac:dyDescent="0.25">
      <c r="D2771" s="796"/>
    </row>
    <row r="2772" spans="4:4" x14ac:dyDescent="0.25">
      <c r="D2772" s="796"/>
    </row>
    <row r="2773" spans="4:4" x14ac:dyDescent="0.25">
      <c r="D2773" s="796"/>
    </row>
    <row r="2774" spans="4:4" x14ac:dyDescent="0.25">
      <c r="D2774" s="796"/>
    </row>
    <row r="2775" spans="4:4" x14ac:dyDescent="0.25">
      <c r="D2775" s="796"/>
    </row>
    <row r="2776" spans="4:4" x14ac:dyDescent="0.25">
      <c r="D2776" s="796"/>
    </row>
    <row r="2777" spans="4:4" x14ac:dyDescent="0.25">
      <c r="D2777" s="796"/>
    </row>
    <row r="2778" spans="4:4" x14ac:dyDescent="0.25">
      <c r="D2778" s="796"/>
    </row>
    <row r="2779" spans="4:4" x14ac:dyDescent="0.25">
      <c r="D2779" s="796"/>
    </row>
    <row r="2780" spans="4:4" x14ac:dyDescent="0.25">
      <c r="D2780" s="796"/>
    </row>
    <row r="2781" spans="4:4" x14ac:dyDescent="0.25">
      <c r="D2781" s="796"/>
    </row>
    <row r="2782" spans="4:4" x14ac:dyDescent="0.25">
      <c r="D2782" s="796"/>
    </row>
    <row r="2783" spans="4:4" x14ac:dyDescent="0.25">
      <c r="D2783" s="796"/>
    </row>
    <row r="2784" spans="4:4" x14ac:dyDescent="0.25">
      <c r="D2784" s="796"/>
    </row>
    <row r="2785" spans="4:4" x14ac:dyDescent="0.25">
      <c r="D2785" s="796"/>
    </row>
    <row r="2786" spans="4:4" x14ac:dyDescent="0.25">
      <c r="D2786" s="796"/>
    </row>
    <row r="2787" spans="4:4" x14ac:dyDescent="0.25">
      <c r="D2787" s="796"/>
    </row>
    <row r="2788" spans="4:4" x14ac:dyDescent="0.25">
      <c r="D2788" s="796"/>
    </row>
    <row r="2789" spans="4:4" x14ac:dyDescent="0.25">
      <c r="D2789" s="796"/>
    </row>
    <row r="2790" spans="4:4" x14ac:dyDescent="0.25">
      <c r="D2790" s="796"/>
    </row>
    <row r="2791" spans="4:4" x14ac:dyDescent="0.25">
      <c r="D2791" s="796"/>
    </row>
    <row r="2792" spans="4:4" x14ac:dyDescent="0.25">
      <c r="D2792" s="796"/>
    </row>
    <row r="2793" spans="4:4" x14ac:dyDescent="0.25">
      <c r="D2793" s="796"/>
    </row>
    <row r="2794" spans="4:4" x14ac:dyDescent="0.25">
      <c r="D2794" s="796"/>
    </row>
    <row r="2795" spans="4:4" x14ac:dyDescent="0.25">
      <c r="D2795" s="796"/>
    </row>
    <row r="2796" spans="4:4" x14ac:dyDescent="0.25">
      <c r="D2796" s="796"/>
    </row>
    <row r="2797" spans="4:4" x14ac:dyDescent="0.25">
      <c r="D2797" s="796"/>
    </row>
    <row r="2798" spans="4:4" x14ac:dyDescent="0.25">
      <c r="D2798" s="796"/>
    </row>
    <row r="2799" spans="4:4" x14ac:dyDescent="0.25">
      <c r="D2799" s="796"/>
    </row>
    <row r="2800" spans="4:4" x14ac:dyDescent="0.25">
      <c r="D2800" s="796"/>
    </row>
    <row r="2801" spans="4:4" x14ac:dyDescent="0.25">
      <c r="D2801" s="796"/>
    </row>
    <row r="2802" spans="4:4" x14ac:dyDescent="0.25">
      <c r="D2802" s="796"/>
    </row>
    <row r="2803" spans="4:4" x14ac:dyDescent="0.25">
      <c r="D2803" s="796"/>
    </row>
    <row r="2804" spans="4:4" x14ac:dyDescent="0.25">
      <c r="D2804" s="796"/>
    </row>
    <row r="2805" spans="4:4" x14ac:dyDescent="0.25">
      <c r="D2805" s="796"/>
    </row>
    <row r="2806" spans="4:4" x14ac:dyDescent="0.25">
      <c r="D2806" s="796"/>
    </row>
    <row r="2807" spans="4:4" x14ac:dyDescent="0.25">
      <c r="D2807" s="796"/>
    </row>
    <row r="2808" spans="4:4" x14ac:dyDescent="0.25">
      <c r="D2808" s="796"/>
    </row>
    <row r="2809" spans="4:4" x14ac:dyDescent="0.25">
      <c r="D2809" s="796"/>
    </row>
    <row r="2810" spans="4:4" x14ac:dyDescent="0.25">
      <c r="D2810" s="796"/>
    </row>
    <row r="2811" spans="4:4" x14ac:dyDescent="0.25">
      <c r="D2811" s="796"/>
    </row>
    <row r="2812" spans="4:4" x14ac:dyDescent="0.25">
      <c r="D2812" s="796"/>
    </row>
    <row r="2813" spans="4:4" x14ac:dyDescent="0.25">
      <c r="D2813" s="796"/>
    </row>
    <row r="2814" spans="4:4" x14ac:dyDescent="0.25">
      <c r="D2814" s="796"/>
    </row>
    <row r="2815" spans="4:4" x14ac:dyDescent="0.25">
      <c r="D2815" s="796"/>
    </row>
    <row r="2816" spans="4:4" x14ac:dyDescent="0.25">
      <c r="D2816" s="796"/>
    </row>
    <row r="2817" spans="4:4" x14ac:dyDescent="0.25">
      <c r="D2817" s="796"/>
    </row>
    <row r="2818" spans="4:4" x14ac:dyDescent="0.25">
      <c r="D2818" s="796"/>
    </row>
    <row r="2819" spans="4:4" x14ac:dyDescent="0.25">
      <c r="D2819" s="796"/>
    </row>
    <row r="2820" spans="4:4" x14ac:dyDescent="0.25">
      <c r="D2820" s="796"/>
    </row>
    <row r="2821" spans="4:4" x14ac:dyDescent="0.25">
      <c r="D2821" s="796"/>
    </row>
    <row r="2822" spans="4:4" x14ac:dyDescent="0.25">
      <c r="D2822" s="796"/>
    </row>
    <row r="2823" spans="4:4" x14ac:dyDescent="0.25">
      <c r="D2823" s="796"/>
    </row>
    <row r="2824" spans="4:4" x14ac:dyDescent="0.25">
      <c r="D2824" s="796"/>
    </row>
    <row r="2825" spans="4:4" x14ac:dyDescent="0.25">
      <c r="D2825" s="796"/>
    </row>
    <row r="2826" spans="4:4" x14ac:dyDescent="0.25">
      <c r="D2826" s="796"/>
    </row>
    <row r="2827" spans="4:4" x14ac:dyDescent="0.25">
      <c r="D2827" s="796"/>
    </row>
    <row r="2828" spans="4:4" x14ac:dyDescent="0.25">
      <c r="D2828" s="796"/>
    </row>
    <row r="2829" spans="4:4" x14ac:dyDescent="0.25">
      <c r="D2829" s="796"/>
    </row>
    <row r="2830" spans="4:4" x14ac:dyDescent="0.25">
      <c r="D2830" s="796"/>
    </row>
    <row r="2831" spans="4:4" x14ac:dyDescent="0.25">
      <c r="D2831" s="796"/>
    </row>
    <row r="2832" spans="4:4" x14ac:dyDescent="0.25">
      <c r="D2832" s="796"/>
    </row>
    <row r="2833" spans="4:4" x14ac:dyDescent="0.25">
      <c r="D2833" s="796"/>
    </row>
    <row r="2834" spans="4:4" x14ac:dyDescent="0.25">
      <c r="D2834" s="796"/>
    </row>
    <row r="2835" spans="4:4" x14ac:dyDescent="0.25">
      <c r="D2835" s="796"/>
    </row>
    <row r="2836" spans="4:4" x14ac:dyDescent="0.25">
      <c r="D2836" s="796"/>
    </row>
    <row r="2837" spans="4:4" x14ac:dyDescent="0.25">
      <c r="D2837" s="796"/>
    </row>
    <row r="2838" spans="4:4" x14ac:dyDescent="0.25">
      <c r="D2838" s="796"/>
    </row>
    <row r="2839" spans="4:4" x14ac:dyDescent="0.25">
      <c r="D2839" s="796"/>
    </row>
    <row r="2840" spans="4:4" x14ac:dyDescent="0.25">
      <c r="D2840" s="796"/>
    </row>
    <row r="2841" spans="4:4" x14ac:dyDescent="0.25">
      <c r="D2841" s="796"/>
    </row>
    <row r="2842" spans="4:4" x14ac:dyDescent="0.25">
      <c r="D2842" s="796"/>
    </row>
    <row r="2843" spans="4:4" x14ac:dyDescent="0.25">
      <c r="D2843" s="796"/>
    </row>
    <row r="2844" spans="4:4" x14ac:dyDescent="0.25">
      <c r="D2844" s="796"/>
    </row>
    <row r="2845" spans="4:4" x14ac:dyDescent="0.25">
      <c r="D2845" s="796"/>
    </row>
    <row r="2846" spans="4:4" x14ac:dyDescent="0.25">
      <c r="D2846" s="796"/>
    </row>
    <row r="2847" spans="4:4" x14ac:dyDescent="0.25">
      <c r="D2847" s="796"/>
    </row>
    <row r="2848" spans="4:4" x14ac:dyDescent="0.25">
      <c r="D2848" s="796"/>
    </row>
    <row r="2849" spans="4:4" x14ac:dyDescent="0.25">
      <c r="D2849" s="796"/>
    </row>
    <row r="2850" spans="4:4" x14ac:dyDescent="0.25">
      <c r="D2850" s="796"/>
    </row>
    <row r="2851" spans="4:4" x14ac:dyDescent="0.25">
      <c r="D2851" s="796"/>
    </row>
    <row r="2852" spans="4:4" x14ac:dyDescent="0.25">
      <c r="D2852" s="796"/>
    </row>
    <row r="2853" spans="4:4" x14ac:dyDescent="0.25">
      <c r="D2853" s="796"/>
    </row>
    <row r="2854" spans="4:4" x14ac:dyDescent="0.25">
      <c r="D2854" s="796"/>
    </row>
    <row r="2855" spans="4:4" x14ac:dyDescent="0.25">
      <c r="D2855" s="796"/>
    </row>
    <row r="2856" spans="4:4" x14ac:dyDescent="0.25">
      <c r="D2856" s="796"/>
    </row>
    <row r="2857" spans="4:4" x14ac:dyDescent="0.25">
      <c r="D2857" s="796"/>
    </row>
    <row r="2858" spans="4:4" x14ac:dyDescent="0.25">
      <c r="D2858" s="796"/>
    </row>
    <row r="2859" spans="4:4" x14ac:dyDescent="0.25">
      <c r="D2859" s="796"/>
    </row>
    <row r="2860" spans="4:4" x14ac:dyDescent="0.25">
      <c r="D2860" s="796"/>
    </row>
    <row r="2861" spans="4:4" x14ac:dyDescent="0.25">
      <c r="D2861" s="796"/>
    </row>
    <row r="2862" spans="4:4" x14ac:dyDescent="0.25">
      <c r="D2862" s="796"/>
    </row>
    <row r="2863" spans="4:4" x14ac:dyDescent="0.25">
      <c r="D2863" s="796"/>
    </row>
    <row r="2864" spans="4:4" x14ac:dyDescent="0.25">
      <c r="D2864" s="796"/>
    </row>
    <row r="2865" spans="4:4" x14ac:dyDescent="0.25">
      <c r="D2865" s="796"/>
    </row>
    <row r="2866" spans="4:4" x14ac:dyDescent="0.25">
      <c r="D2866" s="796"/>
    </row>
    <row r="2867" spans="4:4" x14ac:dyDescent="0.25">
      <c r="D2867" s="796"/>
    </row>
    <row r="2868" spans="4:4" x14ac:dyDescent="0.25">
      <c r="D2868" s="796"/>
    </row>
    <row r="2869" spans="4:4" x14ac:dyDescent="0.25">
      <c r="D2869" s="796"/>
    </row>
    <row r="2870" spans="4:4" x14ac:dyDescent="0.25">
      <c r="D2870" s="796"/>
    </row>
    <row r="2871" spans="4:4" x14ac:dyDescent="0.25">
      <c r="D2871" s="796"/>
    </row>
    <row r="2872" spans="4:4" x14ac:dyDescent="0.25">
      <c r="D2872" s="796"/>
    </row>
    <row r="2873" spans="4:4" x14ac:dyDescent="0.25">
      <c r="D2873" s="796"/>
    </row>
    <row r="2874" spans="4:4" x14ac:dyDescent="0.25">
      <c r="D2874" s="796"/>
    </row>
    <row r="2875" spans="4:4" x14ac:dyDescent="0.25">
      <c r="D2875" s="796"/>
    </row>
    <row r="2876" spans="4:4" x14ac:dyDescent="0.25">
      <c r="D2876" s="796"/>
    </row>
    <row r="2877" spans="4:4" x14ac:dyDescent="0.25">
      <c r="D2877" s="796"/>
    </row>
    <row r="2878" spans="4:4" x14ac:dyDescent="0.25">
      <c r="D2878" s="796"/>
    </row>
    <row r="2879" spans="4:4" x14ac:dyDescent="0.25">
      <c r="D2879" s="796"/>
    </row>
    <row r="2880" spans="4:4" x14ac:dyDescent="0.25">
      <c r="D2880" s="796"/>
    </row>
    <row r="2881" spans="4:4" x14ac:dyDescent="0.25">
      <c r="D2881" s="796"/>
    </row>
    <row r="2882" spans="4:4" x14ac:dyDescent="0.25">
      <c r="D2882" s="796"/>
    </row>
    <row r="2883" spans="4:4" x14ac:dyDescent="0.25">
      <c r="D2883" s="796"/>
    </row>
    <row r="2884" spans="4:4" x14ac:dyDescent="0.25">
      <c r="D2884" s="796"/>
    </row>
    <row r="2885" spans="4:4" x14ac:dyDescent="0.25">
      <c r="D2885" s="796"/>
    </row>
    <row r="2886" spans="4:4" x14ac:dyDescent="0.25">
      <c r="D2886" s="796"/>
    </row>
    <row r="2887" spans="4:4" x14ac:dyDescent="0.25">
      <c r="D2887" s="796"/>
    </row>
    <row r="2888" spans="4:4" x14ac:dyDescent="0.25">
      <c r="D2888" s="796"/>
    </row>
    <row r="2889" spans="4:4" x14ac:dyDescent="0.25">
      <c r="D2889" s="796"/>
    </row>
    <row r="2890" spans="4:4" x14ac:dyDescent="0.25">
      <c r="D2890" s="796"/>
    </row>
    <row r="2891" spans="4:4" x14ac:dyDescent="0.25">
      <c r="D2891" s="796"/>
    </row>
    <row r="2892" spans="4:4" x14ac:dyDescent="0.25">
      <c r="D2892" s="796"/>
    </row>
    <row r="2893" spans="4:4" x14ac:dyDescent="0.25">
      <c r="D2893" s="796"/>
    </row>
    <row r="2894" spans="4:4" x14ac:dyDescent="0.25">
      <c r="D2894" s="796"/>
    </row>
    <row r="2895" spans="4:4" x14ac:dyDescent="0.25">
      <c r="D2895" s="796"/>
    </row>
    <row r="2896" spans="4:4" x14ac:dyDescent="0.25">
      <c r="D2896" s="796"/>
    </row>
    <row r="2897" spans="4:4" x14ac:dyDescent="0.25">
      <c r="D2897" s="796"/>
    </row>
    <row r="2898" spans="4:4" x14ac:dyDescent="0.25">
      <c r="D2898" s="796"/>
    </row>
    <row r="2899" spans="4:4" x14ac:dyDescent="0.25">
      <c r="D2899" s="796"/>
    </row>
    <row r="2900" spans="4:4" x14ac:dyDescent="0.25">
      <c r="D2900" s="796"/>
    </row>
    <row r="2901" spans="4:4" x14ac:dyDescent="0.25">
      <c r="D2901" s="796"/>
    </row>
    <row r="2902" spans="4:4" x14ac:dyDescent="0.25">
      <c r="D2902" s="796"/>
    </row>
    <row r="2903" spans="4:4" x14ac:dyDescent="0.25">
      <c r="D2903" s="796"/>
    </row>
    <row r="2904" spans="4:4" x14ac:dyDescent="0.25">
      <c r="D2904" s="796"/>
    </row>
    <row r="2905" spans="4:4" x14ac:dyDescent="0.25">
      <c r="D2905" s="796"/>
    </row>
    <row r="2906" spans="4:4" x14ac:dyDescent="0.25">
      <c r="D2906" s="796"/>
    </row>
    <row r="2907" spans="4:4" x14ac:dyDescent="0.25">
      <c r="D2907" s="796"/>
    </row>
    <row r="2908" spans="4:4" x14ac:dyDescent="0.25">
      <c r="D2908" s="796"/>
    </row>
    <row r="2909" spans="4:4" x14ac:dyDescent="0.25">
      <c r="D2909" s="796"/>
    </row>
    <row r="2910" spans="4:4" x14ac:dyDescent="0.25">
      <c r="D2910" s="796"/>
    </row>
    <row r="2911" spans="4:4" x14ac:dyDescent="0.25">
      <c r="D2911" s="796"/>
    </row>
    <row r="2912" spans="4:4" x14ac:dyDescent="0.25">
      <c r="D2912" s="796"/>
    </row>
    <row r="2913" spans="4:4" x14ac:dyDescent="0.25">
      <c r="D2913" s="796"/>
    </row>
    <row r="2914" spans="4:4" x14ac:dyDescent="0.25">
      <c r="D2914" s="796"/>
    </row>
    <row r="2915" spans="4:4" x14ac:dyDescent="0.25">
      <c r="D2915" s="796"/>
    </row>
    <row r="2916" spans="4:4" x14ac:dyDescent="0.25">
      <c r="D2916" s="796"/>
    </row>
    <row r="2917" spans="4:4" x14ac:dyDescent="0.25">
      <c r="D2917" s="796"/>
    </row>
    <row r="2918" spans="4:4" x14ac:dyDescent="0.25">
      <c r="D2918" s="796"/>
    </row>
    <row r="2919" spans="4:4" x14ac:dyDescent="0.25">
      <c r="D2919" s="796"/>
    </row>
    <row r="2920" spans="4:4" x14ac:dyDescent="0.25">
      <c r="D2920" s="796"/>
    </row>
    <row r="2921" spans="4:4" x14ac:dyDescent="0.25">
      <c r="D2921" s="796"/>
    </row>
    <row r="2922" spans="4:4" x14ac:dyDescent="0.25">
      <c r="D2922" s="796"/>
    </row>
    <row r="2923" spans="4:4" x14ac:dyDescent="0.25">
      <c r="D2923" s="796"/>
    </row>
    <row r="2924" spans="4:4" x14ac:dyDescent="0.25">
      <c r="D2924" s="796"/>
    </row>
    <row r="2925" spans="4:4" x14ac:dyDescent="0.25">
      <c r="D2925" s="796"/>
    </row>
    <row r="2926" spans="4:4" x14ac:dyDescent="0.25">
      <c r="D2926" s="796"/>
    </row>
    <row r="2927" spans="4:4" x14ac:dyDescent="0.25">
      <c r="D2927" s="796"/>
    </row>
    <row r="2928" spans="4:4" x14ac:dyDescent="0.25">
      <c r="D2928" s="796"/>
    </row>
    <row r="2929" spans="4:4" x14ac:dyDescent="0.25">
      <c r="D2929" s="796"/>
    </row>
    <row r="2930" spans="4:4" x14ac:dyDescent="0.25">
      <c r="D2930" s="796"/>
    </row>
    <row r="2931" spans="4:4" x14ac:dyDescent="0.25">
      <c r="D2931" s="796"/>
    </row>
    <row r="2932" spans="4:4" x14ac:dyDescent="0.25">
      <c r="D2932" s="796"/>
    </row>
    <row r="2933" spans="4:4" x14ac:dyDescent="0.25">
      <c r="D2933" s="796"/>
    </row>
    <row r="2934" spans="4:4" x14ac:dyDescent="0.25">
      <c r="D2934" s="796"/>
    </row>
    <row r="2935" spans="4:4" x14ac:dyDescent="0.25">
      <c r="D2935" s="796"/>
    </row>
    <row r="2936" spans="4:4" x14ac:dyDescent="0.25">
      <c r="D2936" s="796"/>
    </row>
    <row r="2937" spans="4:4" x14ac:dyDescent="0.25">
      <c r="D2937" s="796"/>
    </row>
    <row r="2938" spans="4:4" x14ac:dyDescent="0.25">
      <c r="D2938" s="796"/>
    </row>
    <row r="2939" spans="4:4" x14ac:dyDescent="0.25">
      <c r="D2939" s="796"/>
    </row>
    <row r="2940" spans="4:4" x14ac:dyDescent="0.25">
      <c r="D2940" s="796"/>
    </row>
    <row r="2941" spans="4:4" x14ac:dyDescent="0.25">
      <c r="D2941" s="796"/>
    </row>
    <row r="2942" spans="4:4" x14ac:dyDescent="0.25">
      <c r="D2942" s="796"/>
    </row>
    <row r="2943" spans="4:4" x14ac:dyDescent="0.25">
      <c r="D2943" s="796"/>
    </row>
    <row r="2944" spans="4:4" x14ac:dyDescent="0.25">
      <c r="D2944" s="796"/>
    </row>
    <row r="2945" spans="4:4" x14ac:dyDescent="0.25">
      <c r="D2945" s="796"/>
    </row>
    <row r="2946" spans="4:4" x14ac:dyDescent="0.25">
      <c r="D2946" s="796"/>
    </row>
    <row r="2947" spans="4:4" x14ac:dyDescent="0.25">
      <c r="D2947" s="796"/>
    </row>
    <row r="2948" spans="4:4" x14ac:dyDescent="0.25">
      <c r="D2948" s="796"/>
    </row>
    <row r="2949" spans="4:4" x14ac:dyDescent="0.25">
      <c r="D2949" s="796"/>
    </row>
    <row r="2950" spans="4:4" x14ac:dyDescent="0.25">
      <c r="D2950" s="796"/>
    </row>
    <row r="2951" spans="4:4" x14ac:dyDescent="0.25">
      <c r="D2951" s="796"/>
    </row>
    <row r="2952" spans="4:4" x14ac:dyDescent="0.25">
      <c r="D2952" s="796"/>
    </row>
    <row r="2953" spans="4:4" x14ac:dyDescent="0.25">
      <c r="D2953" s="796"/>
    </row>
    <row r="2954" spans="4:4" x14ac:dyDescent="0.25">
      <c r="D2954" s="796"/>
    </row>
    <row r="2955" spans="4:4" x14ac:dyDescent="0.25">
      <c r="D2955" s="796"/>
    </row>
    <row r="2956" spans="4:4" x14ac:dyDescent="0.25">
      <c r="D2956" s="796"/>
    </row>
    <row r="2957" spans="4:4" x14ac:dyDescent="0.25">
      <c r="D2957" s="796"/>
    </row>
    <row r="2958" spans="4:4" x14ac:dyDescent="0.25">
      <c r="D2958" s="796"/>
    </row>
    <row r="2959" spans="4:4" x14ac:dyDescent="0.25">
      <c r="D2959" s="796"/>
    </row>
    <row r="2960" spans="4:4" x14ac:dyDescent="0.25">
      <c r="D2960" s="796"/>
    </row>
    <row r="2961" spans="4:4" x14ac:dyDescent="0.25">
      <c r="D2961" s="796"/>
    </row>
    <row r="2962" spans="4:4" x14ac:dyDescent="0.25">
      <c r="D2962" s="796"/>
    </row>
    <row r="2963" spans="4:4" x14ac:dyDescent="0.25">
      <c r="D2963" s="796"/>
    </row>
    <row r="2964" spans="4:4" x14ac:dyDescent="0.25">
      <c r="D2964" s="796"/>
    </row>
    <row r="2965" spans="4:4" x14ac:dyDescent="0.25">
      <c r="D2965" s="796"/>
    </row>
    <row r="2966" spans="4:4" x14ac:dyDescent="0.25">
      <c r="D2966" s="796"/>
    </row>
    <row r="2967" spans="4:4" x14ac:dyDescent="0.25">
      <c r="D2967" s="796"/>
    </row>
    <row r="2968" spans="4:4" x14ac:dyDescent="0.25">
      <c r="D2968" s="796"/>
    </row>
    <row r="2969" spans="4:4" x14ac:dyDescent="0.25">
      <c r="D2969" s="796"/>
    </row>
    <row r="2970" spans="4:4" x14ac:dyDescent="0.25">
      <c r="D2970" s="796"/>
    </row>
    <row r="2971" spans="4:4" x14ac:dyDescent="0.25">
      <c r="D2971" s="796"/>
    </row>
    <row r="2972" spans="4:4" x14ac:dyDescent="0.25">
      <c r="D2972" s="796"/>
    </row>
    <row r="2973" spans="4:4" x14ac:dyDescent="0.25">
      <c r="D2973" s="796"/>
    </row>
    <row r="2974" spans="4:4" x14ac:dyDescent="0.25">
      <c r="D2974" s="796"/>
    </row>
    <row r="2975" spans="4:4" x14ac:dyDescent="0.25">
      <c r="D2975" s="796"/>
    </row>
    <row r="2976" spans="4:4" x14ac:dyDescent="0.25">
      <c r="D2976" s="796"/>
    </row>
    <row r="2977" spans="4:4" x14ac:dyDescent="0.25">
      <c r="D2977" s="796"/>
    </row>
    <row r="2978" spans="4:4" x14ac:dyDescent="0.25">
      <c r="D2978" s="796"/>
    </row>
    <row r="2979" spans="4:4" x14ac:dyDescent="0.25">
      <c r="D2979" s="796"/>
    </row>
    <row r="2980" spans="4:4" x14ac:dyDescent="0.25">
      <c r="D2980" s="796"/>
    </row>
    <row r="2981" spans="4:4" x14ac:dyDescent="0.25">
      <c r="D2981" s="796"/>
    </row>
    <row r="2982" spans="4:4" x14ac:dyDescent="0.25">
      <c r="D2982" s="796"/>
    </row>
    <row r="2983" spans="4:4" x14ac:dyDescent="0.25">
      <c r="D2983" s="796"/>
    </row>
    <row r="2984" spans="4:4" x14ac:dyDescent="0.25">
      <c r="D2984" s="796"/>
    </row>
    <row r="2985" spans="4:4" x14ac:dyDescent="0.25">
      <c r="D2985" s="796"/>
    </row>
    <row r="2986" spans="4:4" x14ac:dyDescent="0.25">
      <c r="D2986" s="796"/>
    </row>
    <row r="2987" spans="4:4" x14ac:dyDescent="0.25">
      <c r="D2987" s="796"/>
    </row>
    <row r="2988" spans="4:4" x14ac:dyDescent="0.25">
      <c r="D2988" s="796"/>
    </row>
    <row r="2989" spans="4:4" x14ac:dyDescent="0.25">
      <c r="D2989" s="796"/>
    </row>
    <row r="2990" spans="4:4" x14ac:dyDescent="0.25">
      <c r="D2990" s="796"/>
    </row>
    <row r="2991" spans="4:4" x14ac:dyDescent="0.25">
      <c r="D2991" s="796"/>
    </row>
    <row r="2992" spans="4:4" x14ac:dyDescent="0.25">
      <c r="D2992" s="796"/>
    </row>
    <row r="2993" spans="4:4" x14ac:dyDescent="0.25">
      <c r="D2993" s="796"/>
    </row>
    <row r="2994" spans="4:4" x14ac:dyDescent="0.25">
      <c r="D2994" s="796"/>
    </row>
    <row r="2995" spans="4:4" x14ac:dyDescent="0.25">
      <c r="D2995" s="796"/>
    </row>
    <row r="2996" spans="4:4" x14ac:dyDescent="0.25">
      <c r="D2996" s="796"/>
    </row>
    <row r="2997" spans="4:4" x14ac:dyDescent="0.25">
      <c r="D2997" s="796"/>
    </row>
    <row r="2998" spans="4:4" x14ac:dyDescent="0.25">
      <c r="D2998" s="796"/>
    </row>
    <row r="2999" spans="4:4" x14ac:dyDescent="0.25">
      <c r="D2999" s="796"/>
    </row>
    <row r="3000" spans="4:4" x14ac:dyDescent="0.25">
      <c r="D3000" s="796"/>
    </row>
    <row r="3001" spans="4:4" x14ac:dyDescent="0.25">
      <c r="D3001" s="796"/>
    </row>
    <row r="3002" spans="4:4" x14ac:dyDescent="0.25">
      <c r="D3002" s="796"/>
    </row>
    <row r="3003" spans="4:4" x14ac:dyDescent="0.25">
      <c r="D3003" s="796"/>
    </row>
    <row r="3004" spans="4:4" x14ac:dyDescent="0.25">
      <c r="D3004" s="796"/>
    </row>
    <row r="3005" spans="4:4" x14ac:dyDescent="0.25">
      <c r="D3005" s="796"/>
    </row>
    <row r="3006" spans="4:4" x14ac:dyDescent="0.25">
      <c r="D3006" s="796"/>
    </row>
    <row r="3007" spans="4:4" x14ac:dyDescent="0.25">
      <c r="D3007" s="796"/>
    </row>
    <row r="3008" spans="4:4" x14ac:dyDescent="0.25">
      <c r="D3008" s="796"/>
    </row>
    <row r="3009" spans="4:4" x14ac:dyDescent="0.25">
      <c r="D3009" s="796"/>
    </row>
    <row r="3010" spans="4:4" x14ac:dyDescent="0.25">
      <c r="D3010" s="796"/>
    </row>
    <row r="3011" spans="4:4" x14ac:dyDescent="0.25">
      <c r="D3011" s="796"/>
    </row>
    <row r="3012" spans="4:4" x14ac:dyDescent="0.25">
      <c r="D3012" s="796"/>
    </row>
    <row r="3013" spans="4:4" x14ac:dyDescent="0.25">
      <c r="D3013" s="796"/>
    </row>
    <row r="3014" spans="4:4" x14ac:dyDescent="0.25">
      <c r="D3014" s="796"/>
    </row>
    <row r="3015" spans="4:4" x14ac:dyDescent="0.25">
      <c r="D3015" s="796"/>
    </row>
    <row r="3016" spans="4:4" x14ac:dyDescent="0.25">
      <c r="D3016" s="796"/>
    </row>
    <row r="3017" spans="4:4" x14ac:dyDescent="0.25">
      <c r="D3017" s="796"/>
    </row>
    <row r="3018" spans="4:4" x14ac:dyDescent="0.25">
      <c r="D3018" s="796"/>
    </row>
    <row r="3019" spans="4:4" x14ac:dyDescent="0.25">
      <c r="D3019" s="796"/>
    </row>
    <row r="3020" spans="4:4" x14ac:dyDescent="0.25">
      <c r="D3020" s="796"/>
    </row>
    <row r="3021" spans="4:4" x14ac:dyDescent="0.25">
      <c r="D3021" s="796"/>
    </row>
    <row r="3022" spans="4:4" x14ac:dyDescent="0.25">
      <c r="D3022" s="796"/>
    </row>
    <row r="3023" spans="4:4" x14ac:dyDescent="0.25">
      <c r="D3023" s="796"/>
    </row>
    <row r="3024" spans="4:4" x14ac:dyDescent="0.25">
      <c r="D3024" s="796"/>
    </row>
    <row r="3025" spans="4:4" x14ac:dyDescent="0.25">
      <c r="D3025" s="796"/>
    </row>
    <row r="3026" spans="4:4" x14ac:dyDescent="0.25">
      <c r="D3026" s="796"/>
    </row>
    <row r="3027" spans="4:4" x14ac:dyDescent="0.25">
      <c r="D3027" s="796"/>
    </row>
    <row r="3028" spans="4:4" x14ac:dyDescent="0.25">
      <c r="D3028" s="796"/>
    </row>
    <row r="3029" spans="4:4" x14ac:dyDescent="0.25">
      <c r="D3029" s="796"/>
    </row>
    <row r="3030" spans="4:4" x14ac:dyDescent="0.25">
      <c r="D3030" s="796"/>
    </row>
    <row r="3031" spans="4:4" x14ac:dyDescent="0.25">
      <c r="D3031" s="796"/>
    </row>
    <row r="3032" spans="4:4" x14ac:dyDescent="0.25">
      <c r="D3032" s="796"/>
    </row>
    <row r="3033" spans="4:4" x14ac:dyDescent="0.25">
      <c r="D3033" s="796"/>
    </row>
    <row r="3034" spans="4:4" x14ac:dyDescent="0.25">
      <c r="D3034" s="796"/>
    </row>
    <row r="3035" spans="4:4" x14ac:dyDescent="0.25">
      <c r="D3035" s="796"/>
    </row>
    <row r="3036" spans="4:4" x14ac:dyDescent="0.25">
      <c r="D3036" s="796"/>
    </row>
    <row r="3037" spans="4:4" x14ac:dyDescent="0.25">
      <c r="D3037" s="796"/>
    </row>
    <row r="3038" spans="4:4" x14ac:dyDescent="0.25">
      <c r="D3038" s="796"/>
    </row>
    <row r="3039" spans="4:4" x14ac:dyDescent="0.25">
      <c r="D3039" s="796"/>
    </row>
    <row r="3040" spans="4:4" x14ac:dyDescent="0.25">
      <c r="D3040" s="796"/>
    </row>
    <row r="3041" spans="4:4" x14ac:dyDescent="0.25">
      <c r="D3041" s="796"/>
    </row>
    <row r="3042" spans="4:4" x14ac:dyDescent="0.25">
      <c r="D3042" s="796"/>
    </row>
    <row r="3043" spans="4:4" x14ac:dyDescent="0.25">
      <c r="D3043" s="796"/>
    </row>
    <row r="3044" spans="4:4" x14ac:dyDescent="0.25">
      <c r="D3044" s="796"/>
    </row>
    <row r="3045" spans="4:4" x14ac:dyDescent="0.25">
      <c r="D3045" s="796"/>
    </row>
    <row r="3046" spans="4:4" x14ac:dyDescent="0.25">
      <c r="D3046" s="796"/>
    </row>
    <row r="3047" spans="4:4" x14ac:dyDescent="0.25">
      <c r="D3047" s="796"/>
    </row>
    <row r="3048" spans="4:4" x14ac:dyDescent="0.25">
      <c r="D3048" s="796"/>
    </row>
    <row r="3049" spans="4:4" x14ac:dyDescent="0.25">
      <c r="D3049" s="796"/>
    </row>
    <row r="3050" spans="4:4" x14ac:dyDescent="0.25">
      <c r="D3050" s="796"/>
    </row>
    <row r="3051" spans="4:4" x14ac:dyDescent="0.25">
      <c r="D3051" s="796"/>
    </row>
    <row r="3052" spans="4:4" x14ac:dyDescent="0.25">
      <c r="D3052" s="796"/>
    </row>
    <row r="3053" spans="4:4" x14ac:dyDescent="0.25">
      <c r="D3053" s="796"/>
    </row>
    <row r="3054" spans="4:4" x14ac:dyDescent="0.25">
      <c r="D3054" s="796"/>
    </row>
    <row r="3055" spans="4:4" x14ac:dyDescent="0.25">
      <c r="D3055" s="796"/>
    </row>
    <row r="3056" spans="4:4" x14ac:dyDescent="0.25">
      <c r="D3056" s="796"/>
    </row>
    <row r="3057" spans="4:4" x14ac:dyDescent="0.25">
      <c r="D3057" s="796"/>
    </row>
    <row r="3058" spans="4:4" x14ac:dyDescent="0.25">
      <c r="D3058" s="796"/>
    </row>
    <row r="3059" spans="4:4" x14ac:dyDescent="0.25">
      <c r="D3059" s="796"/>
    </row>
    <row r="3060" spans="4:4" x14ac:dyDescent="0.25">
      <c r="D3060" s="796"/>
    </row>
    <row r="3061" spans="4:4" x14ac:dyDescent="0.25">
      <c r="D3061" s="796"/>
    </row>
    <row r="3062" spans="4:4" x14ac:dyDescent="0.25">
      <c r="D3062" s="796"/>
    </row>
    <row r="3063" spans="4:4" x14ac:dyDescent="0.25">
      <c r="D3063" s="796"/>
    </row>
    <row r="3064" spans="4:4" x14ac:dyDescent="0.25">
      <c r="D3064" s="796"/>
    </row>
    <row r="3065" spans="4:4" x14ac:dyDescent="0.25">
      <c r="D3065" s="796"/>
    </row>
    <row r="3066" spans="4:4" x14ac:dyDescent="0.25">
      <c r="D3066" s="796"/>
    </row>
    <row r="3067" spans="4:4" x14ac:dyDescent="0.25">
      <c r="D3067" s="796"/>
    </row>
    <row r="3068" spans="4:4" x14ac:dyDescent="0.25">
      <c r="D3068" s="796"/>
    </row>
    <row r="3069" spans="4:4" x14ac:dyDescent="0.25">
      <c r="D3069" s="796"/>
    </row>
    <row r="3070" spans="4:4" x14ac:dyDescent="0.25">
      <c r="D3070" s="796"/>
    </row>
    <row r="3071" spans="4:4" x14ac:dyDescent="0.25">
      <c r="D3071" s="796"/>
    </row>
    <row r="3072" spans="4:4" x14ac:dyDescent="0.25">
      <c r="D3072" s="796"/>
    </row>
    <row r="3073" spans="4:4" x14ac:dyDescent="0.25">
      <c r="D3073" s="796"/>
    </row>
    <row r="3074" spans="4:4" x14ac:dyDescent="0.25">
      <c r="D3074" s="796"/>
    </row>
    <row r="3075" spans="4:4" x14ac:dyDescent="0.25">
      <c r="D3075" s="796"/>
    </row>
    <row r="3076" spans="4:4" x14ac:dyDescent="0.25">
      <c r="D3076" s="796"/>
    </row>
    <row r="3077" spans="4:4" x14ac:dyDescent="0.25">
      <c r="D3077" s="796"/>
    </row>
    <row r="3078" spans="4:4" x14ac:dyDescent="0.25">
      <c r="D3078" s="796"/>
    </row>
    <row r="3079" spans="4:4" x14ac:dyDescent="0.25">
      <c r="D3079" s="796"/>
    </row>
    <row r="3080" spans="4:4" x14ac:dyDescent="0.25">
      <c r="D3080" s="796"/>
    </row>
    <row r="3081" spans="4:4" x14ac:dyDescent="0.25">
      <c r="D3081" s="796"/>
    </row>
    <row r="3082" spans="4:4" x14ac:dyDescent="0.25">
      <c r="D3082" s="796"/>
    </row>
    <row r="3083" spans="4:4" x14ac:dyDescent="0.25">
      <c r="D3083" s="796"/>
    </row>
    <row r="3084" spans="4:4" x14ac:dyDescent="0.25">
      <c r="D3084" s="796"/>
    </row>
    <row r="3085" spans="4:4" x14ac:dyDescent="0.25">
      <c r="D3085" s="796"/>
    </row>
    <row r="3086" spans="4:4" x14ac:dyDescent="0.25">
      <c r="D3086" s="796"/>
    </row>
    <row r="3087" spans="4:4" x14ac:dyDescent="0.25">
      <c r="D3087" s="796"/>
    </row>
    <row r="3088" spans="4:4" x14ac:dyDescent="0.25">
      <c r="D3088" s="796"/>
    </row>
    <row r="3089" spans="4:4" x14ac:dyDescent="0.25">
      <c r="D3089" s="796"/>
    </row>
    <row r="3090" spans="4:4" x14ac:dyDescent="0.25">
      <c r="D3090" s="796"/>
    </row>
    <row r="3091" spans="4:4" x14ac:dyDescent="0.25">
      <c r="D3091" s="796"/>
    </row>
    <row r="3092" spans="4:4" x14ac:dyDescent="0.25">
      <c r="D3092" s="796"/>
    </row>
    <row r="3093" spans="4:4" x14ac:dyDescent="0.25">
      <c r="D3093" s="796"/>
    </row>
    <row r="3094" spans="4:4" x14ac:dyDescent="0.25">
      <c r="D3094" s="796"/>
    </row>
    <row r="3095" spans="4:4" x14ac:dyDescent="0.25">
      <c r="D3095" s="796"/>
    </row>
    <row r="3096" spans="4:4" x14ac:dyDescent="0.25">
      <c r="D3096" s="796"/>
    </row>
    <row r="3097" spans="4:4" x14ac:dyDescent="0.25">
      <c r="D3097" s="796"/>
    </row>
    <row r="3098" spans="4:4" x14ac:dyDescent="0.25">
      <c r="D3098" s="796"/>
    </row>
    <row r="3099" spans="4:4" x14ac:dyDescent="0.25">
      <c r="D3099" s="796"/>
    </row>
    <row r="3100" spans="4:4" x14ac:dyDescent="0.25">
      <c r="D3100" s="796"/>
    </row>
    <row r="3101" spans="4:4" x14ac:dyDescent="0.25">
      <c r="D3101" s="796"/>
    </row>
    <row r="3102" spans="4:4" x14ac:dyDescent="0.25">
      <c r="D3102" s="796"/>
    </row>
    <row r="3103" spans="4:4" x14ac:dyDescent="0.25">
      <c r="D3103" s="796"/>
    </row>
    <row r="3104" spans="4:4" x14ac:dyDescent="0.25">
      <c r="D3104" s="796"/>
    </row>
    <row r="3105" spans="4:4" x14ac:dyDescent="0.25">
      <c r="D3105" s="796"/>
    </row>
    <row r="3106" spans="4:4" x14ac:dyDescent="0.25">
      <c r="D3106" s="796"/>
    </row>
    <row r="3107" spans="4:4" x14ac:dyDescent="0.25">
      <c r="D3107" s="796"/>
    </row>
    <row r="3108" spans="4:4" x14ac:dyDescent="0.25">
      <c r="D3108" s="796"/>
    </row>
    <row r="3109" spans="4:4" x14ac:dyDescent="0.25">
      <c r="D3109" s="796"/>
    </row>
    <row r="3110" spans="4:4" x14ac:dyDescent="0.25">
      <c r="D3110" s="796"/>
    </row>
    <row r="3111" spans="4:4" x14ac:dyDescent="0.25">
      <c r="D3111" s="796"/>
    </row>
    <row r="3112" spans="4:4" x14ac:dyDescent="0.25">
      <c r="D3112" s="796"/>
    </row>
    <row r="3113" spans="4:4" x14ac:dyDescent="0.25">
      <c r="D3113" s="796"/>
    </row>
    <row r="3114" spans="4:4" x14ac:dyDescent="0.25">
      <c r="D3114" s="796"/>
    </row>
    <row r="3115" spans="4:4" x14ac:dyDescent="0.25">
      <c r="D3115" s="796"/>
    </row>
    <row r="3116" spans="4:4" x14ac:dyDescent="0.25">
      <c r="D3116" s="796"/>
    </row>
    <row r="3117" spans="4:4" x14ac:dyDescent="0.25">
      <c r="D3117" s="796"/>
    </row>
    <row r="3118" spans="4:4" x14ac:dyDescent="0.25">
      <c r="D3118" s="796"/>
    </row>
    <row r="3119" spans="4:4" x14ac:dyDescent="0.25">
      <c r="D3119" s="796"/>
    </row>
    <row r="3120" spans="4:4" x14ac:dyDescent="0.25">
      <c r="D3120" s="796"/>
    </row>
    <row r="3121" spans="4:4" x14ac:dyDescent="0.25">
      <c r="D3121" s="796"/>
    </row>
    <row r="3122" spans="4:4" x14ac:dyDescent="0.25">
      <c r="D3122" s="796"/>
    </row>
    <row r="3123" spans="4:4" x14ac:dyDescent="0.25">
      <c r="D3123" s="796"/>
    </row>
    <row r="3124" spans="4:4" x14ac:dyDescent="0.25">
      <c r="D3124" s="796"/>
    </row>
    <row r="3125" spans="4:4" x14ac:dyDescent="0.25">
      <c r="D3125" s="796"/>
    </row>
    <row r="3126" spans="4:4" x14ac:dyDescent="0.25">
      <c r="D3126" s="796"/>
    </row>
    <row r="3127" spans="4:4" x14ac:dyDescent="0.25">
      <c r="D3127" s="796"/>
    </row>
    <row r="3128" spans="4:4" x14ac:dyDescent="0.25">
      <c r="D3128" s="796"/>
    </row>
    <row r="3129" spans="4:4" x14ac:dyDescent="0.25">
      <c r="D3129" s="796"/>
    </row>
    <row r="3130" spans="4:4" x14ac:dyDescent="0.25">
      <c r="D3130" s="796"/>
    </row>
    <row r="3131" spans="4:4" x14ac:dyDescent="0.25">
      <c r="D3131" s="796"/>
    </row>
    <row r="3132" spans="4:4" x14ac:dyDescent="0.25">
      <c r="D3132" s="796"/>
    </row>
    <row r="3133" spans="4:4" x14ac:dyDescent="0.25">
      <c r="D3133" s="796"/>
    </row>
    <row r="3134" spans="4:4" x14ac:dyDescent="0.25">
      <c r="D3134" s="796"/>
    </row>
    <row r="3135" spans="4:4" x14ac:dyDescent="0.25">
      <c r="D3135" s="796"/>
    </row>
    <row r="3136" spans="4:4" x14ac:dyDescent="0.25">
      <c r="D3136" s="796"/>
    </row>
    <row r="3137" spans="4:4" x14ac:dyDescent="0.25">
      <c r="D3137" s="796"/>
    </row>
    <row r="3138" spans="4:4" x14ac:dyDescent="0.25">
      <c r="D3138" s="796"/>
    </row>
    <row r="3139" spans="4:4" x14ac:dyDescent="0.25">
      <c r="D3139" s="796"/>
    </row>
    <row r="3140" spans="4:4" x14ac:dyDescent="0.25">
      <c r="D3140" s="796"/>
    </row>
    <row r="3141" spans="4:4" x14ac:dyDescent="0.25">
      <c r="D3141" s="796"/>
    </row>
    <row r="3142" spans="4:4" x14ac:dyDescent="0.25">
      <c r="D3142" s="796"/>
    </row>
    <row r="3143" spans="4:4" x14ac:dyDescent="0.25">
      <c r="D3143" s="796"/>
    </row>
    <row r="3144" spans="4:4" x14ac:dyDescent="0.25">
      <c r="D3144" s="796"/>
    </row>
    <row r="3145" spans="4:4" x14ac:dyDescent="0.25">
      <c r="D3145" s="796"/>
    </row>
    <row r="3146" spans="4:4" x14ac:dyDescent="0.25">
      <c r="D3146" s="796"/>
    </row>
    <row r="3147" spans="4:4" x14ac:dyDescent="0.25">
      <c r="D3147" s="796"/>
    </row>
    <row r="3148" spans="4:4" x14ac:dyDescent="0.25">
      <c r="D3148" s="796"/>
    </row>
    <row r="3149" spans="4:4" x14ac:dyDescent="0.25">
      <c r="D3149" s="796"/>
    </row>
    <row r="3150" spans="4:4" x14ac:dyDescent="0.25">
      <c r="D3150" s="796"/>
    </row>
    <row r="3151" spans="4:4" x14ac:dyDescent="0.25">
      <c r="D3151" s="796"/>
    </row>
    <row r="3152" spans="4:4" x14ac:dyDescent="0.25">
      <c r="D3152" s="796"/>
    </row>
    <row r="3153" spans="4:4" x14ac:dyDescent="0.25">
      <c r="D3153" s="796"/>
    </row>
    <row r="3154" spans="4:4" x14ac:dyDescent="0.25">
      <c r="D3154" s="796"/>
    </row>
    <row r="3155" spans="4:4" x14ac:dyDescent="0.25">
      <c r="D3155" s="796"/>
    </row>
    <row r="3156" spans="4:4" x14ac:dyDescent="0.25">
      <c r="D3156" s="796"/>
    </row>
    <row r="3157" spans="4:4" x14ac:dyDescent="0.25">
      <c r="D3157" s="796"/>
    </row>
    <row r="3158" spans="4:4" x14ac:dyDescent="0.25">
      <c r="D3158" s="796"/>
    </row>
    <row r="3159" spans="4:4" x14ac:dyDescent="0.25">
      <c r="D3159" s="796"/>
    </row>
    <row r="3160" spans="4:4" x14ac:dyDescent="0.25">
      <c r="D3160" s="796"/>
    </row>
    <row r="3161" spans="4:4" x14ac:dyDescent="0.25">
      <c r="D3161" s="796"/>
    </row>
    <row r="3162" spans="4:4" x14ac:dyDescent="0.25">
      <c r="D3162" s="796"/>
    </row>
    <row r="3163" spans="4:4" x14ac:dyDescent="0.25">
      <c r="D3163" s="796"/>
    </row>
    <row r="3164" spans="4:4" x14ac:dyDescent="0.25">
      <c r="D3164" s="796"/>
    </row>
    <row r="3165" spans="4:4" x14ac:dyDescent="0.25">
      <c r="D3165" s="796"/>
    </row>
    <row r="3166" spans="4:4" x14ac:dyDescent="0.25">
      <c r="D3166" s="796"/>
    </row>
    <row r="3167" spans="4:4" x14ac:dyDescent="0.25">
      <c r="D3167" s="796"/>
    </row>
    <row r="3168" spans="4:4" x14ac:dyDescent="0.25">
      <c r="D3168" s="796"/>
    </row>
    <row r="3169" spans="4:4" x14ac:dyDescent="0.25">
      <c r="D3169" s="796"/>
    </row>
    <row r="3170" spans="4:4" x14ac:dyDescent="0.25">
      <c r="D3170" s="796"/>
    </row>
    <row r="3171" spans="4:4" x14ac:dyDescent="0.25">
      <c r="D3171" s="796"/>
    </row>
    <row r="3172" spans="4:4" x14ac:dyDescent="0.25">
      <c r="D3172" s="796"/>
    </row>
    <row r="3173" spans="4:4" x14ac:dyDescent="0.25">
      <c r="D3173" s="796"/>
    </row>
    <row r="3174" spans="4:4" x14ac:dyDescent="0.25">
      <c r="D3174" s="796"/>
    </row>
    <row r="3175" spans="4:4" x14ac:dyDescent="0.25">
      <c r="D3175" s="796"/>
    </row>
    <row r="3176" spans="4:4" x14ac:dyDescent="0.25">
      <c r="D3176" s="796"/>
    </row>
    <row r="3177" spans="4:4" x14ac:dyDescent="0.25">
      <c r="D3177" s="796"/>
    </row>
    <row r="3178" spans="4:4" x14ac:dyDescent="0.25">
      <c r="D3178" s="796"/>
    </row>
    <row r="3179" spans="4:4" x14ac:dyDescent="0.25">
      <c r="D3179" s="796"/>
    </row>
    <row r="3180" spans="4:4" x14ac:dyDescent="0.25">
      <c r="D3180" s="796"/>
    </row>
    <row r="3181" spans="4:4" x14ac:dyDescent="0.25">
      <c r="D3181" s="796"/>
    </row>
    <row r="3182" spans="4:4" x14ac:dyDescent="0.25">
      <c r="D3182" s="796"/>
    </row>
    <row r="3183" spans="4:4" x14ac:dyDescent="0.25">
      <c r="D3183" s="796"/>
    </row>
    <row r="3184" spans="4:4" x14ac:dyDescent="0.25">
      <c r="D3184" s="796"/>
    </row>
    <row r="3185" spans="4:4" x14ac:dyDescent="0.25">
      <c r="D3185" s="796"/>
    </row>
    <row r="3186" spans="4:4" x14ac:dyDescent="0.25">
      <c r="D3186" s="796"/>
    </row>
    <row r="3187" spans="4:4" x14ac:dyDescent="0.25">
      <c r="D3187" s="796"/>
    </row>
    <row r="3188" spans="4:4" x14ac:dyDescent="0.25">
      <c r="D3188" s="796"/>
    </row>
    <row r="3189" spans="4:4" x14ac:dyDescent="0.25">
      <c r="D3189" s="796"/>
    </row>
    <row r="3190" spans="4:4" x14ac:dyDescent="0.25">
      <c r="D3190" s="796"/>
    </row>
    <row r="3191" spans="4:4" x14ac:dyDescent="0.25">
      <c r="D3191" s="796"/>
    </row>
    <row r="3192" spans="4:4" x14ac:dyDescent="0.25">
      <c r="D3192" s="796"/>
    </row>
    <row r="3193" spans="4:4" x14ac:dyDescent="0.25">
      <c r="D3193" s="796"/>
    </row>
    <row r="3194" spans="4:4" x14ac:dyDescent="0.25">
      <c r="D3194" s="796"/>
    </row>
    <row r="3195" spans="4:4" x14ac:dyDescent="0.25">
      <c r="D3195" s="796"/>
    </row>
    <row r="3196" spans="4:4" x14ac:dyDescent="0.25">
      <c r="D3196" s="796"/>
    </row>
    <row r="3197" spans="4:4" x14ac:dyDescent="0.25">
      <c r="D3197" s="796"/>
    </row>
    <row r="3198" spans="4:4" x14ac:dyDescent="0.25">
      <c r="D3198" s="796"/>
    </row>
    <row r="3199" spans="4:4" x14ac:dyDescent="0.25">
      <c r="D3199" s="796"/>
    </row>
    <row r="3200" spans="4:4" x14ac:dyDescent="0.25">
      <c r="D3200" s="796"/>
    </row>
    <row r="3201" spans="4:4" x14ac:dyDescent="0.25">
      <c r="D3201" s="796"/>
    </row>
    <row r="3202" spans="4:4" x14ac:dyDescent="0.25">
      <c r="D3202" s="796"/>
    </row>
    <row r="3203" spans="4:4" x14ac:dyDescent="0.25">
      <c r="D3203" s="796"/>
    </row>
    <row r="3204" spans="4:4" x14ac:dyDescent="0.25">
      <c r="D3204" s="796"/>
    </row>
    <row r="3205" spans="4:4" x14ac:dyDescent="0.25">
      <c r="D3205" s="796"/>
    </row>
    <row r="3206" spans="4:4" x14ac:dyDescent="0.25">
      <c r="D3206" s="796"/>
    </row>
    <row r="3207" spans="4:4" x14ac:dyDescent="0.25">
      <c r="D3207" s="796"/>
    </row>
    <row r="3208" spans="4:4" x14ac:dyDescent="0.25">
      <c r="D3208" s="796"/>
    </row>
    <row r="3209" spans="4:4" x14ac:dyDescent="0.25">
      <c r="D3209" s="796"/>
    </row>
    <row r="3210" spans="4:4" x14ac:dyDescent="0.25">
      <c r="D3210" s="796"/>
    </row>
    <row r="3211" spans="4:4" x14ac:dyDescent="0.25">
      <c r="D3211" s="796"/>
    </row>
    <row r="3212" spans="4:4" x14ac:dyDescent="0.25">
      <c r="D3212" s="796"/>
    </row>
    <row r="3213" spans="4:4" x14ac:dyDescent="0.25">
      <c r="D3213" s="796"/>
    </row>
    <row r="3214" spans="4:4" x14ac:dyDescent="0.25">
      <c r="D3214" s="796"/>
    </row>
    <row r="3215" spans="4:4" x14ac:dyDescent="0.25">
      <c r="D3215" s="796"/>
    </row>
    <row r="3216" spans="4:4" x14ac:dyDescent="0.25">
      <c r="D3216" s="796"/>
    </row>
    <row r="3217" spans="4:4" x14ac:dyDescent="0.25">
      <c r="D3217" s="796"/>
    </row>
    <row r="3218" spans="4:4" x14ac:dyDescent="0.25">
      <c r="D3218" s="796"/>
    </row>
    <row r="3219" spans="4:4" x14ac:dyDescent="0.25">
      <c r="D3219" s="796"/>
    </row>
    <row r="3220" spans="4:4" x14ac:dyDescent="0.25">
      <c r="D3220" s="796"/>
    </row>
    <row r="3221" spans="4:4" x14ac:dyDescent="0.25">
      <c r="D3221" s="796"/>
    </row>
    <row r="3222" spans="4:4" x14ac:dyDescent="0.25">
      <c r="D3222" s="796"/>
    </row>
    <row r="3223" spans="4:4" x14ac:dyDescent="0.25">
      <c r="D3223" s="796"/>
    </row>
    <row r="3224" spans="4:4" x14ac:dyDescent="0.25">
      <c r="D3224" s="796"/>
    </row>
    <row r="3225" spans="4:4" x14ac:dyDescent="0.25">
      <c r="D3225" s="796"/>
    </row>
    <row r="3226" spans="4:4" x14ac:dyDescent="0.25">
      <c r="D3226" s="796"/>
    </row>
    <row r="3227" spans="4:4" x14ac:dyDescent="0.25">
      <c r="D3227" s="796"/>
    </row>
    <row r="3228" spans="4:4" x14ac:dyDescent="0.25">
      <c r="D3228" s="796"/>
    </row>
    <row r="3229" spans="4:4" x14ac:dyDescent="0.25">
      <c r="D3229" s="796"/>
    </row>
    <row r="3230" spans="4:4" x14ac:dyDescent="0.25">
      <c r="D3230" s="796"/>
    </row>
    <row r="3231" spans="4:4" x14ac:dyDescent="0.25">
      <c r="D3231" s="796"/>
    </row>
    <row r="3232" spans="4:4" x14ac:dyDescent="0.25">
      <c r="D3232" s="796"/>
    </row>
    <row r="3233" spans="4:4" x14ac:dyDescent="0.25">
      <c r="D3233" s="796"/>
    </row>
    <row r="3234" spans="4:4" x14ac:dyDescent="0.25">
      <c r="D3234" s="796"/>
    </row>
    <row r="3235" spans="4:4" x14ac:dyDescent="0.25">
      <c r="D3235" s="796"/>
    </row>
    <row r="3236" spans="4:4" x14ac:dyDescent="0.25">
      <c r="D3236" s="796"/>
    </row>
    <row r="3237" spans="4:4" x14ac:dyDescent="0.25">
      <c r="D3237" s="796"/>
    </row>
    <row r="3238" spans="4:4" x14ac:dyDescent="0.25">
      <c r="D3238" s="796"/>
    </row>
    <row r="3239" spans="4:4" x14ac:dyDescent="0.25">
      <c r="D3239" s="796"/>
    </row>
    <row r="3240" spans="4:4" x14ac:dyDescent="0.25">
      <c r="D3240" s="796"/>
    </row>
    <row r="3241" spans="4:4" x14ac:dyDescent="0.25">
      <c r="D3241" s="796"/>
    </row>
    <row r="3242" spans="4:4" x14ac:dyDescent="0.25">
      <c r="D3242" s="796"/>
    </row>
    <row r="3243" spans="4:4" x14ac:dyDescent="0.25">
      <c r="D3243" s="796"/>
    </row>
    <row r="3244" spans="4:4" x14ac:dyDescent="0.25">
      <c r="D3244" s="796"/>
    </row>
    <row r="3245" spans="4:4" x14ac:dyDescent="0.25">
      <c r="D3245" s="796"/>
    </row>
    <row r="3246" spans="4:4" x14ac:dyDescent="0.25">
      <c r="D3246" s="796"/>
    </row>
    <row r="3247" spans="4:4" x14ac:dyDescent="0.25">
      <c r="D3247" s="796"/>
    </row>
    <row r="3248" spans="4:4" x14ac:dyDescent="0.25">
      <c r="D3248" s="796"/>
    </row>
    <row r="3249" spans="4:4" x14ac:dyDescent="0.25">
      <c r="D3249" s="796"/>
    </row>
    <row r="3250" spans="4:4" x14ac:dyDescent="0.25">
      <c r="D3250" s="796"/>
    </row>
    <row r="3251" spans="4:4" x14ac:dyDescent="0.25">
      <c r="D3251" s="796"/>
    </row>
    <row r="3252" spans="4:4" x14ac:dyDescent="0.25">
      <c r="D3252" s="796"/>
    </row>
    <row r="3253" spans="4:4" x14ac:dyDescent="0.25">
      <c r="D3253" s="796"/>
    </row>
    <row r="3254" spans="4:4" x14ac:dyDescent="0.25">
      <c r="D3254" s="796"/>
    </row>
    <row r="3255" spans="4:4" x14ac:dyDescent="0.25">
      <c r="D3255" s="796"/>
    </row>
    <row r="3256" spans="4:4" x14ac:dyDescent="0.25">
      <c r="D3256" s="796"/>
    </row>
    <row r="3257" spans="4:4" x14ac:dyDescent="0.25">
      <c r="D3257" s="796"/>
    </row>
    <row r="3258" spans="4:4" x14ac:dyDescent="0.25">
      <c r="D3258" s="796"/>
    </row>
    <row r="3259" spans="4:4" x14ac:dyDescent="0.25">
      <c r="D3259" s="796"/>
    </row>
    <row r="3260" spans="4:4" x14ac:dyDescent="0.25">
      <c r="D3260" s="796"/>
    </row>
    <row r="3261" spans="4:4" x14ac:dyDescent="0.25">
      <c r="D3261" s="796"/>
    </row>
    <row r="3262" spans="4:4" x14ac:dyDescent="0.25">
      <c r="D3262" s="796"/>
    </row>
    <row r="3263" spans="4:4" x14ac:dyDescent="0.25">
      <c r="D3263" s="796"/>
    </row>
    <row r="3264" spans="4:4" x14ac:dyDescent="0.25">
      <c r="D3264" s="796"/>
    </row>
    <row r="3265" spans="4:4" x14ac:dyDescent="0.25">
      <c r="D3265" s="796"/>
    </row>
    <row r="3266" spans="4:4" x14ac:dyDescent="0.25">
      <c r="D3266" s="796"/>
    </row>
    <row r="3267" spans="4:4" x14ac:dyDescent="0.25">
      <c r="D3267" s="796"/>
    </row>
    <row r="3268" spans="4:4" x14ac:dyDescent="0.25">
      <c r="D3268" s="796"/>
    </row>
    <row r="3269" spans="4:4" x14ac:dyDescent="0.25">
      <c r="D3269" s="796"/>
    </row>
    <row r="3270" spans="4:4" x14ac:dyDescent="0.25">
      <c r="D3270" s="796"/>
    </row>
    <row r="3271" spans="4:4" x14ac:dyDescent="0.25">
      <c r="D3271" s="796"/>
    </row>
    <row r="3272" spans="4:4" x14ac:dyDescent="0.25">
      <c r="D3272" s="796"/>
    </row>
    <row r="3273" spans="4:4" x14ac:dyDescent="0.25">
      <c r="D3273" s="796"/>
    </row>
    <row r="3274" spans="4:4" x14ac:dyDescent="0.25">
      <c r="D3274" s="796"/>
    </row>
    <row r="3275" spans="4:4" x14ac:dyDescent="0.25">
      <c r="D3275" s="796"/>
    </row>
    <row r="3276" spans="4:4" x14ac:dyDescent="0.25">
      <c r="D3276" s="796"/>
    </row>
    <row r="3277" spans="4:4" x14ac:dyDescent="0.25">
      <c r="D3277" s="796"/>
    </row>
    <row r="3278" spans="4:4" x14ac:dyDescent="0.25">
      <c r="D3278" s="796"/>
    </row>
    <row r="3279" spans="4:4" x14ac:dyDescent="0.25">
      <c r="D3279" s="796"/>
    </row>
    <row r="3280" spans="4:4" x14ac:dyDescent="0.25">
      <c r="D3280" s="796"/>
    </row>
    <row r="3281" spans="4:4" x14ac:dyDescent="0.25">
      <c r="D3281" s="796"/>
    </row>
    <row r="3282" spans="4:4" x14ac:dyDescent="0.25">
      <c r="D3282" s="796"/>
    </row>
    <row r="3283" spans="4:4" x14ac:dyDescent="0.25">
      <c r="D3283" s="796"/>
    </row>
    <row r="3284" spans="4:4" x14ac:dyDescent="0.25">
      <c r="D3284" s="796"/>
    </row>
    <row r="3285" spans="4:4" x14ac:dyDescent="0.25">
      <c r="D3285" s="796"/>
    </row>
    <row r="3286" spans="4:4" x14ac:dyDescent="0.25">
      <c r="D3286" s="796"/>
    </row>
    <row r="3287" spans="4:4" x14ac:dyDescent="0.25">
      <c r="D3287" s="796"/>
    </row>
    <row r="3288" spans="4:4" x14ac:dyDescent="0.25">
      <c r="D3288" s="796"/>
    </row>
    <row r="3289" spans="4:4" x14ac:dyDescent="0.25">
      <c r="D3289" s="796"/>
    </row>
    <row r="3290" spans="4:4" x14ac:dyDescent="0.25">
      <c r="D3290" s="796"/>
    </row>
    <row r="3291" spans="4:4" x14ac:dyDescent="0.25">
      <c r="D3291" s="796"/>
    </row>
    <row r="3292" spans="4:4" x14ac:dyDescent="0.25">
      <c r="D3292" s="796"/>
    </row>
    <row r="3293" spans="4:4" x14ac:dyDescent="0.25">
      <c r="D3293" s="796"/>
    </row>
    <row r="3294" spans="4:4" x14ac:dyDescent="0.25">
      <c r="D3294" s="796"/>
    </row>
    <row r="3295" spans="4:4" x14ac:dyDescent="0.25">
      <c r="D3295" s="796"/>
    </row>
    <row r="3296" spans="4:4" x14ac:dyDescent="0.25">
      <c r="D3296" s="796"/>
    </row>
    <row r="3297" spans="4:4" x14ac:dyDescent="0.25">
      <c r="D3297" s="796"/>
    </row>
    <row r="3298" spans="4:4" x14ac:dyDescent="0.25">
      <c r="D3298" s="796"/>
    </row>
    <row r="3299" spans="4:4" x14ac:dyDescent="0.25">
      <c r="D3299" s="796"/>
    </row>
    <row r="3300" spans="4:4" x14ac:dyDescent="0.25">
      <c r="D3300" s="796"/>
    </row>
    <row r="3301" spans="4:4" x14ac:dyDescent="0.25">
      <c r="D3301" s="796"/>
    </row>
    <row r="3302" spans="4:4" x14ac:dyDescent="0.25">
      <c r="D3302" s="796"/>
    </row>
    <row r="3303" spans="4:4" x14ac:dyDescent="0.25">
      <c r="D3303" s="796"/>
    </row>
    <row r="3304" spans="4:4" x14ac:dyDescent="0.25">
      <c r="D3304" s="796"/>
    </row>
    <row r="3305" spans="4:4" x14ac:dyDescent="0.25">
      <c r="D3305" s="796"/>
    </row>
    <row r="3306" spans="4:4" x14ac:dyDescent="0.25">
      <c r="D3306" s="796"/>
    </row>
    <row r="3307" spans="4:4" x14ac:dyDescent="0.25">
      <c r="D3307" s="796"/>
    </row>
    <row r="3308" spans="4:4" x14ac:dyDescent="0.25">
      <c r="D3308" s="796"/>
    </row>
    <row r="3309" spans="4:4" x14ac:dyDescent="0.25">
      <c r="D3309" s="796"/>
    </row>
    <row r="3310" spans="4:4" x14ac:dyDescent="0.25">
      <c r="D3310" s="796"/>
    </row>
    <row r="3311" spans="4:4" x14ac:dyDescent="0.25">
      <c r="D3311" s="796"/>
    </row>
    <row r="3312" spans="4:4" x14ac:dyDescent="0.25">
      <c r="D3312" s="796"/>
    </row>
    <row r="3313" spans="4:4" x14ac:dyDescent="0.25">
      <c r="D3313" s="796"/>
    </row>
    <row r="3314" spans="4:4" x14ac:dyDescent="0.25">
      <c r="D3314" s="796"/>
    </row>
    <row r="3315" spans="4:4" x14ac:dyDescent="0.25">
      <c r="D3315" s="796"/>
    </row>
    <row r="3316" spans="4:4" x14ac:dyDescent="0.25">
      <c r="D3316" s="796"/>
    </row>
    <row r="3317" spans="4:4" x14ac:dyDescent="0.25">
      <c r="D3317" s="796"/>
    </row>
    <row r="3318" spans="4:4" x14ac:dyDescent="0.25">
      <c r="D3318" s="796"/>
    </row>
    <row r="3319" spans="4:4" x14ac:dyDescent="0.25">
      <c r="D3319" s="796"/>
    </row>
    <row r="3320" spans="4:4" x14ac:dyDescent="0.25">
      <c r="D3320" s="796"/>
    </row>
    <row r="3321" spans="4:4" x14ac:dyDescent="0.25">
      <c r="D3321" s="796"/>
    </row>
    <row r="3322" spans="4:4" x14ac:dyDescent="0.25">
      <c r="D3322" s="796"/>
    </row>
    <row r="3323" spans="4:4" x14ac:dyDescent="0.25">
      <c r="D3323" s="796"/>
    </row>
    <row r="3324" spans="4:4" x14ac:dyDescent="0.25">
      <c r="D3324" s="796"/>
    </row>
    <row r="3325" spans="4:4" x14ac:dyDescent="0.25">
      <c r="D3325" s="796"/>
    </row>
    <row r="3326" spans="4:4" x14ac:dyDescent="0.25">
      <c r="D3326" s="796"/>
    </row>
    <row r="3327" spans="4:4" x14ac:dyDescent="0.25">
      <c r="D3327" s="796"/>
    </row>
    <row r="3328" spans="4:4" x14ac:dyDescent="0.25">
      <c r="D3328" s="796"/>
    </row>
    <row r="3329" spans="4:4" x14ac:dyDescent="0.25">
      <c r="D3329" s="796"/>
    </row>
    <row r="3330" spans="4:4" x14ac:dyDescent="0.25">
      <c r="D3330" s="796"/>
    </row>
    <row r="3331" spans="4:4" x14ac:dyDescent="0.25">
      <c r="D3331" s="796"/>
    </row>
    <row r="3332" spans="4:4" x14ac:dyDescent="0.25">
      <c r="D3332" s="796"/>
    </row>
    <row r="3333" spans="4:4" x14ac:dyDescent="0.25">
      <c r="D3333" s="796"/>
    </row>
    <row r="3334" spans="4:4" x14ac:dyDescent="0.25">
      <c r="D3334" s="796"/>
    </row>
    <row r="3335" spans="4:4" x14ac:dyDescent="0.25">
      <c r="D3335" s="796"/>
    </row>
    <row r="3336" spans="4:4" x14ac:dyDescent="0.25">
      <c r="D3336" s="796"/>
    </row>
    <row r="3337" spans="4:4" x14ac:dyDescent="0.25">
      <c r="D3337" s="796"/>
    </row>
    <row r="3338" spans="4:4" x14ac:dyDescent="0.25">
      <c r="D3338" s="796"/>
    </row>
    <row r="3339" spans="4:4" x14ac:dyDescent="0.25">
      <c r="D3339" s="796"/>
    </row>
    <row r="3340" spans="4:4" x14ac:dyDescent="0.25">
      <c r="D3340" s="796"/>
    </row>
    <row r="3341" spans="4:4" x14ac:dyDescent="0.25">
      <c r="D3341" s="796"/>
    </row>
    <row r="3342" spans="4:4" x14ac:dyDescent="0.25">
      <c r="D3342" s="796"/>
    </row>
    <row r="3343" spans="4:4" x14ac:dyDescent="0.25">
      <c r="D3343" s="796"/>
    </row>
    <row r="3344" spans="4:4" x14ac:dyDescent="0.25">
      <c r="D3344" s="796"/>
    </row>
    <row r="3345" spans="4:4" x14ac:dyDescent="0.25">
      <c r="D3345" s="796"/>
    </row>
    <row r="3346" spans="4:4" x14ac:dyDescent="0.25">
      <c r="D3346" s="796"/>
    </row>
    <row r="3347" spans="4:4" x14ac:dyDescent="0.25">
      <c r="D3347" s="796"/>
    </row>
    <row r="3348" spans="4:4" x14ac:dyDescent="0.25">
      <c r="D3348" s="796"/>
    </row>
    <row r="3349" spans="4:4" x14ac:dyDescent="0.25">
      <c r="D3349" s="796"/>
    </row>
    <row r="3350" spans="4:4" x14ac:dyDescent="0.25">
      <c r="D3350" s="796"/>
    </row>
    <row r="3351" spans="4:4" x14ac:dyDescent="0.25">
      <c r="D3351" s="796"/>
    </row>
    <row r="3352" spans="4:4" x14ac:dyDescent="0.25">
      <c r="D3352" s="796"/>
    </row>
    <row r="3353" spans="4:4" x14ac:dyDescent="0.25">
      <c r="D3353" s="796"/>
    </row>
    <row r="3354" spans="4:4" x14ac:dyDescent="0.25">
      <c r="D3354" s="796"/>
    </row>
    <row r="3355" spans="4:4" x14ac:dyDescent="0.25">
      <c r="D3355" s="796"/>
    </row>
    <row r="3356" spans="4:4" x14ac:dyDescent="0.25">
      <c r="D3356" s="796"/>
    </row>
    <row r="3357" spans="4:4" x14ac:dyDescent="0.25">
      <c r="D3357" s="796"/>
    </row>
    <row r="3358" spans="4:4" x14ac:dyDescent="0.25">
      <c r="D3358" s="796"/>
    </row>
    <row r="3359" spans="4:4" x14ac:dyDescent="0.25">
      <c r="D3359" s="796"/>
    </row>
    <row r="3360" spans="4:4" x14ac:dyDescent="0.25">
      <c r="D3360" s="796"/>
    </row>
    <row r="3361" spans="4:4" x14ac:dyDescent="0.25">
      <c r="D3361" s="796"/>
    </row>
    <row r="3362" spans="4:4" x14ac:dyDescent="0.25">
      <c r="D3362" s="796"/>
    </row>
    <row r="3363" spans="4:4" x14ac:dyDescent="0.25">
      <c r="D3363" s="796"/>
    </row>
    <row r="3364" spans="4:4" x14ac:dyDescent="0.25">
      <c r="D3364" s="796"/>
    </row>
    <row r="3365" spans="4:4" x14ac:dyDescent="0.25">
      <c r="D3365" s="796"/>
    </row>
    <row r="3366" spans="4:4" x14ac:dyDescent="0.25">
      <c r="D3366" s="796"/>
    </row>
    <row r="3367" spans="4:4" x14ac:dyDescent="0.25">
      <c r="D3367" s="796"/>
    </row>
    <row r="3368" spans="4:4" x14ac:dyDescent="0.25">
      <c r="D3368" s="796"/>
    </row>
    <row r="3369" spans="4:4" x14ac:dyDescent="0.25">
      <c r="D3369" s="796"/>
    </row>
    <row r="3370" spans="4:4" x14ac:dyDescent="0.25">
      <c r="D3370" s="796"/>
    </row>
    <row r="3371" spans="4:4" x14ac:dyDescent="0.25">
      <c r="D3371" s="796"/>
    </row>
    <row r="3372" spans="4:4" x14ac:dyDescent="0.25">
      <c r="D3372" s="796"/>
    </row>
    <row r="3373" spans="4:4" x14ac:dyDescent="0.25">
      <c r="D3373" s="796"/>
    </row>
    <row r="3374" spans="4:4" x14ac:dyDescent="0.25">
      <c r="D3374" s="796"/>
    </row>
    <row r="3375" spans="4:4" x14ac:dyDescent="0.25">
      <c r="D3375" s="796"/>
    </row>
    <row r="3376" spans="4:4" x14ac:dyDescent="0.25">
      <c r="D3376" s="796"/>
    </row>
    <row r="3377" spans="4:4" x14ac:dyDescent="0.25">
      <c r="D3377" s="796"/>
    </row>
    <row r="3378" spans="4:4" x14ac:dyDescent="0.25">
      <c r="D3378" s="796"/>
    </row>
    <row r="3379" spans="4:4" x14ac:dyDescent="0.25">
      <c r="D3379" s="796"/>
    </row>
    <row r="3380" spans="4:4" x14ac:dyDescent="0.25">
      <c r="D3380" s="796"/>
    </row>
    <row r="3381" spans="4:4" x14ac:dyDescent="0.25">
      <c r="D3381" s="796"/>
    </row>
    <row r="3382" spans="4:4" x14ac:dyDescent="0.25">
      <c r="D3382" s="796"/>
    </row>
    <row r="3383" spans="4:4" x14ac:dyDescent="0.25">
      <c r="D3383" s="796"/>
    </row>
    <row r="3384" spans="4:4" x14ac:dyDescent="0.25">
      <c r="D3384" s="796"/>
    </row>
    <row r="3385" spans="4:4" x14ac:dyDescent="0.25">
      <c r="D3385" s="796"/>
    </row>
    <row r="3386" spans="4:4" x14ac:dyDescent="0.25">
      <c r="D3386" s="796"/>
    </row>
    <row r="3387" spans="4:4" x14ac:dyDescent="0.25">
      <c r="D3387" s="796"/>
    </row>
    <row r="3388" spans="4:4" x14ac:dyDescent="0.25">
      <c r="D3388" s="796"/>
    </row>
    <row r="3389" spans="4:4" x14ac:dyDescent="0.25">
      <c r="D3389" s="796"/>
    </row>
    <row r="3390" spans="4:4" x14ac:dyDescent="0.25">
      <c r="D3390" s="796"/>
    </row>
    <row r="3391" spans="4:4" x14ac:dyDescent="0.25">
      <c r="D3391" s="796"/>
    </row>
    <row r="3392" spans="4:4" x14ac:dyDescent="0.25">
      <c r="D3392" s="796"/>
    </row>
    <row r="3393" spans="4:4" x14ac:dyDescent="0.25">
      <c r="D3393" s="796"/>
    </row>
    <row r="3394" spans="4:4" x14ac:dyDescent="0.25">
      <c r="D3394" s="796"/>
    </row>
    <row r="3395" spans="4:4" x14ac:dyDescent="0.25">
      <c r="D3395" s="796"/>
    </row>
    <row r="3396" spans="4:4" x14ac:dyDescent="0.25">
      <c r="D3396" s="796"/>
    </row>
    <row r="3397" spans="4:4" x14ac:dyDescent="0.25">
      <c r="D3397" s="796"/>
    </row>
    <row r="3398" spans="4:4" x14ac:dyDescent="0.25">
      <c r="D3398" s="796"/>
    </row>
    <row r="3399" spans="4:4" x14ac:dyDescent="0.25">
      <c r="D3399" s="796"/>
    </row>
    <row r="3400" spans="4:4" x14ac:dyDescent="0.25">
      <c r="D3400" s="796"/>
    </row>
    <row r="3401" spans="4:4" x14ac:dyDescent="0.25">
      <c r="D3401" s="796"/>
    </row>
    <row r="3402" spans="4:4" x14ac:dyDescent="0.25">
      <c r="D3402" s="796"/>
    </row>
    <row r="3403" spans="4:4" x14ac:dyDescent="0.25">
      <c r="D3403" s="796"/>
    </row>
    <row r="3404" spans="4:4" x14ac:dyDescent="0.25">
      <c r="D3404" s="796"/>
    </row>
    <row r="3405" spans="4:4" x14ac:dyDescent="0.25">
      <c r="D3405" s="796"/>
    </row>
    <row r="3406" spans="4:4" x14ac:dyDescent="0.25">
      <c r="D3406" s="796"/>
    </row>
    <row r="3407" spans="4:4" x14ac:dyDescent="0.25">
      <c r="D3407" s="796"/>
    </row>
    <row r="3408" spans="4:4" x14ac:dyDescent="0.25">
      <c r="D3408" s="796"/>
    </row>
    <row r="3409" spans="4:4" x14ac:dyDescent="0.25">
      <c r="D3409" s="796"/>
    </row>
    <row r="3410" spans="4:4" x14ac:dyDescent="0.25">
      <c r="D3410" s="796"/>
    </row>
    <row r="3411" spans="4:4" x14ac:dyDescent="0.25">
      <c r="D3411" s="796"/>
    </row>
    <row r="3412" spans="4:4" x14ac:dyDescent="0.25">
      <c r="D3412" s="796"/>
    </row>
    <row r="3413" spans="4:4" x14ac:dyDescent="0.25">
      <c r="D3413" s="796"/>
    </row>
    <row r="3414" spans="4:4" x14ac:dyDescent="0.25">
      <c r="D3414" s="796"/>
    </row>
    <row r="3415" spans="4:4" x14ac:dyDescent="0.25">
      <c r="D3415" s="796"/>
    </row>
    <row r="3416" spans="4:4" x14ac:dyDescent="0.25">
      <c r="D3416" s="796"/>
    </row>
    <row r="3417" spans="4:4" x14ac:dyDescent="0.25">
      <c r="D3417" s="796"/>
    </row>
    <row r="3418" spans="4:4" x14ac:dyDescent="0.25">
      <c r="D3418" s="796"/>
    </row>
    <row r="3419" spans="4:4" x14ac:dyDescent="0.25">
      <c r="D3419" s="796"/>
    </row>
    <row r="3420" spans="4:4" x14ac:dyDescent="0.25">
      <c r="D3420" s="796"/>
    </row>
    <row r="3421" spans="4:4" x14ac:dyDescent="0.25">
      <c r="D3421" s="796"/>
    </row>
    <row r="3422" spans="4:4" x14ac:dyDescent="0.25">
      <c r="D3422" s="796"/>
    </row>
    <row r="3423" spans="4:4" x14ac:dyDescent="0.25">
      <c r="D3423" s="796"/>
    </row>
    <row r="3424" spans="4:4" x14ac:dyDescent="0.25">
      <c r="D3424" s="796"/>
    </row>
    <row r="3425" spans="4:4" x14ac:dyDescent="0.25">
      <c r="D3425" s="796"/>
    </row>
    <row r="3426" spans="4:4" x14ac:dyDescent="0.25">
      <c r="D3426" s="796"/>
    </row>
    <row r="3427" spans="4:4" x14ac:dyDescent="0.25">
      <c r="D3427" s="796"/>
    </row>
    <row r="3428" spans="4:4" x14ac:dyDescent="0.25">
      <c r="D3428" s="796"/>
    </row>
    <row r="3429" spans="4:4" x14ac:dyDescent="0.25">
      <c r="D3429" s="796"/>
    </row>
    <row r="3430" spans="4:4" x14ac:dyDescent="0.25">
      <c r="D3430" s="796"/>
    </row>
    <row r="3431" spans="4:4" x14ac:dyDescent="0.25">
      <c r="D3431" s="796"/>
    </row>
    <row r="3432" spans="4:4" x14ac:dyDescent="0.25">
      <c r="D3432" s="796"/>
    </row>
    <row r="3433" spans="4:4" x14ac:dyDescent="0.25">
      <c r="D3433" s="796"/>
    </row>
    <row r="3434" spans="4:4" x14ac:dyDescent="0.25">
      <c r="D3434" s="796"/>
    </row>
    <row r="3435" spans="4:4" x14ac:dyDescent="0.25">
      <c r="D3435" s="796"/>
    </row>
    <row r="3436" spans="4:4" x14ac:dyDescent="0.25">
      <c r="D3436" s="796"/>
    </row>
    <row r="3437" spans="4:4" x14ac:dyDescent="0.25">
      <c r="D3437" s="796"/>
    </row>
    <row r="3438" spans="4:4" x14ac:dyDescent="0.25">
      <c r="D3438" s="796"/>
    </row>
    <row r="3439" spans="4:4" x14ac:dyDescent="0.25">
      <c r="D3439" s="796"/>
    </row>
    <row r="3440" spans="4:4" x14ac:dyDescent="0.25">
      <c r="D3440" s="796"/>
    </row>
    <row r="3441" spans="4:4" x14ac:dyDescent="0.25">
      <c r="D3441" s="796"/>
    </row>
    <row r="3442" spans="4:4" x14ac:dyDescent="0.25">
      <c r="D3442" s="796"/>
    </row>
    <row r="3443" spans="4:4" x14ac:dyDescent="0.25">
      <c r="D3443" s="796"/>
    </row>
    <row r="3444" spans="4:4" x14ac:dyDescent="0.25">
      <c r="D3444" s="796"/>
    </row>
    <row r="3445" spans="4:4" x14ac:dyDescent="0.25">
      <c r="D3445" s="796"/>
    </row>
    <row r="3446" spans="4:4" x14ac:dyDescent="0.25">
      <c r="D3446" s="796"/>
    </row>
    <row r="3447" spans="4:4" x14ac:dyDescent="0.25">
      <c r="D3447" s="796"/>
    </row>
    <row r="3448" spans="4:4" x14ac:dyDescent="0.25">
      <c r="D3448" s="796"/>
    </row>
    <row r="3449" spans="4:4" x14ac:dyDescent="0.25">
      <c r="D3449" s="796"/>
    </row>
    <row r="3450" spans="4:4" x14ac:dyDescent="0.25">
      <c r="D3450" s="796"/>
    </row>
    <row r="3451" spans="4:4" x14ac:dyDescent="0.25">
      <c r="D3451" s="796"/>
    </row>
    <row r="3452" spans="4:4" x14ac:dyDescent="0.25">
      <c r="D3452" s="796"/>
    </row>
    <row r="3453" spans="4:4" x14ac:dyDescent="0.25">
      <c r="D3453" s="796"/>
    </row>
    <row r="3454" spans="4:4" x14ac:dyDescent="0.25">
      <c r="D3454" s="796"/>
    </row>
    <row r="3455" spans="4:4" x14ac:dyDescent="0.25">
      <c r="D3455" s="796"/>
    </row>
    <row r="3456" spans="4:4" x14ac:dyDescent="0.25">
      <c r="D3456" s="796"/>
    </row>
    <row r="3457" spans="4:4" x14ac:dyDescent="0.25">
      <c r="D3457" s="796"/>
    </row>
    <row r="3458" spans="4:4" x14ac:dyDescent="0.25">
      <c r="D3458" s="796"/>
    </row>
    <row r="3459" spans="4:4" x14ac:dyDescent="0.25">
      <c r="D3459" s="796"/>
    </row>
    <row r="3460" spans="4:4" x14ac:dyDescent="0.25">
      <c r="D3460" s="796"/>
    </row>
    <row r="3461" spans="4:4" x14ac:dyDescent="0.25">
      <c r="D3461" s="796"/>
    </row>
    <row r="3462" spans="4:4" x14ac:dyDescent="0.25">
      <c r="D3462" s="796"/>
    </row>
    <row r="3463" spans="4:4" x14ac:dyDescent="0.25">
      <c r="D3463" s="796"/>
    </row>
    <row r="3464" spans="4:4" x14ac:dyDescent="0.25">
      <c r="D3464" s="796"/>
    </row>
    <row r="3465" spans="4:4" x14ac:dyDescent="0.25">
      <c r="D3465" s="796"/>
    </row>
    <row r="3466" spans="4:4" x14ac:dyDescent="0.25">
      <c r="D3466" s="796"/>
    </row>
    <row r="3467" spans="4:4" x14ac:dyDescent="0.25">
      <c r="D3467" s="796"/>
    </row>
    <row r="3468" spans="4:4" x14ac:dyDescent="0.25">
      <c r="D3468" s="796"/>
    </row>
    <row r="3469" spans="4:4" x14ac:dyDescent="0.25">
      <c r="D3469" s="796"/>
    </row>
    <row r="3470" spans="4:4" x14ac:dyDescent="0.25">
      <c r="D3470" s="796"/>
    </row>
    <row r="3471" spans="4:4" x14ac:dyDescent="0.25">
      <c r="D3471" s="796"/>
    </row>
    <row r="3472" spans="4:4" x14ac:dyDescent="0.25">
      <c r="D3472" s="796"/>
    </row>
    <row r="3473" spans="4:4" x14ac:dyDescent="0.25">
      <c r="D3473" s="796"/>
    </row>
    <row r="3474" spans="4:4" x14ac:dyDescent="0.25">
      <c r="D3474" s="796"/>
    </row>
    <row r="3475" spans="4:4" x14ac:dyDescent="0.25">
      <c r="D3475" s="796"/>
    </row>
    <row r="3476" spans="4:4" x14ac:dyDescent="0.25">
      <c r="D3476" s="796"/>
    </row>
    <row r="3477" spans="4:4" x14ac:dyDescent="0.25">
      <c r="D3477" s="796"/>
    </row>
    <row r="3478" spans="4:4" x14ac:dyDescent="0.25">
      <c r="D3478" s="796"/>
    </row>
    <row r="3479" spans="4:4" x14ac:dyDescent="0.25">
      <c r="D3479" s="796"/>
    </row>
    <row r="3480" spans="4:4" x14ac:dyDescent="0.25">
      <c r="D3480" s="796"/>
    </row>
    <row r="3481" spans="4:4" x14ac:dyDescent="0.25">
      <c r="D3481" s="796"/>
    </row>
    <row r="3482" spans="4:4" x14ac:dyDescent="0.25">
      <c r="D3482" s="796"/>
    </row>
    <row r="3483" spans="4:4" x14ac:dyDescent="0.25">
      <c r="D3483" s="796"/>
    </row>
    <row r="3484" spans="4:4" x14ac:dyDescent="0.25">
      <c r="D3484" s="796"/>
    </row>
    <row r="3485" spans="4:4" x14ac:dyDescent="0.25">
      <c r="D3485" s="796"/>
    </row>
    <row r="3486" spans="4:4" x14ac:dyDescent="0.25">
      <c r="D3486" s="796"/>
    </row>
    <row r="3487" spans="4:4" x14ac:dyDescent="0.25">
      <c r="D3487" s="796"/>
    </row>
    <row r="3488" spans="4:4" x14ac:dyDescent="0.25">
      <c r="D3488" s="796"/>
    </row>
    <row r="3489" spans="4:4" x14ac:dyDescent="0.25">
      <c r="D3489" s="796"/>
    </row>
    <row r="3490" spans="4:4" x14ac:dyDescent="0.25">
      <c r="D3490" s="796"/>
    </row>
    <row r="3491" spans="4:4" x14ac:dyDescent="0.25">
      <c r="D3491" s="796"/>
    </row>
    <row r="3492" spans="4:4" x14ac:dyDescent="0.25">
      <c r="D3492" s="796"/>
    </row>
    <row r="3493" spans="4:4" x14ac:dyDescent="0.25">
      <c r="D3493" s="796"/>
    </row>
    <row r="3494" spans="4:4" x14ac:dyDescent="0.25">
      <c r="D3494" s="796"/>
    </row>
    <row r="3495" spans="4:4" x14ac:dyDescent="0.25">
      <c r="D3495" s="796"/>
    </row>
    <row r="3496" spans="4:4" x14ac:dyDescent="0.25">
      <c r="D3496" s="796"/>
    </row>
    <row r="3497" spans="4:4" x14ac:dyDescent="0.25">
      <c r="D3497" s="796"/>
    </row>
    <row r="3498" spans="4:4" x14ac:dyDescent="0.25">
      <c r="D3498" s="796"/>
    </row>
    <row r="3499" spans="4:4" x14ac:dyDescent="0.25">
      <c r="D3499" s="796"/>
    </row>
    <row r="3500" spans="4:4" x14ac:dyDescent="0.25">
      <c r="D3500" s="796"/>
    </row>
    <row r="3501" spans="4:4" x14ac:dyDescent="0.25">
      <c r="D3501" s="796"/>
    </row>
    <row r="3502" spans="4:4" x14ac:dyDescent="0.25">
      <c r="D3502" s="796"/>
    </row>
    <row r="3503" spans="4:4" x14ac:dyDescent="0.25">
      <c r="D3503" s="796"/>
    </row>
    <row r="3504" spans="4:4" x14ac:dyDescent="0.25">
      <c r="D3504" s="796"/>
    </row>
    <row r="3505" spans="4:4" x14ac:dyDescent="0.25">
      <c r="D3505" s="796"/>
    </row>
    <row r="3506" spans="4:4" x14ac:dyDescent="0.25">
      <c r="D3506" s="796"/>
    </row>
    <row r="3507" spans="4:4" x14ac:dyDescent="0.25">
      <c r="D3507" s="796"/>
    </row>
    <row r="3508" spans="4:4" x14ac:dyDescent="0.25">
      <c r="D3508" s="796"/>
    </row>
    <row r="3509" spans="4:4" x14ac:dyDescent="0.25">
      <c r="D3509" s="796"/>
    </row>
    <row r="3510" spans="4:4" x14ac:dyDescent="0.25">
      <c r="D3510" s="796"/>
    </row>
    <row r="3511" spans="4:4" x14ac:dyDescent="0.25">
      <c r="D3511" s="796"/>
    </row>
    <row r="3512" spans="4:4" x14ac:dyDescent="0.25">
      <c r="D3512" s="796"/>
    </row>
    <row r="3513" spans="4:4" x14ac:dyDescent="0.25">
      <c r="D3513" s="796"/>
    </row>
    <row r="3514" spans="4:4" x14ac:dyDescent="0.25">
      <c r="D3514" s="796"/>
    </row>
    <row r="3515" spans="4:4" x14ac:dyDescent="0.25">
      <c r="D3515" s="796"/>
    </row>
    <row r="3516" spans="4:4" x14ac:dyDescent="0.25">
      <c r="D3516" s="796"/>
    </row>
    <row r="3517" spans="4:4" x14ac:dyDescent="0.25">
      <c r="D3517" s="796"/>
    </row>
    <row r="3518" spans="4:4" x14ac:dyDescent="0.25">
      <c r="D3518" s="796"/>
    </row>
    <row r="3519" spans="4:4" x14ac:dyDescent="0.25">
      <c r="D3519" s="796"/>
    </row>
    <row r="3520" spans="4:4" x14ac:dyDescent="0.25">
      <c r="D3520" s="796"/>
    </row>
    <row r="3521" spans="4:4" x14ac:dyDescent="0.25">
      <c r="D3521" s="796"/>
    </row>
    <row r="3522" spans="4:4" x14ac:dyDescent="0.25">
      <c r="D3522" s="796"/>
    </row>
    <row r="3523" spans="4:4" x14ac:dyDescent="0.25">
      <c r="D3523" s="796"/>
    </row>
    <row r="3524" spans="4:4" x14ac:dyDescent="0.25">
      <c r="D3524" s="796"/>
    </row>
    <row r="3525" spans="4:4" x14ac:dyDescent="0.25">
      <c r="D3525" s="796"/>
    </row>
    <row r="3526" spans="4:4" x14ac:dyDescent="0.25">
      <c r="D3526" s="796"/>
    </row>
    <row r="3527" spans="4:4" x14ac:dyDescent="0.25">
      <c r="D3527" s="796"/>
    </row>
    <row r="3528" spans="4:4" x14ac:dyDescent="0.25">
      <c r="D3528" s="796"/>
    </row>
    <row r="3529" spans="4:4" x14ac:dyDescent="0.25">
      <c r="D3529" s="796"/>
    </row>
    <row r="3530" spans="4:4" x14ac:dyDescent="0.25">
      <c r="D3530" s="796"/>
    </row>
    <row r="3531" spans="4:4" x14ac:dyDescent="0.25">
      <c r="D3531" s="796"/>
    </row>
    <row r="3532" spans="4:4" x14ac:dyDescent="0.25">
      <c r="D3532" s="796"/>
    </row>
    <row r="3533" spans="4:4" x14ac:dyDescent="0.25">
      <c r="D3533" s="796"/>
    </row>
    <row r="3534" spans="4:4" x14ac:dyDescent="0.25">
      <c r="D3534" s="796"/>
    </row>
    <row r="3535" spans="4:4" x14ac:dyDescent="0.25">
      <c r="D3535" s="796"/>
    </row>
    <row r="3536" spans="4:4" x14ac:dyDescent="0.25">
      <c r="D3536" s="796"/>
    </row>
    <row r="3537" spans="4:4" x14ac:dyDescent="0.25">
      <c r="D3537" s="796"/>
    </row>
    <row r="3538" spans="4:4" x14ac:dyDescent="0.25">
      <c r="D3538" s="796"/>
    </row>
    <row r="3539" spans="4:4" x14ac:dyDescent="0.25">
      <c r="D3539" s="796"/>
    </row>
    <row r="3540" spans="4:4" x14ac:dyDescent="0.25">
      <c r="D3540" s="796"/>
    </row>
    <row r="3541" spans="4:4" x14ac:dyDescent="0.25">
      <c r="D3541" s="796"/>
    </row>
    <row r="3542" spans="4:4" x14ac:dyDescent="0.25">
      <c r="D3542" s="796"/>
    </row>
    <row r="3543" spans="4:4" x14ac:dyDescent="0.25">
      <c r="D3543" s="796"/>
    </row>
    <row r="3544" spans="4:4" x14ac:dyDescent="0.25">
      <c r="D3544" s="796"/>
    </row>
    <row r="3545" spans="4:4" x14ac:dyDescent="0.25">
      <c r="D3545" s="796"/>
    </row>
    <row r="3546" spans="4:4" x14ac:dyDescent="0.25">
      <c r="D3546" s="796"/>
    </row>
    <row r="3547" spans="4:4" x14ac:dyDescent="0.25">
      <c r="D3547" s="796"/>
    </row>
    <row r="3548" spans="4:4" x14ac:dyDescent="0.25">
      <c r="D3548" s="796"/>
    </row>
    <row r="3549" spans="4:4" x14ac:dyDescent="0.25">
      <c r="D3549" s="796"/>
    </row>
    <row r="3550" spans="4:4" x14ac:dyDescent="0.25">
      <c r="D3550" s="796"/>
    </row>
    <row r="3551" spans="4:4" x14ac:dyDescent="0.25">
      <c r="D3551" s="796"/>
    </row>
    <row r="3552" spans="4:4" x14ac:dyDescent="0.25">
      <c r="D3552" s="796"/>
    </row>
    <row r="3553" spans="4:4" x14ac:dyDescent="0.25">
      <c r="D3553" s="796"/>
    </row>
    <row r="3554" spans="4:4" x14ac:dyDescent="0.25">
      <c r="D3554" s="796"/>
    </row>
    <row r="3555" spans="4:4" x14ac:dyDescent="0.25">
      <c r="D3555" s="796"/>
    </row>
    <row r="3556" spans="4:4" x14ac:dyDescent="0.25">
      <c r="D3556" s="796"/>
    </row>
    <row r="3557" spans="4:4" x14ac:dyDescent="0.25">
      <c r="D3557" s="796"/>
    </row>
    <row r="3558" spans="4:4" x14ac:dyDescent="0.25">
      <c r="D3558" s="796"/>
    </row>
    <row r="3559" spans="4:4" x14ac:dyDescent="0.25">
      <c r="D3559" s="796"/>
    </row>
    <row r="3560" spans="4:4" x14ac:dyDescent="0.25">
      <c r="D3560" s="796"/>
    </row>
    <row r="3561" spans="4:4" x14ac:dyDescent="0.25">
      <c r="D3561" s="796"/>
    </row>
    <row r="3562" spans="4:4" x14ac:dyDescent="0.25">
      <c r="D3562" s="796"/>
    </row>
    <row r="3563" spans="4:4" x14ac:dyDescent="0.25">
      <c r="D3563" s="796"/>
    </row>
    <row r="3564" spans="4:4" x14ac:dyDescent="0.25">
      <c r="D3564" s="796"/>
    </row>
    <row r="3565" spans="4:4" x14ac:dyDescent="0.25">
      <c r="D3565" s="796"/>
    </row>
    <row r="3566" spans="4:4" x14ac:dyDescent="0.25">
      <c r="D3566" s="796"/>
    </row>
    <row r="3567" spans="4:4" x14ac:dyDescent="0.25">
      <c r="D3567" s="796"/>
    </row>
    <row r="3568" spans="4:4" x14ac:dyDescent="0.25">
      <c r="D3568" s="796"/>
    </row>
    <row r="3569" spans="4:4" x14ac:dyDescent="0.25">
      <c r="D3569" s="796"/>
    </row>
    <row r="3570" spans="4:4" x14ac:dyDescent="0.25">
      <c r="D3570" s="796"/>
    </row>
    <row r="3571" spans="4:4" x14ac:dyDescent="0.25">
      <c r="D3571" s="796"/>
    </row>
    <row r="3572" spans="4:4" x14ac:dyDescent="0.25">
      <c r="D3572" s="796"/>
    </row>
    <row r="3573" spans="4:4" x14ac:dyDescent="0.25">
      <c r="D3573" s="796"/>
    </row>
    <row r="3574" spans="4:4" x14ac:dyDescent="0.25">
      <c r="D3574" s="796"/>
    </row>
    <row r="3575" spans="4:4" x14ac:dyDescent="0.25">
      <c r="D3575" s="796"/>
    </row>
    <row r="3576" spans="4:4" x14ac:dyDescent="0.25">
      <c r="D3576" s="796"/>
    </row>
    <row r="3577" spans="4:4" x14ac:dyDescent="0.25">
      <c r="D3577" s="796"/>
    </row>
    <row r="3578" spans="4:4" x14ac:dyDescent="0.25">
      <c r="D3578" s="796"/>
    </row>
    <row r="3579" spans="4:4" x14ac:dyDescent="0.25">
      <c r="D3579" s="796"/>
    </row>
    <row r="3580" spans="4:4" x14ac:dyDescent="0.25">
      <c r="D3580" s="796"/>
    </row>
    <row r="3581" spans="4:4" x14ac:dyDescent="0.25">
      <c r="D3581" s="796"/>
    </row>
    <row r="3582" spans="4:4" x14ac:dyDescent="0.25">
      <c r="D3582" s="796"/>
    </row>
    <row r="3583" spans="4:4" x14ac:dyDescent="0.25">
      <c r="D3583" s="796"/>
    </row>
    <row r="3584" spans="4:4" x14ac:dyDescent="0.25">
      <c r="D3584" s="796"/>
    </row>
    <row r="3585" spans="4:4" x14ac:dyDescent="0.25">
      <c r="D3585" s="796"/>
    </row>
    <row r="3586" spans="4:4" x14ac:dyDescent="0.25">
      <c r="D3586" s="796"/>
    </row>
    <row r="3587" spans="4:4" x14ac:dyDescent="0.25">
      <c r="D3587" s="796"/>
    </row>
    <row r="3588" spans="4:4" x14ac:dyDescent="0.25">
      <c r="D3588" s="796"/>
    </row>
    <row r="3589" spans="4:4" x14ac:dyDescent="0.25">
      <c r="D3589" s="796"/>
    </row>
    <row r="3590" spans="4:4" x14ac:dyDescent="0.25">
      <c r="D3590" s="796"/>
    </row>
    <row r="3591" spans="4:4" x14ac:dyDescent="0.25">
      <c r="D3591" s="796"/>
    </row>
    <row r="3592" spans="4:4" x14ac:dyDescent="0.25">
      <c r="D3592" s="796"/>
    </row>
    <row r="3593" spans="4:4" x14ac:dyDescent="0.25">
      <c r="D3593" s="796"/>
    </row>
    <row r="3594" spans="4:4" x14ac:dyDescent="0.25">
      <c r="D3594" s="796"/>
    </row>
    <row r="3595" spans="4:4" x14ac:dyDescent="0.25">
      <c r="D3595" s="796"/>
    </row>
    <row r="3596" spans="4:4" x14ac:dyDescent="0.25">
      <c r="D3596" s="796"/>
    </row>
    <row r="3597" spans="4:4" x14ac:dyDescent="0.25">
      <c r="D3597" s="796"/>
    </row>
    <row r="3598" spans="4:4" x14ac:dyDescent="0.25">
      <c r="D3598" s="796"/>
    </row>
    <row r="3599" spans="4:4" x14ac:dyDescent="0.25">
      <c r="D3599" s="796"/>
    </row>
    <row r="3600" spans="4:4" x14ac:dyDescent="0.25">
      <c r="D3600" s="796"/>
    </row>
    <row r="3601" spans="4:4" x14ac:dyDescent="0.25">
      <c r="D3601" s="796"/>
    </row>
    <row r="3602" spans="4:4" x14ac:dyDescent="0.25">
      <c r="D3602" s="796"/>
    </row>
    <row r="3603" spans="4:4" x14ac:dyDescent="0.25">
      <c r="D3603" s="796"/>
    </row>
    <row r="3604" spans="4:4" x14ac:dyDescent="0.25">
      <c r="D3604" s="796"/>
    </row>
    <row r="3605" spans="4:4" x14ac:dyDescent="0.25">
      <c r="D3605" s="796"/>
    </row>
    <row r="3606" spans="4:4" x14ac:dyDescent="0.25">
      <c r="D3606" s="796"/>
    </row>
    <row r="3607" spans="4:4" x14ac:dyDescent="0.25">
      <c r="D3607" s="796"/>
    </row>
    <row r="3608" spans="4:4" x14ac:dyDescent="0.25">
      <c r="D3608" s="796"/>
    </row>
    <row r="3609" spans="4:4" x14ac:dyDescent="0.25">
      <c r="D3609" s="796"/>
    </row>
    <row r="3610" spans="4:4" x14ac:dyDescent="0.25">
      <c r="D3610" s="796"/>
    </row>
    <row r="3611" spans="4:4" x14ac:dyDescent="0.25">
      <c r="D3611" s="796"/>
    </row>
    <row r="3612" spans="4:4" x14ac:dyDescent="0.25">
      <c r="D3612" s="796"/>
    </row>
    <row r="3613" spans="4:4" x14ac:dyDescent="0.25">
      <c r="D3613" s="796"/>
    </row>
    <row r="3614" spans="4:4" x14ac:dyDescent="0.25">
      <c r="D3614" s="796"/>
    </row>
    <row r="3615" spans="4:4" x14ac:dyDescent="0.25">
      <c r="D3615" s="796"/>
    </row>
    <row r="3616" spans="4:4" x14ac:dyDescent="0.25">
      <c r="D3616" s="796"/>
    </row>
    <row r="3617" spans="4:4" x14ac:dyDescent="0.25">
      <c r="D3617" s="796"/>
    </row>
    <row r="3618" spans="4:4" x14ac:dyDescent="0.25">
      <c r="D3618" s="796"/>
    </row>
    <row r="3619" spans="4:4" x14ac:dyDescent="0.25">
      <c r="D3619" s="796"/>
    </row>
    <row r="3620" spans="4:4" x14ac:dyDescent="0.25">
      <c r="D3620" s="796"/>
    </row>
    <row r="3621" spans="4:4" x14ac:dyDescent="0.25">
      <c r="D3621" s="796"/>
    </row>
    <row r="3622" spans="4:4" x14ac:dyDescent="0.25">
      <c r="D3622" s="796"/>
    </row>
    <row r="3623" spans="4:4" x14ac:dyDescent="0.25">
      <c r="D3623" s="796"/>
    </row>
    <row r="3624" spans="4:4" x14ac:dyDescent="0.25">
      <c r="D3624" s="796"/>
    </row>
    <row r="3625" spans="4:4" x14ac:dyDescent="0.25">
      <c r="D3625" s="796"/>
    </row>
    <row r="3626" spans="4:4" x14ac:dyDescent="0.25">
      <c r="D3626" s="796"/>
    </row>
    <row r="3627" spans="4:4" x14ac:dyDescent="0.25">
      <c r="D3627" s="796"/>
    </row>
    <row r="3628" spans="4:4" x14ac:dyDescent="0.25">
      <c r="D3628" s="796"/>
    </row>
    <row r="3629" spans="4:4" x14ac:dyDescent="0.25">
      <c r="D3629" s="796"/>
    </row>
    <row r="3630" spans="4:4" x14ac:dyDescent="0.25">
      <c r="D3630" s="796"/>
    </row>
    <row r="3631" spans="4:4" x14ac:dyDescent="0.25">
      <c r="D3631" s="796"/>
    </row>
    <row r="3632" spans="4:4" x14ac:dyDescent="0.25">
      <c r="D3632" s="796"/>
    </row>
    <row r="3633" spans="4:4" x14ac:dyDescent="0.25">
      <c r="D3633" s="796"/>
    </row>
    <row r="3634" spans="4:4" x14ac:dyDescent="0.25">
      <c r="D3634" s="796"/>
    </row>
    <row r="3635" spans="4:4" x14ac:dyDescent="0.25">
      <c r="D3635" s="796"/>
    </row>
    <row r="3636" spans="4:4" x14ac:dyDescent="0.25">
      <c r="D3636" s="796"/>
    </row>
    <row r="3637" spans="4:4" x14ac:dyDescent="0.25">
      <c r="D3637" s="796"/>
    </row>
    <row r="3638" spans="4:4" x14ac:dyDescent="0.25">
      <c r="D3638" s="796"/>
    </row>
    <row r="3639" spans="4:4" x14ac:dyDescent="0.25">
      <c r="D3639" s="796"/>
    </row>
    <row r="3640" spans="4:4" x14ac:dyDescent="0.25">
      <c r="D3640" s="796"/>
    </row>
    <row r="3641" spans="4:4" x14ac:dyDescent="0.25">
      <c r="D3641" s="796"/>
    </row>
    <row r="3642" spans="4:4" x14ac:dyDescent="0.25">
      <c r="D3642" s="796"/>
    </row>
    <row r="3643" spans="4:4" x14ac:dyDescent="0.25">
      <c r="D3643" s="796"/>
    </row>
    <row r="3644" spans="4:4" x14ac:dyDescent="0.25">
      <c r="D3644" s="796"/>
    </row>
    <row r="3645" spans="4:4" x14ac:dyDescent="0.25">
      <c r="D3645" s="796"/>
    </row>
    <row r="3646" spans="4:4" x14ac:dyDescent="0.25">
      <c r="D3646" s="796"/>
    </row>
    <row r="3647" spans="4:4" x14ac:dyDescent="0.25">
      <c r="D3647" s="796"/>
    </row>
    <row r="3648" spans="4:4" x14ac:dyDescent="0.25">
      <c r="D3648" s="796"/>
    </row>
    <row r="3649" spans="4:4" x14ac:dyDescent="0.25">
      <c r="D3649" s="796"/>
    </row>
    <row r="3650" spans="4:4" x14ac:dyDescent="0.25">
      <c r="D3650" s="796"/>
    </row>
    <row r="3651" spans="4:4" x14ac:dyDescent="0.25">
      <c r="D3651" s="796"/>
    </row>
    <row r="3652" spans="4:4" x14ac:dyDescent="0.25">
      <c r="D3652" s="796"/>
    </row>
    <row r="3653" spans="4:4" x14ac:dyDescent="0.25">
      <c r="D3653" s="796"/>
    </row>
    <row r="3654" spans="4:4" x14ac:dyDescent="0.25">
      <c r="D3654" s="796"/>
    </row>
    <row r="3655" spans="4:4" x14ac:dyDescent="0.25">
      <c r="D3655" s="796"/>
    </row>
    <row r="3656" spans="4:4" x14ac:dyDescent="0.25">
      <c r="D3656" s="796"/>
    </row>
    <row r="3657" spans="4:4" x14ac:dyDescent="0.25">
      <c r="D3657" s="796"/>
    </row>
    <row r="3658" spans="4:4" x14ac:dyDescent="0.25">
      <c r="D3658" s="796"/>
    </row>
    <row r="3659" spans="4:4" x14ac:dyDescent="0.25">
      <c r="D3659" s="796"/>
    </row>
    <row r="3660" spans="4:4" x14ac:dyDescent="0.25">
      <c r="D3660" s="796"/>
    </row>
    <row r="3661" spans="4:4" x14ac:dyDescent="0.25">
      <c r="D3661" s="796"/>
    </row>
    <row r="3662" spans="4:4" x14ac:dyDescent="0.25">
      <c r="D3662" s="796"/>
    </row>
    <row r="3663" spans="4:4" x14ac:dyDescent="0.25">
      <c r="D3663" s="796"/>
    </row>
    <row r="3664" spans="4:4" x14ac:dyDescent="0.25">
      <c r="D3664" s="796"/>
    </row>
    <row r="3665" spans="4:4" x14ac:dyDescent="0.25">
      <c r="D3665" s="796"/>
    </row>
    <row r="3666" spans="4:4" x14ac:dyDescent="0.25">
      <c r="D3666" s="796"/>
    </row>
    <row r="3667" spans="4:4" x14ac:dyDescent="0.25">
      <c r="D3667" s="796"/>
    </row>
    <row r="3668" spans="4:4" x14ac:dyDescent="0.25">
      <c r="D3668" s="796"/>
    </row>
    <row r="3669" spans="4:4" x14ac:dyDescent="0.25">
      <c r="D3669" s="796"/>
    </row>
    <row r="3670" spans="4:4" x14ac:dyDescent="0.25">
      <c r="D3670" s="796"/>
    </row>
    <row r="3671" spans="4:4" x14ac:dyDescent="0.25">
      <c r="D3671" s="796"/>
    </row>
    <row r="3672" spans="4:4" x14ac:dyDescent="0.25">
      <c r="D3672" s="796"/>
    </row>
    <row r="3673" spans="4:4" x14ac:dyDescent="0.25">
      <c r="D3673" s="796"/>
    </row>
    <row r="3674" spans="4:4" x14ac:dyDescent="0.25">
      <c r="D3674" s="796"/>
    </row>
    <row r="3675" spans="4:4" x14ac:dyDescent="0.25">
      <c r="D3675" s="796"/>
    </row>
    <row r="3676" spans="4:4" x14ac:dyDescent="0.25">
      <c r="D3676" s="796"/>
    </row>
    <row r="3677" spans="4:4" x14ac:dyDescent="0.25">
      <c r="D3677" s="796"/>
    </row>
    <row r="3678" spans="4:4" x14ac:dyDescent="0.25">
      <c r="D3678" s="796"/>
    </row>
    <row r="3679" spans="4:4" x14ac:dyDescent="0.25">
      <c r="D3679" s="796"/>
    </row>
    <row r="3680" spans="4:4" x14ac:dyDescent="0.25">
      <c r="D3680" s="796"/>
    </row>
    <row r="3681" spans="4:4" x14ac:dyDescent="0.25">
      <c r="D3681" s="796"/>
    </row>
    <row r="3682" spans="4:4" x14ac:dyDescent="0.25">
      <c r="D3682" s="796"/>
    </row>
    <row r="3683" spans="4:4" x14ac:dyDescent="0.25">
      <c r="D3683" s="796"/>
    </row>
    <row r="3684" spans="4:4" x14ac:dyDescent="0.25">
      <c r="D3684" s="796"/>
    </row>
    <row r="3685" spans="4:4" x14ac:dyDescent="0.25">
      <c r="D3685" s="796"/>
    </row>
    <row r="3686" spans="4:4" x14ac:dyDescent="0.25">
      <c r="D3686" s="796"/>
    </row>
    <row r="3687" spans="4:4" x14ac:dyDescent="0.25">
      <c r="D3687" s="796"/>
    </row>
    <row r="3688" spans="4:4" x14ac:dyDescent="0.25">
      <c r="D3688" s="796"/>
    </row>
    <row r="3689" spans="4:4" x14ac:dyDescent="0.25">
      <c r="D3689" s="796"/>
    </row>
    <row r="3690" spans="4:4" x14ac:dyDescent="0.25">
      <c r="D3690" s="796"/>
    </row>
    <row r="3691" spans="4:4" x14ac:dyDescent="0.25">
      <c r="D3691" s="796"/>
    </row>
    <row r="3692" spans="4:4" x14ac:dyDescent="0.25">
      <c r="D3692" s="796"/>
    </row>
    <row r="3693" spans="4:4" x14ac:dyDescent="0.25">
      <c r="D3693" s="796"/>
    </row>
    <row r="3694" spans="4:4" x14ac:dyDescent="0.25">
      <c r="D3694" s="796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="80" zoomScaleNormal="80" workbookViewId="0">
      <selection activeCell="N10" sqref="N10:N11"/>
    </sheetView>
  </sheetViews>
  <sheetFormatPr defaultRowHeight="12.75" outlineLevelCol="1" x14ac:dyDescent="0.2"/>
  <cols>
    <col min="1" max="1" width="15.6640625" customWidth="1"/>
    <col min="2" max="2" width="9.83203125" customWidth="1"/>
    <col min="3" max="3" width="6" customWidth="1"/>
    <col min="4" max="4" width="18.5" customWidth="1"/>
    <col min="5" max="5" width="15" customWidth="1"/>
    <col min="6" max="6" width="18.33203125" customWidth="1"/>
    <col min="7" max="7" width="14.83203125" customWidth="1"/>
    <col min="8" max="8" width="18.33203125" customWidth="1"/>
    <col min="9" max="9" width="15" customWidth="1"/>
    <col min="10" max="10" width="18.33203125" customWidth="1"/>
    <col min="11" max="11" width="15" customWidth="1"/>
    <col min="12" max="12" width="23.1640625" hidden="1" customWidth="1" outlineLevel="1"/>
    <col min="13" max="13" width="9.33203125" hidden="1" customWidth="1" outlineLevel="1"/>
    <col min="14" max="14" width="27.5" customWidth="1" collapsed="1"/>
  </cols>
  <sheetData>
    <row r="1" spans="1:14" ht="25.5" customHeight="1" thickBot="1" x14ac:dyDescent="0.25">
      <c r="A1" s="1479" t="s">
        <v>2690</v>
      </c>
      <c r="B1" s="1479"/>
      <c r="C1" s="1479"/>
      <c r="D1" s="1479"/>
      <c r="E1" s="1479"/>
      <c r="F1" s="1479"/>
      <c r="G1" s="1479"/>
      <c r="H1" s="1479"/>
      <c r="I1" s="1479"/>
      <c r="J1" s="1479"/>
      <c r="K1" s="1479"/>
      <c r="L1" s="1479"/>
      <c r="M1" s="1479"/>
      <c r="N1" s="1479"/>
    </row>
    <row r="2" spans="1:14" ht="57" customHeight="1" thickBot="1" x14ac:dyDescent="0.25">
      <c r="A2" s="936" t="s">
        <v>2691</v>
      </c>
      <c r="B2" s="1458" t="s">
        <v>2692</v>
      </c>
      <c r="C2" s="1459"/>
      <c r="D2" s="1458" t="s">
        <v>2693</v>
      </c>
      <c r="E2" s="1459"/>
      <c r="F2" s="937" t="s">
        <v>2694</v>
      </c>
      <c r="G2" s="938" t="s">
        <v>2695</v>
      </c>
      <c r="H2" s="1458" t="s">
        <v>2696</v>
      </c>
      <c r="I2" s="1459"/>
      <c r="J2" s="1458" t="s">
        <v>2697</v>
      </c>
      <c r="K2" s="1459"/>
      <c r="L2" s="1480" t="s">
        <v>2698</v>
      </c>
      <c r="M2" s="1481"/>
      <c r="N2" s="939" t="s">
        <v>2699</v>
      </c>
    </row>
    <row r="3" spans="1:14" ht="21.75" customHeight="1" thickBot="1" x14ac:dyDescent="0.25">
      <c r="A3" s="1472" t="s">
        <v>2700</v>
      </c>
      <c r="B3" s="1474">
        <v>8</v>
      </c>
      <c r="C3" s="1474"/>
      <c r="D3" s="1474">
        <v>6</v>
      </c>
      <c r="E3" s="1474"/>
      <c r="F3" s="940">
        <f>B3*D3</f>
        <v>48</v>
      </c>
      <c r="G3" s="941">
        <f>IF(D3=10,45,IF(D3=9,36,IF(D3=8,28,IF(D3=7,20,IF(D3=6,15,IF(D3=5,9,IF(D3=4,6)))))))*B3</f>
        <v>120</v>
      </c>
      <c r="H3" s="1475">
        <v>10</v>
      </c>
      <c r="I3" s="1475"/>
      <c r="J3" s="1475">
        <v>18</v>
      </c>
      <c r="K3" s="1475"/>
      <c r="L3" s="1477">
        <f>INT(G5/H3*J3/60)</f>
        <v>5</v>
      </c>
      <c r="M3" s="1482">
        <f>INT(MOD((G5/H3*J3),60))</f>
        <v>45</v>
      </c>
      <c r="N3" s="1483" t="str">
        <f>CONCATENATE(L3," час ",M3," мин")</f>
        <v>5 час 45 мин</v>
      </c>
    </row>
    <row r="4" spans="1:14" ht="21.75" customHeight="1" x14ac:dyDescent="0.2">
      <c r="A4" s="1473"/>
      <c r="B4" s="1474">
        <v>8</v>
      </c>
      <c r="C4" s="1474"/>
      <c r="D4" s="1474">
        <v>5</v>
      </c>
      <c r="E4" s="1474"/>
      <c r="F4" s="940">
        <f>(B4*D4)</f>
        <v>40</v>
      </c>
      <c r="G4" s="941">
        <f>IF(D4=10,45,IF(D4=9,36,IF(D4=8,28,IF(D4=7,20,IF(D4=6,15,IF(D4=5,9,IF(D4=4,6)))))))*B4</f>
        <v>72</v>
      </c>
      <c r="H4" s="1476"/>
      <c r="I4" s="1476"/>
      <c r="J4" s="1476"/>
      <c r="K4" s="1476"/>
      <c r="L4" s="1478"/>
      <c r="M4" s="1482"/>
      <c r="N4" s="1484"/>
    </row>
    <row r="5" spans="1:14" ht="21.75" customHeight="1" x14ac:dyDescent="0.2">
      <c r="A5" s="942" t="s">
        <v>2701</v>
      </c>
      <c r="B5" s="1469">
        <f>B3+B4</f>
        <v>16</v>
      </c>
      <c r="C5" s="1470"/>
      <c r="D5" s="1471"/>
      <c r="E5" s="1471"/>
      <c r="F5" s="943">
        <f>F3+F4</f>
        <v>88</v>
      </c>
      <c r="G5" s="944">
        <f>G3+G4</f>
        <v>192</v>
      </c>
      <c r="H5" s="1471"/>
      <c r="I5" s="1471"/>
      <c r="J5" s="945"/>
      <c r="K5" s="945"/>
      <c r="L5" s="946">
        <f>L3+L4</f>
        <v>5</v>
      </c>
      <c r="M5" s="947">
        <f>M3+M4</f>
        <v>45</v>
      </c>
      <c r="N5" s="944" t="str">
        <f>CONCATENATE(L5," час ",M5," мин")</f>
        <v>5 час 45 мин</v>
      </c>
    </row>
    <row r="6" spans="1:14" ht="27.75" customHeight="1" x14ac:dyDescent="0.35">
      <c r="A6" s="1468" t="s">
        <v>2702</v>
      </c>
      <c r="B6" s="1468"/>
      <c r="C6" s="1468"/>
      <c r="D6" s="1468"/>
      <c r="E6" s="1468"/>
      <c r="F6" s="1468"/>
      <c r="G6" s="1468"/>
      <c r="H6" s="1468"/>
      <c r="I6" s="1468"/>
      <c r="J6" s="1468"/>
      <c r="K6" s="1468"/>
      <c r="L6" s="1468"/>
      <c r="M6" s="1468"/>
      <c r="N6" s="1468"/>
    </row>
    <row r="7" spans="1:14" ht="21" customHeight="1" thickBot="1" x14ac:dyDescent="0.25">
      <c r="A7" s="1445" t="s">
        <v>2703</v>
      </c>
      <c r="B7" s="1448" t="s">
        <v>2704</v>
      </c>
      <c r="C7" s="1449"/>
      <c r="D7" s="1450" t="s">
        <v>2705</v>
      </c>
      <c r="E7" s="1451"/>
      <c r="F7" s="1451"/>
      <c r="G7" s="1451"/>
      <c r="H7" s="1451"/>
      <c r="I7" s="1451"/>
      <c r="J7" s="1451"/>
      <c r="K7" s="1452"/>
      <c r="L7" s="948"/>
      <c r="N7" s="1453" t="s">
        <v>2706</v>
      </c>
    </row>
    <row r="8" spans="1:14" ht="19.5" customHeight="1" thickBot="1" x14ac:dyDescent="0.25">
      <c r="A8" s="1446"/>
      <c r="B8" s="1454">
        <v>16</v>
      </c>
      <c r="C8" s="1455"/>
      <c r="D8" s="1456" t="s">
        <v>2707</v>
      </c>
      <c r="E8" s="1457"/>
      <c r="F8" s="1458">
        <v>32</v>
      </c>
      <c r="G8" s="1459"/>
      <c r="H8" s="1460" t="s">
        <v>2708</v>
      </c>
      <c r="I8" s="1461"/>
      <c r="J8" s="1460">
        <v>16</v>
      </c>
      <c r="K8" s="1461"/>
      <c r="L8" s="949"/>
      <c r="N8" s="1453"/>
    </row>
    <row r="9" spans="1:14" ht="20.25" customHeight="1" thickBot="1" x14ac:dyDescent="0.3">
      <c r="A9" s="1446"/>
      <c r="B9" s="1462"/>
      <c r="C9" s="1463"/>
      <c r="D9" s="950" t="s">
        <v>2709</v>
      </c>
      <c r="E9" s="951" t="s">
        <v>2710</v>
      </c>
      <c r="F9" s="952" t="s">
        <v>2709</v>
      </c>
      <c r="G9" s="953" t="s">
        <v>2710</v>
      </c>
      <c r="H9" s="950" t="s">
        <v>2709</v>
      </c>
      <c r="I9" s="951" t="s">
        <v>2710</v>
      </c>
      <c r="J9" s="950" t="s">
        <v>2709</v>
      </c>
      <c r="K9" s="951" t="s">
        <v>2710</v>
      </c>
      <c r="L9" s="954"/>
      <c r="M9" s="955"/>
      <c r="N9" s="956">
        <v>4</v>
      </c>
    </row>
    <row r="10" spans="1:14" ht="15" customHeight="1" x14ac:dyDescent="0.2">
      <c r="A10" s="1446"/>
      <c r="B10" s="1464" t="str">
        <f>IF(B9="","",IF(B9=16,240))</f>
        <v/>
      </c>
      <c r="C10" s="1465"/>
      <c r="D10" s="1431"/>
      <c r="E10" s="1431" t="str">
        <f>IF(D10="","",IF(D10=32,94,IF(D10=24,82)))</f>
        <v/>
      </c>
      <c r="F10" s="1431">
        <v>24</v>
      </c>
      <c r="G10" s="1431">
        <f>IF(F10="","",IF(F10=32,80,IF(D10=24,"",24)))</f>
        <v>24</v>
      </c>
      <c r="H10" s="1431"/>
      <c r="I10" s="1431" t="str">
        <f>IF(H10="","",IF(H10=16,38,IF(D10=12,34)))</f>
        <v/>
      </c>
      <c r="J10" s="1431"/>
      <c r="K10" s="1431" t="str">
        <f>IF(J10="","",IF(J10=16,28,IF(D10=12,34)))</f>
        <v/>
      </c>
      <c r="L10" s="1433">
        <f>IF(N9="","",INT(IF(B10="",IF(D10="",IF(F10="",IF(H10="",K10,I10),G10),E10),B10)/N9*J3/60))</f>
        <v>1</v>
      </c>
      <c r="M10" s="1435">
        <f>IF(N9="","",INT(MOD((IF(B9="",IF(E10="",IF(G10="",IF(I10="",IF(K10="",I10,K10),I10),G10),E10),B10)/N9*J3),60)))</f>
        <v>48</v>
      </c>
      <c r="N10" s="1437" t="str">
        <f>CONCATENATE(L10," час ",M10," мин")</f>
        <v>1 час 48 мин</v>
      </c>
    </row>
    <row r="11" spans="1:14" ht="15" customHeight="1" x14ac:dyDescent="0.2">
      <c r="A11" s="1447"/>
      <c r="B11" s="1466"/>
      <c r="C11" s="1467"/>
      <c r="D11" s="1432"/>
      <c r="E11" s="1432"/>
      <c r="F11" s="1432"/>
      <c r="G11" s="1432"/>
      <c r="H11" s="1432"/>
      <c r="I11" s="1432"/>
      <c r="J11" s="1432"/>
      <c r="K11" s="1432"/>
      <c r="L11" s="1434"/>
      <c r="M11" s="1436"/>
      <c r="N11" s="1438"/>
    </row>
    <row r="12" spans="1:14" ht="21" customHeight="1" thickBot="1" x14ac:dyDescent="0.25">
      <c r="A12" s="1445" t="s">
        <v>2711</v>
      </c>
      <c r="B12" s="1448" t="s">
        <v>2704</v>
      </c>
      <c r="C12" s="1449"/>
      <c r="D12" s="1450" t="s">
        <v>2705</v>
      </c>
      <c r="E12" s="1451"/>
      <c r="F12" s="1451"/>
      <c r="G12" s="1451"/>
      <c r="H12" s="1451"/>
      <c r="I12" s="1451"/>
      <c r="J12" s="1451"/>
      <c r="K12" s="1452"/>
      <c r="L12" s="948"/>
      <c r="N12" s="1453" t="s">
        <v>2706</v>
      </c>
    </row>
    <row r="13" spans="1:14" ht="17.25" customHeight="1" thickBot="1" x14ac:dyDescent="0.25">
      <c r="A13" s="1446"/>
      <c r="B13" s="1454">
        <v>16</v>
      </c>
      <c r="C13" s="1455"/>
      <c r="D13" s="1456" t="s">
        <v>2707</v>
      </c>
      <c r="E13" s="1457"/>
      <c r="F13" s="1458">
        <v>32</v>
      </c>
      <c r="G13" s="1459"/>
      <c r="H13" s="1460" t="s">
        <v>2708</v>
      </c>
      <c r="I13" s="1461"/>
      <c r="J13" s="1460">
        <v>16</v>
      </c>
      <c r="K13" s="1461"/>
      <c r="L13" s="949"/>
      <c r="N13" s="1453"/>
    </row>
    <row r="14" spans="1:14" ht="20.25" customHeight="1" thickBot="1" x14ac:dyDescent="0.3">
      <c r="A14" s="1446"/>
      <c r="B14" s="1462"/>
      <c r="C14" s="1463"/>
      <c r="D14" s="950" t="s">
        <v>2709</v>
      </c>
      <c r="E14" s="951" t="s">
        <v>2710</v>
      </c>
      <c r="F14" s="952" t="s">
        <v>2709</v>
      </c>
      <c r="G14" s="953" t="s">
        <v>2710</v>
      </c>
      <c r="H14" s="950" t="s">
        <v>2709</v>
      </c>
      <c r="I14" s="951" t="s">
        <v>2710</v>
      </c>
      <c r="J14" s="950" t="s">
        <v>2709</v>
      </c>
      <c r="K14" s="951" t="s">
        <v>2710</v>
      </c>
      <c r="L14" s="954"/>
      <c r="M14" s="955"/>
      <c r="N14" s="956"/>
    </row>
    <row r="15" spans="1:14" ht="14.25" customHeight="1" x14ac:dyDescent="0.2">
      <c r="A15" s="1446"/>
      <c r="B15" s="1464" t="str">
        <f>IF(B14="","",IF(B14=16,240))</f>
        <v/>
      </c>
      <c r="C15" s="1465"/>
      <c r="D15" s="1431"/>
      <c r="E15" s="1431" t="str">
        <f>IF(D15="","",IF(D15=32,94,IF(D15=24,82)))</f>
        <v/>
      </c>
      <c r="F15" s="1431"/>
      <c r="G15" s="1431" t="str">
        <f>IF(F15="","",IF(F15=32,80,IF(D15=24,68)))</f>
        <v/>
      </c>
      <c r="H15" s="1431"/>
      <c r="I15" s="1431" t="str">
        <f>IF(H15="","",IF(H15=16,38,IF(D15=12,34)))</f>
        <v/>
      </c>
      <c r="J15" s="1431"/>
      <c r="K15" s="1431" t="str">
        <f>IF(J15="","",IF(J15=16,28,IF(D15=12,34)))</f>
        <v/>
      </c>
      <c r="L15" s="1433" t="str">
        <f>IF(N14="","",INT(IF(B14="",IF(D15="",IF(F15="",IF(H15="",K15,I15),G15),E15),B15)/N14*J3/60))</f>
        <v/>
      </c>
      <c r="M15" s="1435" t="str">
        <f>IF(N14="","",INT(MOD((IF(B14="",IF(E15="",IF(G15="",IF(I15="",IF(K15="",I15,K15),I15),G15),E15),B15)/N14*J3),60)))</f>
        <v/>
      </c>
      <c r="N15" s="1437" t="str">
        <f>CONCATENATE(L15," час ",M15," мин")</f>
        <v xml:space="preserve"> час  мин</v>
      </c>
    </row>
    <row r="16" spans="1:14" ht="15" customHeight="1" x14ac:dyDescent="0.2">
      <c r="A16" s="1447"/>
      <c r="B16" s="1466"/>
      <c r="C16" s="1467"/>
      <c r="D16" s="1432"/>
      <c r="E16" s="1432"/>
      <c r="F16" s="1432"/>
      <c r="G16" s="1432"/>
      <c r="H16" s="1432"/>
      <c r="I16" s="1432"/>
      <c r="J16" s="1432"/>
      <c r="K16" s="1432"/>
      <c r="L16" s="1434"/>
      <c r="M16" s="1436"/>
      <c r="N16" s="1438"/>
    </row>
    <row r="17" spans="1:14" ht="21" customHeight="1" thickBot="1" x14ac:dyDescent="0.25">
      <c r="A17" s="1445" t="s">
        <v>2712</v>
      </c>
      <c r="B17" s="1448" t="s">
        <v>2704</v>
      </c>
      <c r="C17" s="1449"/>
      <c r="D17" s="1450" t="s">
        <v>2705</v>
      </c>
      <c r="E17" s="1451"/>
      <c r="F17" s="1451"/>
      <c r="G17" s="1451"/>
      <c r="H17" s="1451"/>
      <c r="I17" s="1451"/>
      <c r="J17" s="1451"/>
      <c r="K17" s="1452"/>
      <c r="L17" s="948"/>
      <c r="N17" s="1453" t="s">
        <v>2706</v>
      </c>
    </row>
    <row r="18" spans="1:14" ht="21" thickBot="1" x14ac:dyDescent="0.25">
      <c r="A18" s="1446"/>
      <c r="B18" s="1454">
        <v>16</v>
      </c>
      <c r="C18" s="1455"/>
      <c r="D18" s="1456" t="s">
        <v>2707</v>
      </c>
      <c r="E18" s="1457"/>
      <c r="F18" s="1458">
        <v>32</v>
      </c>
      <c r="G18" s="1459"/>
      <c r="H18" s="1460" t="s">
        <v>2708</v>
      </c>
      <c r="I18" s="1461"/>
      <c r="J18" s="1460">
        <v>16</v>
      </c>
      <c r="K18" s="1461"/>
      <c r="L18" s="949"/>
      <c r="N18" s="1453"/>
    </row>
    <row r="19" spans="1:14" ht="24" thickBot="1" x14ac:dyDescent="0.3">
      <c r="A19" s="1446"/>
      <c r="B19" s="1462"/>
      <c r="C19" s="1463"/>
      <c r="D19" s="950" t="s">
        <v>2709</v>
      </c>
      <c r="E19" s="951" t="s">
        <v>2710</v>
      </c>
      <c r="F19" s="952" t="s">
        <v>2709</v>
      </c>
      <c r="G19" s="953" t="s">
        <v>2710</v>
      </c>
      <c r="H19" s="950" t="s">
        <v>2709</v>
      </c>
      <c r="I19" s="951" t="s">
        <v>2710</v>
      </c>
      <c r="J19" s="950" t="s">
        <v>2709</v>
      </c>
      <c r="K19" s="951" t="s">
        <v>2710</v>
      </c>
      <c r="L19" s="954"/>
      <c r="M19" s="955"/>
      <c r="N19" s="956"/>
    </row>
    <row r="20" spans="1:14" ht="15" customHeight="1" x14ac:dyDescent="0.2">
      <c r="A20" s="1446"/>
      <c r="B20" s="1464" t="str">
        <f>IF(B19="","",IF(B19=16,240))</f>
        <v/>
      </c>
      <c r="C20" s="1465"/>
      <c r="D20" s="1431"/>
      <c r="E20" s="1431" t="str">
        <f>IF(D20="","",IF(D20=32,94,IF(D20=24,82)))</f>
        <v/>
      </c>
      <c r="F20" s="1431"/>
      <c r="G20" s="1431" t="str">
        <f>IF(F20="","",IF(F20=32,80,IF(D20=24,68)))</f>
        <v/>
      </c>
      <c r="H20" s="1431"/>
      <c r="I20" s="1431" t="str">
        <f>IF(H20="","",IF(H20=16,38,IF(D20=12,34)))</f>
        <v/>
      </c>
      <c r="J20" s="1431"/>
      <c r="K20" s="1431" t="str">
        <f>IF(J20="","",IF(J20=16,28,IF(D20=12,34)))</f>
        <v/>
      </c>
      <c r="L20" s="1433" t="str">
        <f>IF(N19="","",INT(IF(B19="",IF(D20="",IF(F20="",IF(H20="",K20,I20),G20),E20),B20)/N19*J3/60))</f>
        <v/>
      </c>
      <c r="M20" s="1435" t="str">
        <f>IF(N19="","",INT(MOD((IF(B19="",IF(E20="",IF(G20="",IF(I20="",IF(K20="",I20,K20),I20),G20),E20),B20)/N19*J3),60)))</f>
        <v/>
      </c>
      <c r="N20" s="1437" t="str">
        <f>CONCATENATE(L20," час ",M20," мин")</f>
        <v xml:space="preserve"> час  мин</v>
      </c>
    </row>
    <row r="21" spans="1:14" ht="15.75" customHeight="1" x14ac:dyDescent="0.2">
      <c r="A21" s="1447"/>
      <c r="B21" s="1466"/>
      <c r="C21" s="1467"/>
      <c r="D21" s="1432"/>
      <c r="E21" s="1432"/>
      <c r="F21" s="1432"/>
      <c r="G21" s="1432"/>
      <c r="H21" s="1432"/>
      <c r="I21" s="1432"/>
      <c r="J21" s="1432"/>
      <c r="K21" s="1432"/>
      <c r="L21" s="1434"/>
      <c r="M21" s="1436"/>
      <c r="N21" s="1438"/>
    </row>
    <row r="22" spans="1:14" ht="21" customHeight="1" thickBot="1" x14ac:dyDescent="0.25">
      <c r="A22" s="1445" t="s">
        <v>2713</v>
      </c>
      <c r="B22" s="1448" t="s">
        <v>2704</v>
      </c>
      <c r="C22" s="1449"/>
      <c r="D22" s="1450" t="s">
        <v>2705</v>
      </c>
      <c r="E22" s="1451"/>
      <c r="F22" s="1451"/>
      <c r="G22" s="1451"/>
      <c r="H22" s="1451"/>
      <c r="I22" s="1451"/>
      <c r="J22" s="1451"/>
      <c r="K22" s="1452"/>
      <c r="L22" s="948"/>
      <c r="N22" s="1453" t="s">
        <v>2706</v>
      </c>
    </row>
    <row r="23" spans="1:14" ht="21" thickBot="1" x14ac:dyDescent="0.25">
      <c r="A23" s="1446"/>
      <c r="B23" s="1454">
        <v>16</v>
      </c>
      <c r="C23" s="1455"/>
      <c r="D23" s="1456" t="s">
        <v>2707</v>
      </c>
      <c r="E23" s="1457"/>
      <c r="F23" s="1458">
        <v>32</v>
      </c>
      <c r="G23" s="1459"/>
      <c r="H23" s="1460" t="s">
        <v>2708</v>
      </c>
      <c r="I23" s="1461"/>
      <c r="J23" s="1460">
        <v>16</v>
      </c>
      <c r="K23" s="1461"/>
      <c r="L23" s="949"/>
      <c r="N23" s="1453"/>
    </row>
    <row r="24" spans="1:14" ht="24" thickBot="1" x14ac:dyDescent="0.3">
      <c r="A24" s="1446"/>
      <c r="B24" s="1462"/>
      <c r="C24" s="1463"/>
      <c r="D24" s="950" t="s">
        <v>2709</v>
      </c>
      <c r="E24" s="951" t="s">
        <v>2710</v>
      </c>
      <c r="F24" s="952" t="s">
        <v>2709</v>
      </c>
      <c r="G24" s="953" t="s">
        <v>2710</v>
      </c>
      <c r="H24" s="950" t="s">
        <v>2709</v>
      </c>
      <c r="I24" s="951" t="s">
        <v>2710</v>
      </c>
      <c r="J24" s="950" t="s">
        <v>2709</v>
      </c>
      <c r="K24" s="951" t="s">
        <v>2710</v>
      </c>
      <c r="L24" s="954"/>
      <c r="M24" s="955"/>
      <c r="N24" s="956"/>
    </row>
    <row r="25" spans="1:14" ht="15" customHeight="1" x14ac:dyDescent="0.2">
      <c r="A25" s="1446"/>
      <c r="B25" s="1464" t="str">
        <f>IF(B24="","",IF(B24=16,240))</f>
        <v/>
      </c>
      <c r="C25" s="1465"/>
      <c r="D25" s="1431"/>
      <c r="E25" s="1431" t="str">
        <f>IF(D25="","",IF(D25=32,94,IF(D25=24,82)))</f>
        <v/>
      </c>
      <c r="F25" s="1431"/>
      <c r="G25" s="1431" t="str">
        <f>IF(F25="","",IF(F25=32,80,IF(D25=24,68)))</f>
        <v/>
      </c>
      <c r="H25" s="1431"/>
      <c r="I25" s="1431" t="str">
        <f>IF(H25="","",IF(H25=16,38,IF(D25=12,34)))</f>
        <v/>
      </c>
      <c r="J25" s="1431"/>
      <c r="K25" s="1431" t="str">
        <f>IF(J25="","",IF(J25=16,28,IF(D25=12,34)))</f>
        <v/>
      </c>
      <c r="L25" s="1433" t="str">
        <f>IF(N24="","",INT(IF(B24="",IF(D25="",IF(F25="",IF(H25="",K25,I25),G25),E25),B25)/N24*J3/60))</f>
        <v/>
      </c>
      <c r="M25" s="1435" t="str">
        <f>IF(N24="","",INT(MOD((IF(B24="",IF(E25="",IF(G25="",IF(I25="",IF(K25="",I25,K25),I25),G25),E25),B25)/N24*J3),60)))</f>
        <v/>
      </c>
      <c r="N25" s="1437" t="str">
        <f>CONCATENATE(L25," час ",M25," мин")</f>
        <v xml:space="preserve"> час  мин</v>
      </c>
    </row>
    <row r="26" spans="1:14" ht="15" customHeight="1" thickBot="1" x14ac:dyDescent="0.25">
      <c r="A26" s="1447"/>
      <c r="B26" s="1466"/>
      <c r="C26" s="1467"/>
      <c r="D26" s="1432"/>
      <c r="E26" s="1432"/>
      <c r="F26" s="1432"/>
      <c r="G26" s="1432"/>
      <c r="H26" s="1432"/>
      <c r="I26" s="1432"/>
      <c r="J26" s="1432"/>
      <c r="K26" s="1432"/>
      <c r="L26" s="1434"/>
      <c r="M26" s="1436"/>
      <c r="N26" s="1438"/>
    </row>
    <row r="27" spans="1:14" ht="40.5" customHeight="1" thickBot="1" x14ac:dyDescent="0.25">
      <c r="A27" s="957"/>
      <c r="B27" s="958"/>
      <c r="C27" s="958"/>
      <c r="D27" s="959"/>
      <c r="E27" s="959"/>
      <c r="F27" s="959"/>
      <c r="G27" s="959"/>
      <c r="H27" s="959"/>
      <c r="I27" s="1439" t="s">
        <v>2714</v>
      </c>
      <c r="J27" s="1440"/>
      <c r="K27" s="1441"/>
      <c r="L27" s="960" t="e">
        <f>IF(L10="","",(L10+L15+L20+L25)+INT((M10+M15+M20+M25)/60))</f>
        <v>#VALUE!</v>
      </c>
      <c r="M27" s="961" t="e">
        <f>IF(M10="","",MOD((M10+M15+M20+M25),60))</f>
        <v>#VALUE!</v>
      </c>
      <c r="N27" s="962" t="e">
        <f>CONCATENATE(L27," час ",M27," мин")</f>
        <v>#VALUE!</v>
      </c>
    </row>
    <row r="28" spans="1:14" ht="42" customHeight="1" thickBot="1" x14ac:dyDescent="0.25">
      <c r="I28" s="1442" t="s">
        <v>2715</v>
      </c>
      <c r="J28" s="1443"/>
      <c r="K28" s="1444"/>
      <c r="L28" s="960" t="e">
        <f>IF(L10="","",(L10+L15+L20+L25)+INT((M10+M15+M20+M25)/60))</f>
        <v>#VALUE!</v>
      </c>
      <c r="M28" s="961" t="e">
        <f>IF(M10="","",MOD((M10+M15+M20+M25),60))</f>
        <v>#VALUE!</v>
      </c>
      <c r="N28" s="963" t="e">
        <f>CONCATENATE(L28," час ",M28," мин")</f>
        <v>#VALUE!</v>
      </c>
    </row>
  </sheetData>
  <mergeCells count="110">
    <mergeCell ref="A1:N1"/>
    <mergeCell ref="B2:C2"/>
    <mergeCell ref="D2:E2"/>
    <mergeCell ref="H2:I2"/>
    <mergeCell ref="J2:K2"/>
    <mergeCell ref="L2:M2"/>
    <mergeCell ref="M3:M4"/>
    <mergeCell ref="N3:N4"/>
    <mergeCell ref="B4:C4"/>
    <mergeCell ref="D4:E4"/>
    <mergeCell ref="B5:C5"/>
    <mergeCell ref="D5:E5"/>
    <mergeCell ref="H5:I5"/>
    <mergeCell ref="A3:A4"/>
    <mergeCell ref="B3:C3"/>
    <mergeCell ref="D3:E3"/>
    <mergeCell ref="H3:I4"/>
    <mergeCell ref="J3:K4"/>
    <mergeCell ref="L3:L4"/>
    <mergeCell ref="B9:C9"/>
    <mergeCell ref="B10:C11"/>
    <mergeCell ref="D10:D11"/>
    <mergeCell ref="E10:E11"/>
    <mergeCell ref="F10:F11"/>
    <mergeCell ref="G10:G11"/>
    <mergeCell ref="A6:N6"/>
    <mergeCell ref="A7:A11"/>
    <mergeCell ref="B7:C7"/>
    <mergeCell ref="D7:K7"/>
    <mergeCell ref="N7:N8"/>
    <mergeCell ref="B8:C8"/>
    <mergeCell ref="D8:E8"/>
    <mergeCell ref="F8:G8"/>
    <mergeCell ref="H8:I8"/>
    <mergeCell ref="J8:K8"/>
    <mergeCell ref="B14:C14"/>
    <mergeCell ref="B15:C16"/>
    <mergeCell ref="D15:D16"/>
    <mergeCell ref="E15:E16"/>
    <mergeCell ref="F15:F16"/>
    <mergeCell ref="G15:G16"/>
    <mergeCell ref="N10:N11"/>
    <mergeCell ref="A12:A16"/>
    <mergeCell ref="B12:C12"/>
    <mergeCell ref="D12:K12"/>
    <mergeCell ref="N12:N13"/>
    <mergeCell ref="B13:C13"/>
    <mergeCell ref="D13:E13"/>
    <mergeCell ref="F13:G13"/>
    <mergeCell ref="H13:I13"/>
    <mergeCell ref="J13:K13"/>
    <mergeCell ref="H10:H11"/>
    <mergeCell ref="I10:I11"/>
    <mergeCell ref="J10:J11"/>
    <mergeCell ref="K10:K11"/>
    <mergeCell ref="L10:L11"/>
    <mergeCell ref="M10:M11"/>
    <mergeCell ref="B19:C19"/>
    <mergeCell ref="B20:C21"/>
    <mergeCell ref="D20:D21"/>
    <mergeCell ref="E20:E21"/>
    <mergeCell ref="F20:F21"/>
    <mergeCell ref="G20:G21"/>
    <mergeCell ref="N15:N16"/>
    <mergeCell ref="A17:A21"/>
    <mergeCell ref="B17:C17"/>
    <mergeCell ref="D17:K17"/>
    <mergeCell ref="N17:N18"/>
    <mergeCell ref="B18:C18"/>
    <mergeCell ref="D18:E18"/>
    <mergeCell ref="F18:G18"/>
    <mergeCell ref="H18:I18"/>
    <mergeCell ref="J18:K18"/>
    <mergeCell ref="H15:H16"/>
    <mergeCell ref="I15:I16"/>
    <mergeCell ref="J15:J16"/>
    <mergeCell ref="K15:K16"/>
    <mergeCell ref="L15:L16"/>
    <mergeCell ref="M15:M16"/>
    <mergeCell ref="N20:N21"/>
    <mergeCell ref="H20:H21"/>
    <mergeCell ref="A22:A26"/>
    <mergeCell ref="B22:C22"/>
    <mergeCell ref="D22:K22"/>
    <mergeCell ref="N22:N23"/>
    <mergeCell ref="B23:C23"/>
    <mergeCell ref="D23:E23"/>
    <mergeCell ref="F23:G23"/>
    <mergeCell ref="H23:I23"/>
    <mergeCell ref="J23:K23"/>
    <mergeCell ref="B24:C24"/>
    <mergeCell ref="B25:C26"/>
    <mergeCell ref="D25:D26"/>
    <mergeCell ref="E25:E26"/>
    <mergeCell ref="F25:F26"/>
    <mergeCell ref="G25:G26"/>
    <mergeCell ref="I20:I21"/>
    <mergeCell ref="J20:J21"/>
    <mergeCell ref="K20:K21"/>
    <mergeCell ref="L20:L21"/>
    <mergeCell ref="M20:M21"/>
    <mergeCell ref="N25:N26"/>
    <mergeCell ref="I27:K27"/>
    <mergeCell ref="I28:K28"/>
    <mergeCell ref="H25:H26"/>
    <mergeCell ref="I25:I26"/>
    <mergeCell ref="J25:J26"/>
    <mergeCell ref="K25:K26"/>
    <mergeCell ref="L25:L26"/>
    <mergeCell ref="M25:M2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Z80"/>
  <sheetViews>
    <sheetView view="pageBreakPreview" topLeftCell="A37" zoomScale="90" zoomScaleNormal="60" zoomScaleSheetLayoutView="90" workbookViewId="0">
      <selection activeCell="V22" sqref="V22"/>
    </sheetView>
  </sheetViews>
  <sheetFormatPr defaultColWidth="21.83203125" defaultRowHeight="10.35" customHeight="1" outlineLevelCol="1" x14ac:dyDescent="0.2"/>
  <cols>
    <col min="1" max="1" width="3.1640625" style="536" customWidth="1"/>
    <col min="2" max="2" width="4.33203125" style="536" hidden="1" customWidth="1" outlineLevel="1"/>
    <col min="3" max="3" width="25.83203125" style="535" customWidth="1" collapsed="1"/>
    <col min="4" max="4" width="9" style="535" customWidth="1"/>
    <col min="5" max="5" width="5.83203125" style="535" hidden="1" customWidth="1" outlineLevel="1"/>
    <col min="6" max="6" width="20" style="530" customWidth="1" collapsed="1"/>
    <col min="7" max="7" width="3.1640625" style="535" customWidth="1"/>
    <col min="8" max="8" width="5.6640625" style="530" hidden="1" customWidth="1" outlineLevel="1"/>
    <col min="9" max="9" width="21.5" style="535" customWidth="1" collapsed="1"/>
    <col min="10" max="10" width="3.1640625" style="535" customWidth="1"/>
    <col min="11" max="11" width="4.33203125" style="535" hidden="1" customWidth="1" outlineLevel="1"/>
    <col min="12" max="12" width="19.83203125" style="530" customWidth="1" collapsed="1"/>
    <col min="13" max="13" width="3.33203125" style="530" customWidth="1"/>
    <col min="14" max="14" width="5.33203125" style="530" hidden="1" customWidth="1" outlineLevel="1"/>
    <col min="15" max="15" width="21.5" style="535" customWidth="1" collapsed="1"/>
    <col min="16" max="16" width="3.83203125" style="530" customWidth="1"/>
    <col min="17" max="17" width="4.33203125" style="530" customWidth="1"/>
    <col min="18" max="18" width="3.1640625" style="535" customWidth="1"/>
    <col min="19" max="19" width="16" style="530" customWidth="1"/>
    <col min="20" max="20" width="3.1640625" style="535" customWidth="1"/>
    <col min="21" max="21" width="3.1640625" style="530" customWidth="1"/>
    <col min="22" max="22" width="16" style="530" customWidth="1"/>
    <col min="23" max="23" width="3.1640625" style="535" customWidth="1"/>
    <col min="24" max="24" width="3.1640625" style="530" customWidth="1"/>
    <col min="25" max="25" width="16" style="535" customWidth="1"/>
    <col min="26" max="27" width="3.1640625" style="530" customWidth="1"/>
    <col min="28" max="28" width="15.5" style="535" customWidth="1"/>
    <col min="29" max="29" width="3.1640625" style="530" customWidth="1"/>
    <col min="30" max="30" width="16.1640625" style="530" customWidth="1"/>
    <col min="31" max="31" width="3.1640625" style="535" customWidth="1"/>
    <col min="32" max="32" width="3.6640625" style="530" customWidth="1"/>
    <col min="33" max="33" width="21.83203125" style="530" customWidth="1"/>
    <col min="34" max="34" width="21.83203125" style="535" customWidth="1"/>
    <col min="35" max="36" width="21.83203125" style="530" customWidth="1"/>
    <col min="37" max="41" width="21.83203125" style="535" customWidth="1"/>
    <col min="42" max="43" width="21.83203125" style="530" customWidth="1"/>
    <col min="44" max="44" width="21.83203125" style="535" customWidth="1"/>
    <col min="45" max="46" width="21.83203125" style="530" customWidth="1"/>
    <col min="47" max="47" width="21.83203125" style="535" customWidth="1"/>
    <col min="48" max="49" width="21.83203125" style="530" customWidth="1"/>
    <col min="50" max="50" width="21.83203125" style="535" customWidth="1"/>
    <col min="51" max="52" width="21.83203125" style="530" customWidth="1"/>
    <col min="53" max="16384" width="21.83203125" style="535"/>
  </cols>
  <sheetData>
    <row r="1" spans="1:31" ht="16.5" customHeight="1" x14ac:dyDescent="0.2">
      <c r="A1" s="1142" t="str">
        <f>'Списки участников'!A1</f>
        <v xml:space="preserve">X Спартакиада
среди предприятий Нижегородской области ФСК "Профсоюзов",
под девизом "Будь спортивным - будь успешным!"
</v>
      </c>
      <c r="B1" s="1142"/>
      <c r="C1" s="1142"/>
      <c r="D1" s="1142"/>
      <c r="E1" s="1142"/>
      <c r="F1" s="1142"/>
      <c r="G1" s="1142"/>
      <c r="H1" s="1142"/>
      <c r="I1" s="1142"/>
      <c r="J1" s="1142"/>
      <c r="K1" s="1142"/>
      <c r="L1" s="1142"/>
      <c r="M1" s="1142"/>
      <c r="N1" s="1142"/>
      <c r="O1" s="1142"/>
      <c r="P1" s="1142"/>
      <c r="Q1" s="1142"/>
      <c r="R1" s="529"/>
      <c r="T1" s="530"/>
      <c r="W1" s="531"/>
      <c r="X1" s="532"/>
      <c r="Y1" s="533"/>
      <c r="AB1" s="530"/>
      <c r="AD1" s="534"/>
      <c r="AE1" s="530"/>
    </row>
    <row r="2" spans="1:31" ht="14.25" customHeight="1" x14ac:dyDescent="0.2">
      <c r="A2" s="1143" t="str">
        <f>'Списки участников'!A2</f>
        <v>Соревнования по настольному теннису</v>
      </c>
      <c r="B2" s="1143"/>
      <c r="C2" s="1143"/>
      <c r="D2" s="1143"/>
      <c r="E2" s="1143"/>
      <c r="F2" s="1143"/>
      <c r="G2" s="1143"/>
      <c r="H2" s="1143"/>
      <c r="I2" s="1143"/>
      <c r="J2" s="1143"/>
      <c r="K2" s="1143"/>
      <c r="L2" s="1143"/>
      <c r="M2" s="1143"/>
      <c r="N2" s="1143"/>
      <c r="O2" s="1143"/>
      <c r="P2" s="1143"/>
      <c r="Q2" s="1143"/>
      <c r="R2" s="529"/>
      <c r="T2" s="530"/>
      <c r="W2" s="531"/>
      <c r="X2" s="532"/>
      <c r="Y2" s="533"/>
      <c r="AB2" s="530"/>
      <c r="AE2" s="530"/>
    </row>
    <row r="3" spans="1:31" ht="17.25" customHeight="1" x14ac:dyDescent="0.2">
      <c r="A3" s="1144" t="str">
        <f>'Списки участников'!C3</f>
        <v>22 октября 2016 г.</v>
      </c>
      <c r="B3" s="1144"/>
      <c r="C3" s="1144"/>
      <c r="D3" s="1144"/>
      <c r="E3" s="1144"/>
      <c r="I3" s="1064" t="s">
        <v>2727</v>
      </c>
      <c r="J3" s="1065" t="s">
        <v>18</v>
      </c>
      <c r="K3" s="1066"/>
      <c r="L3" s="1067" t="s">
        <v>2813</v>
      </c>
      <c r="M3" s="1144">
        <f>'Списки участников'!L3</f>
        <v>0</v>
      </c>
      <c r="N3" s="1144"/>
      <c r="O3" s="1144"/>
      <c r="P3" s="1144"/>
      <c r="Q3" s="1144"/>
      <c r="R3" s="529"/>
      <c r="T3" s="530"/>
      <c r="W3" s="530"/>
      <c r="Y3" s="530"/>
      <c r="AB3" s="530"/>
      <c r="AE3" s="530"/>
    </row>
    <row r="4" spans="1:31" ht="15" customHeight="1" x14ac:dyDescent="0.2">
      <c r="A4" s="538">
        <v>1</v>
      </c>
      <c r="B4" s="539">
        <v>5</v>
      </c>
      <c r="C4" s="540" t="str">
        <f>IF(B4="","",VLOOKUP(B4,'Списки участников'!A:P,3,FALSE))</f>
        <v>АСТАПОВ Андрей</v>
      </c>
      <c r="D4" s="1068" t="str">
        <f>IF(B4="",B4,VLOOKUP(B4,'Списки участников'!$A:$O,6,FALSE))</f>
        <v>ОАО АНПП "ТЕМП-АВИА"</v>
      </c>
      <c r="E4" s="541"/>
      <c r="F4" s="535"/>
      <c r="G4" s="536"/>
      <c r="H4" s="536"/>
      <c r="I4" s="542"/>
      <c r="J4" s="536"/>
      <c r="K4" s="536"/>
      <c r="L4" s="535"/>
      <c r="M4" s="535"/>
      <c r="N4" s="535"/>
      <c r="P4" s="535"/>
      <c r="Q4" s="535"/>
      <c r="R4" s="533"/>
      <c r="S4" s="543"/>
      <c r="T4" s="530"/>
      <c r="W4" s="530"/>
      <c r="Y4" s="530"/>
      <c r="AB4" s="530"/>
      <c r="AE4" s="530"/>
    </row>
    <row r="5" spans="1:31" ht="15" customHeight="1" x14ac:dyDescent="0.2">
      <c r="B5" s="544"/>
      <c r="C5" s="545"/>
      <c r="D5" s="1069">
        <v>1</v>
      </c>
      <c r="E5" s="547">
        <f>'ПРФ(16)'!G4</f>
        <v>5</v>
      </c>
      <c r="F5" s="548" t="str">
        <f>IF(E5="","",VLOOKUP(E5,'Списки участников'!A:O,3,FALSE))</f>
        <v>АСТАПОВ Андрей</v>
      </c>
      <c r="G5" s="549"/>
      <c r="I5" s="530"/>
      <c r="K5" s="530"/>
      <c r="M5" s="535"/>
      <c r="N5" s="535"/>
      <c r="O5" s="530"/>
      <c r="Q5" s="535"/>
      <c r="R5" s="529"/>
      <c r="T5" s="530"/>
      <c r="W5" s="533"/>
      <c r="Y5" s="537"/>
      <c r="AB5" s="530"/>
      <c r="AE5" s="530"/>
    </row>
    <row r="6" spans="1:31" ht="15" customHeight="1" x14ac:dyDescent="0.2">
      <c r="A6" s="550" t="s">
        <v>41</v>
      </c>
      <c r="B6" s="539">
        <v>60</v>
      </c>
      <c r="C6" s="540" t="str">
        <f>IF(B6="","",VLOOKUP(B6,'Списки участников'!A:P,3,FALSE))</f>
        <v xml:space="preserve"> Х</v>
      </c>
      <c r="D6" s="1070">
        <f>IF(B6="",B6,VLOOKUP(B6,'Списки участников'!$A:$O,6,FALSE))</f>
        <v>0</v>
      </c>
      <c r="E6" s="543"/>
      <c r="F6" s="1071" t="str">
        <f>'ПРФ(16)'!R4</f>
        <v/>
      </c>
      <c r="G6" s="1072"/>
      <c r="H6" s="537"/>
      <c r="I6" s="530"/>
      <c r="K6" s="530"/>
      <c r="M6" s="535"/>
      <c r="N6" s="535"/>
      <c r="O6" s="530"/>
      <c r="Q6" s="535"/>
      <c r="R6" s="533"/>
      <c r="S6" s="543"/>
      <c r="T6" s="530"/>
      <c r="W6" s="530"/>
      <c r="Y6" s="530"/>
      <c r="AB6" s="530"/>
      <c r="AE6" s="530"/>
    </row>
    <row r="7" spans="1:31" ht="15" customHeight="1" x14ac:dyDescent="0.2">
      <c r="B7" s="544"/>
      <c r="C7" s="554"/>
      <c r="D7" s="1068"/>
      <c r="E7" s="543"/>
      <c r="F7" s="552"/>
      <c r="G7" s="555">
        <v>9</v>
      </c>
      <c r="H7" s="547">
        <f>'ПРФ(16)'!G12</f>
        <v>5</v>
      </c>
      <c r="I7" s="548" t="str">
        <f>IF(H7="","",VLOOKUP(H7,'Списки участников'!A:O,3,FALSE))</f>
        <v>АСТАПОВ Андрей</v>
      </c>
      <c r="J7" s="549"/>
      <c r="K7" s="530"/>
      <c r="M7" s="535"/>
      <c r="N7" s="535"/>
      <c r="O7" s="530"/>
      <c r="Q7" s="535"/>
      <c r="R7" s="529"/>
      <c r="T7" s="533"/>
      <c r="V7" s="543"/>
      <c r="W7" s="530"/>
      <c r="Y7" s="530"/>
      <c r="AB7" s="530"/>
      <c r="AE7" s="530"/>
    </row>
    <row r="8" spans="1:31" ht="15" customHeight="1" x14ac:dyDescent="0.2">
      <c r="A8" s="550" t="s">
        <v>35</v>
      </c>
      <c r="B8" s="539">
        <v>41</v>
      </c>
      <c r="C8" s="540" t="str">
        <f>IF(B8="","",VLOOKUP(B8,'Списки участников'!A:P,3,FALSE))</f>
        <v>ГЛЕБОВ Игорь</v>
      </c>
      <c r="D8" s="1068" t="str">
        <f>IF(B8="",B8,VLOOKUP(B8,'Списки участников'!$A:$O,6,FALSE))</f>
        <v>ЗАО "НПП "Салют-27"</v>
      </c>
      <c r="E8" s="543"/>
      <c r="F8" s="552"/>
      <c r="G8" s="556"/>
      <c r="H8" s="537"/>
      <c r="I8" s="1071" t="str">
        <f>'ПРФ(16)'!R12</f>
        <v>3:0</v>
      </c>
      <c r="J8" s="553"/>
      <c r="K8" s="537"/>
      <c r="M8" s="535"/>
      <c r="N8" s="535"/>
      <c r="O8" s="530"/>
      <c r="Q8" s="535"/>
      <c r="R8" s="533"/>
      <c r="S8" s="543"/>
      <c r="T8" s="530"/>
      <c r="W8" s="530"/>
      <c r="Y8" s="530"/>
      <c r="AB8" s="530"/>
      <c r="AE8" s="530"/>
    </row>
    <row r="9" spans="1:31" ht="15" customHeight="1" x14ac:dyDescent="0.2">
      <c r="B9" s="544"/>
      <c r="C9" s="554"/>
      <c r="D9" s="1069">
        <v>2</v>
      </c>
      <c r="E9" s="547">
        <f>'ПРФ(16)'!G5</f>
        <v>23</v>
      </c>
      <c r="F9" s="548" t="str">
        <f>IF(E9="","",VLOOKUP(E9,'Списки участников'!A:O,3,FALSE))</f>
        <v>КОРНИЛАЕВ Михаил</v>
      </c>
      <c r="G9" s="551"/>
      <c r="H9" s="537"/>
      <c r="I9" s="552"/>
      <c r="J9" s="556"/>
      <c r="K9" s="537"/>
      <c r="M9" s="535"/>
      <c r="N9" s="535"/>
      <c r="O9" s="530"/>
      <c r="Q9" s="535"/>
      <c r="R9" s="529"/>
      <c r="T9" s="530"/>
      <c r="W9" s="530"/>
      <c r="Y9" s="530"/>
      <c r="Z9" s="533"/>
      <c r="AB9" s="537"/>
      <c r="AE9" s="530"/>
    </row>
    <row r="10" spans="1:31" ht="15" customHeight="1" x14ac:dyDescent="0.2">
      <c r="A10" s="550" t="s">
        <v>15</v>
      </c>
      <c r="B10" s="539">
        <v>23</v>
      </c>
      <c r="C10" s="540" t="str">
        <f>IF(B10="","",VLOOKUP(B10,'Списки участников'!A:P,3,FALSE))</f>
        <v>КОРНИЛАЕВ Михаил</v>
      </c>
      <c r="D10" s="1070" t="str">
        <f>IF(B10="",B10,VLOOKUP(B10,'Списки участников'!$A:$O,6,FALSE))</f>
        <v>НИИИС</v>
      </c>
      <c r="E10" s="543"/>
      <c r="F10" s="1071" t="str">
        <f>'ПРФ(16)'!R5</f>
        <v>3:0</v>
      </c>
      <c r="H10" s="537"/>
      <c r="I10" s="552"/>
      <c r="J10" s="556"/>
      <c r="K10" s="537"/>
      <c r="M10" s="535"/>
      <c r="N10" s="535"/>
      <c r="O10" s="530"/>
      <c r="Q10" s="535"/>
      <c r="R10" s="533"/>
      <c r="S10" s="543"/>
      <c r="T10" s="530"/>
      <c r="W10" s="530"/>
      <c r="Y10" s="530"/>
      <c r="AB10" s="530"/>
      <c r="AE10" s="530"/>
    </row>
    <row r="11" spans="1:31" ht="15" customHeight="1" x14ac:dyDescent="0.2">
      <c r="B11" s="544"/>
      <c r="C11" s="554"/>
      <c r="D11" s="1068"/>
      <c r="E11" s="543"/>
      <c r="F11" s="552"/>
      <c r="H11" s="537"/>
      <c r="I11" s="552"/>
      <c r="J11" s="557" t="s">
        <v>23</v>
      </c>
      <c r="K11" s="547">
        <f>'ПРФ(16)'!G16</f>
        <v>5</v>
      </c>
      <c r="L11" s="548" t="str">
        <f>IF(K11="","",VLOOKUP(K11,'Списки участников'!A:O,3,FALSE))</f>
        <v>АСТАПОВ Андрей</v>
      </c>
      <c r="M11" s="549"/>
      <c r="O11" s="530"/>
      <c r="Q11" s="535"/>
      <c r="R11" s="529"/>
      <c r="T11" s="533"/>
      <c r="V11" s="543"/>
      <c r="W11" s="530"/>
      <c r="Y11" s="530"/>
      <c r="AB11" s="530"/>
      <c r="AE11" s="530"/>
    </row>
    <row r="12" spans="1:31" ht="15" customHeight="1" x14ac:dyDescent="0.2">
      <c r="A12" s="550" t="s">
        <v>37</v>
      </c>
      <c r="B12" s="539">
        <v>29</v>
      </c>
      <c r="C12" s="540" t="str">
        <f>IF(B12="","",VLOOKUP(B12,'Списки участников'!A:P,3,FALSE))</f>
        <v>МУХАМЕТЖАНОВ Сайяр</v>
      </c>
      <c r="D12" s="1068" t="str">
        <f>IF(B12="",B12,VLOOKUP(B12,'Списки участников'!$A:$O,6,FALSE))</f>
        <v>АО "НПП "Полет"</v>
      </c>
      <c r="E12" s="543"/>
      <c r="F12" s="552"/>
      <c r="H12" s="537"/>
      <c r="I12" s="552"/>
      <c r="J12" s="556"/>
      <c r="K12" s="537"/>
      <c r="L12" s="1071" t="str">
        <f>'ПРФ(16)'!R16</f>
        <v>3:1</v>
      </c>
      <c r="M12" s="553"/>
      <c r="O12" s="530"/>
      <c r="Q12" s="535"/>
      <c r="R12" s="533"/>
      <c r="S12" s="543"/>
      <c r="T12" s="530"/>
      <c r="W12" s="530"/>
      <c r="Y12" s="530"/>
      <c r="AB12" s="530"/>
      <c r="AE12" s="530"/>
    </row>
    <row r="13" spans="1:31" ht="15" customHeight="1" x14ac:dyDescent="0.2">
      <c r="B13" s="544"/>
      <c r="C13" s="554"/>
      <c r="D13" s="1069">
        <v>3</v>
      </c>
      <c r="E13" s="547">
        <f>'ПРФ(16)'!G6</f>
        <v>15</v>
      </c>
      <c r="F13" s="548" t="str">
        <f>IF(E13="","",VLOOKUP(E13,'Списки участников'!A:O,3,FALSE))</f>
        <v>ГРАЧЕВ Дмитрий</v>
      </c>
      <c r="G13" s="549"/>
      <c r="H13" s="537"/>
      <c r="I13" s="552"/>
      <c r="J13" s="556"/>
      <c r="K13" s="537"/>
      <c r="L13" s="552"/>
      <c r="M13" s="556"/>
      <c r="O13" s="530"/>
      <c r="Q13" s="535"/>
      <c r="R13" s="529"/>
      <c r="T13" s="530"/>
      <c r="W13" s="533"/>
      <c r="Y13" s="543"/>
      <c r="AB13" s="530"/>
      <c r="AE13" s="530"/>
    </row>
    <row r="14" spans="1:31" ht="15" customHeight="1" x14ac:dyDescent="0.2">
      <c r="A14" s="550" t="s">
        <v>42</v>
      </c>
      <c r="B14" s="539">
        <v>15</v>
      </c>
      <c r="C14" s="540" t="str">
        <f>IF(B14="","",VLOOKUP(B14,'Списки участников'!A:P,3,FALSE))</f>
        <v>ГРАЧЕВ Дмитрий</v>
      </c>
      <c r="D14" s="1068" t="str">
        <f>IF(B14="",B14,VLOOKUP(B14,'Списки участников'!$A:$O,6,FALSE))</f>
        <v>ТПП</v>
      </c>
      <c r="E14" s="543"/>
      <c r="F14" s="1073" t="str">
        <f>'ПРФ(16)'!R6</f>
        <v>3:1</v>
      </c>
      <c r="G14" s="553"/>
      <c r="H14" s="537"/>
      <c r="I14" s="552"/>
      <c r="J14" s="556"/>
      <c r="K14" s="537"/>
      <c r="L14" s="552"/>
      <c r="M14" s="556"/>
      <c r="O14" s="530"/>
      <c r="Q14" s="535"/>
      <c r="R14" s="533"/>
      <c r="S14" s="543"/>
      <c r="T14" s="530"/>
      <c r="W14" s="530"/>
      <c r="Y14" s="530"/>
      <c r="AB14" s="530"/>
      <c r="AE14" s="530"/>
    </row>
    <row r="15" spans="1:31" ht="15" customHeight="1" x14ac:dyDescent="0.2">
      <c r="B15" s="544"/>
      <c r="C15" s="554"/>
      <c r="D15" s="1074"/>
      <c r="E15" s="543"/>
      <c r="F15" s="552"/>
      <c r="G15" s="557" t="s">
        <v>30</v>
      </c>
      <c r="H15" s="547">
        <f>'ПРФ(16)'!G13</f>
        <v>9</v>
      </c>
      <c r="I15" s="548" t="str">
        <f>IF(H15="","",VLOOKUP(H15,'Списки участников'!A:O,3,FALSE))</f>
        <v>ШИРЯЕВ Петр</v>
      </c>
      <c r="J15" s="551"/>
      <c r="K15" s="537"/>
      <c r="L15" s="552"/>
      <c r="M15" s="556"/>
      <c r="O15" s="530"/>
      <c r="Q15" s="535"/>
      <c r="R15" s="529"/>
      <c r="T15" s="533"/>
      <c r="V15" s="543"/>
      <c r="W15" s="530"/>
      <c r="Y15" s="530"/>
      <c r="AB15" s="530"/>
      <c r="AE15" s="530"/>
    </row>
    <row r="16" spans="1:31" ht="15" customHeight="1" x14ac:dyDescent="0.2">
      <c r="A16" s="550" t="s">
        <v>28</v>
      </c>
      <c r="B16" s="539">
        <v>60</v>
      </c>
      <c r="C16" s="540" t="str">
        <f>IF(B16="","",VLOOKUP(B16,'Списки участников'!A:P,3,FALSE))</f>
        <v xml:space="preserve"> Х</v>
      </c>
      <c r="D16" s="1068">
        <f>IF(B16="",B16,VLOOKUP(B16,'Списки участников'!$A:$O,6,FALSE))</f>
        <v>0</v>
      </c>
      <c r="E16" s="543"/>
      <c r="F16" s="552"/>
      <c r="G16" s="556"/>
      <c r="H16" s="537"/>
      <c r="I16" s="1071" t="str">
        <f>'ПРФ(16)'!R13</f>
        <v>3:0</v>
      </c>
      <c r="K16" s="537"/>
      <c r="L16" s="552"/>
      <c r="M16" s="556"/>
      <c r="O16" s="530"/>
      <c r="Q16" s="535"/>
      <c r="R16" s="533"/>
      <c r="S16" s="543"/>
      <c r="T16" s="530"/>
      <c r="W16" s="530"/>
      <c r="Y16" s="530"/>
      <c r="AB16" s="530"/>
      <c r="AE16" s="530"/>
    </row>
    <row r="17" spans="1:32" ht="15" customHeight="1" x14ac:dyDescent="0.2">
      <c r="B17" s="544"/>
      <c r="C17" s="554"/>
      <c r="D17" s="1069">
        <v>4</v>
      </c>
      <c r="E17" s="547">
        <f>'ПРФ(16)'!G7</f>
        <v>9</v>
      </c>
      <c r="F17" s="548" t="str">
        <f>IF(E17="","",VLOOKUP(E17,'Списки участников'!A:O,3,FALSE))</f>
        <v>ШИРЯЕВ Петр</v>
      </c>
      <c r="G17" s="551"/>
      <c r="H17" s="537"/>
      <c r="I17" s="552"/>
      <c r="K17" s="537"/>
      <c r="L17" s="552"/>
      <c r="M17" s="556"/>
      <c r="O17" s="530"/>
      <c r="Q17" s="535"/>
      <c r="R17" s="529"/>
      <c r="T17" s="530"/>
      <c r="W17" s="530"/>
      <c r="Y17" s="530"/>
      <c r="AB17" s="530"/>
      <c r="AC17" s="533"/>
      <c r="AD17" s="537"/>
      <c r="AE17" s="530"/>
      <c r="AF17" s="533"/>
    </row>
    <row r="18" spans="1:32" ht="15" customHeight="1" x14ac:dyDescent="0.2">
      <c r="A18" s="550" t="s">
        <v>22</v>
      </c>
      <c r="B18" s="539">
        <v>9</v>
      </c>
      <c r="C18" s="540" t="str">
        <f>IF(B18="","",VLOOKUP(B18,'Списки участников'!A:P,3,FALSE))</f>
        <v>ШИРЯЕВ Петр</v>
      </c>
      <c r="D18" s="1070" t="str">
        <f>IF(B18="",B18,VLOOKUP(B18,'Списки участников'!$A:$O,6,FALSE))</f>
        <v>ОАО "НИАЭП"</v>
      </c>
      <c r="E18" s="543"/>
      <c r="F18" s="1071" t="str">
        <f>'ПРФ(16)'!R7</f>
        <v/>
      </c>
      <c r="H18" s="537"/>
      <c r="I18" s="552"/>
      <c r="K18" s="537"/>
      <c r="L18" s="552"/>
      <c r="M18" s="556"/>
      <c r="O18" s="558"/>
      <c r="Q18" s="535"/>
      <c r="R18" s="533"/>
      <c r="S18" s="543"/>
      <c r="T18" s="530"/>
      <c r="W18" s="530"/>
      <c r="Y18" s="530"/>
      <c r="AB18" s="530"/>
      <c r="AE18" s="530"/>
    </row>
    <row r="19" spans="1:32" ht="15" customHeight="1" x14ac:dyDescent="0.2">
      <c r="B19" s="544"/>
      <c r="C19" s="554"/>
      <c r="D19" s="1068"/>
      <c r="E19" s="543"/>
      <c r="F19" s="552"/>
      <c r="H19" s="537"/>
      <c r="I19" s="552"/>
      <c r="K19" s="537"/>
      <c r="L19" s="552"/>
      <c r="M19" s="557" t="s">
        <v>12</v>
      </c>
      <c r="N19" s="559">
        <f>'ПРФ(16)'!G18</f>
        <v>5</v>
      </c>
      <c r="O19" s="1075" t="str">
        <f>IF(N19="","",VLOOKUP(N19,'Списки участников'!A:O,3,FALSE))</f>
        <v>АСТАПОВ Андрей</v>
      </c>
      <c r="P19" s="549"/>
      <c r="Q19" s="885" t="str">
        <f>CONCATENATE(J3," ","м")</f>
        <v>25 м</v>
      </c>
      <c r="R19" s="529"/>
      <c r="T19" s="533"/>
      <c r="V19" s="543"/>
      <c r="W19" s="530"/>
      <c r="Y19" s="530"/>
      <c r="AB19" s="530"/>
      <c r="AE19" s="530"/>
    </row>
    <row r="20" spans="1:32" ht="15" customHeight="1" x14ac:dyDescent="0.2">
      <c r="A20" s="550" t="s">
        <v>38</v>
      </c>
      <c r="B20" s="539">
        <v>7</v>
      </c>
      <c r="C20" s="540" t="str">
        <f>IF(B20="","",VLOOKUP(B20,'Списки участников'!A:P,3,FALSE))</f>
        <v>АСТАПОВ Дмитрий</v>
      </c>
      <c r="D20" s="1068" t="str">
        <f>IF(B20="",B20,VLOOKUP(B20,'Списки участников'!$A:$O,6,FALSE))</f>
        <v>ОАО АНПП "ТЕМП-АВИА"</v>
      </c>
      <c r="E20" s="543"/>
      <c r="F20" s="552"/>
      <c r="H20" s="537"/>
      <c r="I20" s="552"/>
      <c r="K20" s="537"/>
      <c r="L20" s="552"/>
      <c r="M20" s="556"/>
      <c r="O20" s="1071" t="str">
        <f>'ПРФ(16)'!R18</f>
        <v>3:1</v>
      </c>
      <c r="Q20" s="535"/>
      <c r="R20" s="533"/>
      <c r="S20" s="543"/>
      <c r="T20" s="530"/>
      <c r="W20" s="530"/>
      <c r="Y20" s="530"/>
      <c r="AB20" s="530"/>
      <c r="AE20" s="530"/>
    </row>
    <row r="21" spans="1:32" ht="15" customHeight="1" x14ac:dyDescent="0.2">
      <c r="B21" s="544"/>
      <c r="C21" s="554"/>
      <c r="D21" s="1069">
        <v>5</v>
      </c>
      <c r="E21" s="547">
        <f>'ПРФ(16)'!G8</f>
        <v>7</v>
      </c>
      <c r="F21" s="548" t="str">
        <f>IF(E21="","",VLOOKUP(E21,'Списки участников'!A:O,3,FALSE))</f>
        <v>АСТАПОВ Дмитрий</v>
      </c>
      <c r="G21" s="549"/>
      <c r="H21" s="537"/>
      <c r="I21" s="552"/>
      <c r="K21" s="537"/>
      <c r="L21" s="552"/>
      <c r="M21" s="556"/>
      <c r="O21" s="552"/>
      <c r="Q21" s="535"/>
      <c r="R21" s="529"/>
      <c r="T21" s="530"/>
      <c r="W21" s="533"/>
      <c r="Y21" s="543"/>
      <c r="AB21" s="530"/>
      <c r="AE21" s="530"/>
    </row>
    <row r="22" spans="1:32" ht="15" customHeight="1" x14ac:dyDescent="0.2">
      <c r="A22" s="550" t="s">
        <v>30</v>
      </c>
      <c r="B22" s="539">
        <v>60</v>
      </c>
      <c r="C22" s="540" t="str">
        <f>IF(B22="","",VLOOKUP(B22,'Списки участников'!A:P,3,FALSE))</f>
        <v xml:space="preserve"> Х</v>
      </c>
      <c r="D22" s="1070">
        <f>IF(B22="",B22,VLOOKUP(B22,'Списки участников'!$A:$O,6,FALSE))</f>
        <v>0</v>
      </c>
      <c r="E22" s="543"/>
      <c r="F22" s="1071" t="str">
        <f>'ПРФ(16)'!R8</f>
        <v/>
      </c>
      <c r="G22" s="553"/>
      <c r="H22" s="537"/>
      <c r="I22" s="552"/>
      <c r="K22" s="537"/>
      <c r="L22" s="552"/>
      <c r="M22" s="556"/>
      <c r="O22" s="1083" t="str">
        <f>IF(N19="","",VLOOKUP(N19,'Списки участников'!$A:$O,6,FALSE))</f>
        <v>ОАО АНПП "ТЕМП-АВИА"</v>
      </c>
      <c r="Q22" s="535"/>
      <c r="R22" s="533"/>
      <c r="S22" s="543"/>
      <c r="T22" s="530"/>
      <c r="W22" s="530"/>
      <c r="Y22" s="530"/>
      <c r="AB22" s="530"/>
      <c r="AE22" s="530"/>
    </row>
    <row r="23" spans="1:32" ht="15" customHeight="1" x14ac:dyDescent="0.2">
      <c r="B23" s="544"/>
      <c r="C23" s="554"/>
      <c r="D23" s="1068"/>
      <c r="E23" s="543"/>
      <c r="F23" s="552"/>
      <c r="G23" s="557" t="s">
        <v>25</v>
      </c>
      <c r="H23" s="547">
        <f>'ПРФ(16)'!G14</f>
        <v>47</v>
      </c>
      <c r="I23" s="548" t="str">
        <f>IF(H23="","",VLOOKUP(H23,'Списки участников'!A:O,3,FALSE))</f>
        <v>БЕЛОУС Денис</v>
      </c>
      <c r="J23" s="549"/>
      <c r="K23" s="537"/>
      <c r="L23" s="552"/>
      <c r="M23" s="556"/>
      <c r="O23" s="552"/>
      <c r="Q23" s="535"/>
      <c r="R23" s="529"/>
      <c r="T23" s="533"/>
      <c r="V23" s="543"/>
      <c r="W23" s="530"/>
      <c r="Y23" s="530"/>
      <c r="AB23" s="530"/>
      <c r="AE23" s="530"/>
    </row>
    <row r="24" spans="1:32" ht="15" customHeight="1" x14ac:dyDescent="0.2">
      <c r="A24" s="550" t="s">
        <v>25</v>
      </c>
      <c r="B24" s="539">
        <v>47</v>
      </c>
      <c r="C24" s="540" t="str">
        <f>IF(B24="","",VLOOKUP(B24,'Списки участников'!A:P,3,FALSE))</f>
        <v>БЕЛОУС Денис</v>
      </c>
      <c r="D24" s="1068" t="str">
        <f>IF(B24="",B24,VLOOKUP(B24,'Списки участников'!$A:$O,6,FALSE))</f>
        <v>ПАО НАЗ "СОКОЛ"</v>
      </c>
      <c r="E24" s="543"/>
      <c r="F24" s="552"/>
      <c r="G24" s="556"/>
      <c r="H24" s="537"/>
      <c r="I24" s="1071" t="str">
        <f>'ПРФ(16)'!R14</f>
        <v>3:0</v>
      </c>
      <c r="J24" s="553"/>
      <c r="K24" s="537"/>
      <c r="L24" s="552"/>
      <c r="M24" s="556"/>
      <c r="O24" s="552"/>
      <c r="Q24" s="535"/>
      <c r="R24" s="533"/>
      <c r="S24" s="543"/>
      <c r="T24" s="530"/>
      <c r="W24" s="530"/>
      <c r="Y24" s="530"/>
      <c r="AB24" s="530"/>
      <c r="AE24" s="530"/>
    </row>
    <row r="25" spans="1:32" ht="15" customHeight="1" x14ac:dyDescent="0.2">
      <c r="B25" s="544"/>
      <c r="C25" s="554"/>
      <c r="D25" s="1069">
        <v>6</v>
      </c>
      <c r="E25" s="547">
        <f>'ПРФ(16)'!G9</f>
        <v>47</v>
      </c>
      <c r="F25" s="548" t="str">
        <f>IF(E25="","",VLOOKUP(E25,'Списки участников'!A:O,3,FALSE))</f>
        <v>БЕЛОУС Денис</v>
      </c>
      <c r="G25" s="551"/>
      <c r="H25" s="537"/>
      <c r="I25" s="552"/>
      <c r="J25" s="556"/>
      <c r="K25" s="537"/>
      <c r="L25" s="552"/>
      <c r="M25" s="556"/>
      <c r="O25" s="552"/>
      <c r="Q25" s="535"/>
      <c r="R25" s="529"/>
      <c r="T25" s="530"/>
      <c r="W25" s="530"/>
      <c r="Y25" s="530"/>
      <c r="Z25" s="533"/>
      <c r="AB25" s="543"/>
      <c r="AE25" s="530"/>
    </row>
    <row r="26" spans="1:32" ht="15" customHeight="1" x14ac:dyDescent="0.2">
      <c r="A26" s="550" t="s">
        <v>17</v>
      </c>
      <c r="B26" s="539">
        <v>30</v>
      </c>
      <c r="C26" s="540" t="str">
        <f>IF(B26="","",VLOOKUP(B26,'Списки участников'!A:P,3,FALSE))</f>
        <v>ВОЛКОВ Евгений</v>
      </c>
      <c r="D26" s="1070" t="str">
        <f>IF(B26="",B26,VLOOKUP(B26,'Списки участников'!$A:$O,6,FALSE))</f>
        <v>АО "НПП "Полет"</v>
      </c>
      <c r="E26" s="543"/>
      <c r="F26" s="1073" t="str">
        <f>'ПРФ(16)'!R9</f>
        <v>3:0</v>
      </c>
      <c r="H26" s="537"/>
      <c r="I26" s="552"/>
      <c r="J26" s="556"/>
      <c r="K26" s="537"/>
      <c r="L26" s="552"/>
      <c r="M26" s="556"/>
      <c r="O26" s="552"/>
      <c r="Q26" s="535"/>
      <c r="R26" s="533"/>
      <c r="S26" s="543"/>
      <c r="T26" s="530"/>
      <c r="W26" s="530"/>
      <c r="Y26" s="530"/>
      <c r="AB26" s="530"/>
      <c r="AE26" s="530"/>
    </row>
    <row r="27" spans="1:32" ht="15" customHeight="1" x14ac:dyDescent="0.2">
      <c r="B27" s="544"/>
      <c r="C27" s="554"/>
      <c r="D27" s="1068"/>
      <c r="E27" s="543"/>
      <c r="F27" s="552"/>
      <c r="H27" s="537"/>
      <c r="I27" s="552"/>
      <c r="J27" s="557" t="s">
        <v>7</v>
      </c>
      <c r="K27" s="547">
        <f>'ПРФ(16)'!G17</f>
        <v>47</v>
      </c>
      <c r="L27" s="548" t="str">
        <f>IF(K27="","",VLOOKUP(K27,'Списки участников'!A:O,3,FALSE))</f>
        <v>БЕЛОУС Денис</v>
      </c>
      <c r="M27" s="551"/>
      <c r="O27" s="552"/>
      <c r="Q27" s="535"/>
      <c r="R27" s="529"/>
      <c r="T27" s="533"/>
      <c r="V27" s="543"/>
      <c r="W27" s="530"/>
      <c r="Y27" s="530"/>
      <c r="AB27" s="530"/>
      <c r="AE27" s="530"/>
    </row>
    <row r="28" spans="1:32" ht="15" customHeight="1" x14ac:dyDescent="0.2">
      <c r="A28" s="550" t="s">
        <v>23</v>
      </c>
      <c r="B28" s="539">
        <v>31</v>
      </c>
      <c r="C28" s="540" t="str">
        <f>IF(B28="","",VLOOKUP(B28,'Списки участников'!A:P,3,FALSE))</f>
        <v>ПЕТУХОВ Николай</v>
      </c>
      <c r="D28" s="1068" t="str">
        <f>IF(B28="",B28,VLOOKUP(B28,'Списки участников'!$A:$O,6,FALSE))</f>
        <v>АО "НПП "Полет"</v>
      </c>
      <c r="E28" s="543"/>
      <c r="F28" s="552"/>
      <c r="H28" s="537"/>
      <c r="I28" s="552"/>
      <c r="J28" s="556"/>
      <c r="K28" s="537"/>
      <c r="L28" s="1071" t="str">
        <f>'ПРФ(16)'!R17</f>
        <v>3:0</v>
      </c>
      <c r="M28" s="535"/>
      <c r="N28" s="535"/>
      <c r="O28" s="552"/>
      <c r="Q28" s="535"/>
      <c r="R28" s="533"/>
      <c r="S28" s="543"/>
      <c r="T28" s="530"/>
      <c r="W28" s="530"/>
      <c r="Y28" s="530"/>
      <c r="AB28" s="530"/>
      <c r="AE28" s="530"/>
    </row>
    <row r="29" spans="1:32" ht="15" customHeight="1" x14ac:dyDescent="0.2">
      <c r="B29" s="544"/>
      <c r="C29" s="554"/>
      <c r="D29" s="1069">
        <v>7</v>
      </c>
      <c r="E29" s="547">
        <f>'ПРФ(16)'!G10</f>
        <v>10</v>
      </c>
      <c r="F29" s="548" t="str">
        <f>IF(E29="","",VLOOKUP(E29,'Списки участников'!A:O,3,FALSE))</f>
        <v>ЕРАСТОВ Андрей</v>
      </c>
      <c r="G29" s="549"/>
      <c r="H29" s="537"/>
      <c r="I29" s="552"/>
      <c r="J29" s="556"/>
      <c r="K29" s="537"/>
      <c r="L29" s="552"/>
      <c r="M29" s="535"/>
      <c r="N29" s="535"/>
      <c r="O29" s="552"/>
      <c r="Q29" s="535"/>
      <c r="R29" s="529"/>
      <c r="T29" s="530"/>
      <c r="W29" s="533"/>
      <c r="Y29" s="543"/>
      <c r="AB29" s="530"/>
      <c r="AC29" s="529"/>
      <c r="AD29" s="560"/>
      <c r="AE29" s="530"/>
      <c r="AF29" s="533"/>
    </row>
    <row r="30" spans="1:32" ht="15" customHeight="1" x14ac:dyDescent="0.2">
      <c r="A30" s="550" t="s">
        <v>7</v>
      </c>
      <c r="B30" s="539">
        <v>10</v>
      </c>
      <c r="C30" s="540" t="str">
        <f>IF(B30="","",VLOOKUP(B30,'Списки участников'!A:P,3,FALSE))</f>
        <v>ЕРАСТОВ Андрей</v>
      </c>
      <c r="D30" s="1070" t="str">
        <f>IF(B30="",B30,VLOOKUP(B30,'Списки участников'!$A:$O,6,FALSE))</f>
        <v>ОАО "НИАЭП"</v>
      </c>
      <c r="E30" s="543"/>
      <c r="F30" s="1073" t="str">
        <f>'ПРФ(16)'!R10</f>
        <v>3:0</v>
      </c>
      <c r="G30" s="553"/>
      <c r="H30" s="537"/>
      <c r="I30" s="561"/>
      <c r="J30" s="556"/>
      <c r="K30" s="537"/>
      <c r="M30" s="535"/>
      <c r="N30" s="535"/>
      <c r="O30" s="552"/>
      <c r="Q30" s="535"/>
      <c r="R30" s="533"/>
      <c r="S30" s="543"/>
      <c r="T30" s="530"/>
      <c r="W30" s="530"/>
      <c r="Y30" s="530"/>
      <c r="AB30" s="530"/>
      <c r="AE30" s="530"/>
    </row>
    <row r="31" spans="1:32" ht="15" customHeight="1" x14ac:dyDescent="0.2">
      <c r="B31" s="544"/>
      <c r="C31" s="554"/>
      <c r="D31" s="1068"/>
      <c r="E31" s="543"/>
      <c r="F31" s="552"/>
      <c r="G31" s="557" t="s">
        <v>17</v>
      </c>
      <c r="H31" s="547">
        <f>'ПРФ(16)'!G15</f>
        <v>3</v>
      </c>
      <c r="I31" s="548" t="str">
        <f>IF(H31="","",VLOOKUP(H31,'Списки участников'!A:O,3,FALSE))</f>
        <v>СОКОЛОВ Дмитрий</v>
      </c>
      <c r="J31" s="551"/>
      <c r="K31" s="537"/>
      <c r="M31" s="1076" t="s">
        <v>901</v>
      </c>
      <c r="N31" s="562">
        <f>IF(N19="","",IF(N19=K11,K27,IF(N19=K27,K11,"Ошибка")))</f>
        <v>47</v>
      </c>
      <c r="O31" s="1077" t="str">
        <f>IF(N31="","",VLOOKUP(N31,'Списки участников'!A:O,3,FALSE))</f>
        <v>БЕЛОУС Денис</v>
      </c>
      <c r="P31" s="549"/>
      <c r="Q31" s="885" t="str">
        <f>CONCATENATE(J3+1," ","м")</f>
        <v>26 м</v>
      </c>
      <c r="R31" s="529"/>
      <c r="T31" s="533"/>
      <c r="V31" s="543"/>
      <c r="W31" s="530"/>
      <c r="Y31" s="530"/>
      <c r="AA31" s="533"/>
      <c r="AB31" s="564"/>
      <c r="AE31" s="530"/>
    </row>
    <row r="32" spans="1:32" ht="15" customHeight="1" x14ac:dyDescent="0.2">
      <c r="A32" s="550" t="s">
        <v>12</v>
      </c>
      <c r="B32" s="539">
        <v>60</v>
      </c>
      <c r="C32" s="540" t="str">
        <f>IF(B32="","",VLOOKUP(B32,'Списки участников'!A:P,3,FALSE))</f>
        <v xml:space="preserve"> Х</v>
      </c>
      <c r="D32" s="1068">
        <f>IF(B32="",B32,VLOOKUP(B32,'Списки участников'!$A:$O,6,FALSE))</f>
        <v>0</v>
      </c>
      <c r="E32" s="543"/>
      <c r="F32" s="552"/>
      <c r="G32" s="556"/>
      <c r="H32" s="537"/>
      <c r="I32" s="1071" t="str">
        <f>'ПРФ(16)'!R15</f>
        <v>3:1</v>
      </c>
      <c r="K32" s="530"/>
      <c r="L32" s="552"/>
      <c r="M32" s="535"/>
      <c r="N32" s="535"/>
      <c r="O32" s="552"/>
      <c r="Q32" s="535"/>
      <c r="R32" s="533"/>
      <c r="S32" s="543"/>
      <c r="T32" s="530"/>
      <c r="W32" s="530"/>
      <c r="Y32" s="530"/>
      <c r="AB32" s="530"/>
      <c r="AC32" s="533"/>
      <c r="AD32" s="564"/>
      <c r="AE32" s="530"/>
      <c r="AF32" s="533"/>
    </row>
    <row r="33" spans="1:32" ht="15" customHeight="1" x14ac:dyDescent="0.2">
      <c r="B33" s="544"/>
      <c r="C33" s="554"/>
      <c r="D33" s="1069">
        <v>8</v>
      </c>
      <c r="E33" s="547">
        <f>'ПРФ(16)'!G11</f>
        <v>3</v>
      </c>
      <c r="F33" s="548" t="str">
        <f>IF(E33="","",VLOOKUP(E33,'Списки участников'!A:O,3,FALSE))</f>
        <v>СОКОЛОВ Дмитрий</v>
      </c>
      <c r="G33" s="551"/>
      <c r="H33" s="537"/>
      <c r="I33" s="552"/>
      <c r="J33" s="1078" t="s">
        <v>897</v>
      </c>
      <c r="K33" s="565">
        <f>IF(K11="","",IF(K11=H7,H15,IF(K11=H15,H7,"Ошибка")))</f>
        <v>9</v>
      </c>
      <c r="L33" s="563" t="str">
        <f>IF(K33="","",VLOOKUP(K33,'Списки участников'!A:O,3,FALSE))</f>
        <v>ШИРЯЕВ Петр</v>
      </c>
      <c r="M33" s="549"/>
      <c r="O33" s="552"/>
      <c r="Q33" s="535"/>
      <c r="R33" s="529"/>
      <c r="T33" s="530"/>
      <c r="W33" s="530"/>
      <c r="Y33" s="530"/>
      <c r="AA33" s="533"/>
      <c r="AB33" s="564"/>
      <c r="AE33" s="530"/>
    </row>
    <row r="34" spans="1:32" ht="15" customHeight="1" x14ac:dyDescent="0.2">
      <c r="A34" s="550" t="s">
        <v>29</v>
      </c>
      <c r="B34" s="539">
        <v>3</v>
      </c>
      <c r="C34" s="540" t="str">
        <f>IF(B34="","",VLOOKUP(B34,'Списки участников'!A:P,3,FALSE))</f>
        <v>СОКОЛОВ Дмитрий</v>
      </c>
      <c r="D34" s="1070" t="str">
        <f>IF(B34="",B34,VLOOKUP(B34,'Списки участников'!$A:$O,6,FALSE))</f>
        <v>АО ФНПЦ НИИРТ</v>
      </c>
      <c r="E34" s="537"/>
      <c r="F34" s="1071" t="str">
        <f>'ПРФ(16)'!R11</f>
        <v/>
      </c>
      <c r="I34" s="530"/>
      <c r="J34" s="1076"/>
      <c r="K34" s="530"/>
      <c r="L34" s="552"/>
      <c r="M34" s="546" t="s">
        <v>29</v>
      </c>
      <c r="N34" s="559">
        <f>'ПРФ(16)'!G19</f>
        <v>9</v>
      </c>
      <c r="O34" s="1077" t="str">
        <f>IF(N34="","",VLOOKUP(N34,'Списки участников'!A:O,3,FALSE))</f>
        <v>ШИРЯЕВ Петр</v>
      </c>
      <c r="P34" s="549"/>
      <c r="Q34" s="885" t="str">
        <f>CONCATENATE(J3+2," ","м")</f>
        <v>27 м</v>
      </c>
      <c r="R34" s="529"/>
      <c r="T34" s="530"/>
      <c r="W34" s="530"/>
      <c r="X34" s="533"/>
      <c r="Y34" s="564"/>
      <c r="AB34" s="530"/>
      <c r="AC34" s="529"/>
      <c r="AD34" s="564"/>
      <c r="AE34" s="530"/>
      <c r="AF34" s="533"/>
    </row>
    <row r="35" spans="1:32" ht="15" customHeight="1" x14ac:dyDescent="0.2">
      <c r="E35" s="530"/>
      <c r="I35" s="530"/>
      <c r="J35" s="1078" t="s">
        <v>900</v>
      </c>
      <c r="K35" s="565">
        <f>IF(K27="","",IF(K27=H23,H31,IF(K27=H31,H23,"Ошибка")))</f>
        <v>3</v>
      </c>
      <c r="L35" s="563" t="str">
        <f>IF(K35="","",VLOOKUP(K35,'Списки участников'!A:O,3,FALSE))</f>
        <v>СОКОЛОВ Дмитрий</v>
      </c>
      <c r="M35" s="551"/>
      <c r="O35" s="1071" t="str">
        <f>'ПРФ(16)'!R19</f>
        <v>3:0</v>
      </c>
      <c r="Q35" s="1012"/>
      <c r="R35" s="529"/>
      <c r="T35" s="530"/>
      <c r="W35" s="530"/>
      <c r="Y35" s="530"/>
      <c r="Z35" s="533"/>
      <c r="AB35" s="543"/>
      <c r="AE35" s="530"/>
    </row>
    <row r="36" spans="1:32" ht="15" customHeight="1" x14ac:dyDescent="0.2">
      <c r="E36" s="530"/>
      <c r="G36" s="549" t="s">
        <v>892</v>
      </c>
      <c r="H36" s="566">
        <f>IF(H7="","",IF(H7=E5,E9,IF(H7=E9,E5,"Ошибка")))</f>
        <v>23</v>
      </c>
      <c r="I36" s="563" t="str">
        <f>IF(H36="","",VLOOKUP(H36,'Списки участников'!A:O,3,FALSE))</f>
        <v>КОРНИЛАЕВ Михаил</v>
      </c>
      <c r="J36" s="549"/>
      <c r="K36" s="530"/>
      <c r="L36" s="552"/>
      <c r="M36" s="1076" t="s">
        <v>904</v>
      </c>
      <c r="N36" s="562">
        <f>IF(N34="","",IF(N34=K33,K35,IF(N34=K35,K33,"Ошибка")))</f>
        <v>3</v>
      </c>
      <c r="O36" s="1077" t="str">
        <f>IF(N36="","",VLOOKUP(N36,'Списки участников'!A:O,3,FALSE))</f>
        <v>СОКОЛОВ Дмитрий</v>
      </c>
      <c r="P36" s="549"/>
      <c r="Q36" s="885" t="str">
        <f>CONCATENATE(J3+3," ","м")</f>
        <v>28 м</v>
      </c>
      <c r="R36" s="529"/>
      <c r="T36" s="530"/>
      <c r="W36" s="530"/>
      <c r="X36" s="533"/>
      <c r="Y36" s="564"/>
      <c r="AB36" s="530"/>
      <c r="AE36" s="530"/>
    </row>
    <row r="37" spans="1:32" ht="15" customHeight="1" x14ac:dyDescent="0.2">
      <c r="E37" s="530"/>
      <c r="I37" s="552"/>
      <c r="J37" s="546" t="s">
        <v>8</v>
      </c>
      <c r="K37" s="567">
        <f>'ПРФ(16)'!G20</f>
        <v>15</v>
      </c>
      <c r="L37" s="563" t="str">
        <f>IF(K37="","",VLOOKUP(K37,'Списки участников'!A:O,3,FALSE))</f>
        <v>ГРАЧЕВ Дмитрий</v>
      </c>
      <c r="M37" s="549"/>
      <c r="O37" s="552"/>
      <c r="Q37" s="1012"/>
      <c r="R37" s="529"/>
      <c r="T37" s="530"/>
      <c r="W37" s="530"/>
      <c r="Y37" s="530"/>
      <c r="AB37" s="530"/>
      <c r="AC37" s="533"/>
      <c r="AD37" s="543"/>
      <c r="AE37" s="530"/>
      <c r="AF37" s="533"/>
    </row>
    <row r="38" spans="1:32" ht="15" customHeight="1" x14ac:dyDescent="0.2">
      <c r="E38" s="530"/>
      <c r="G38" s="549" t="s">
        <v>893</v>
      </c>
      <c r="H38" s="566">
        <f>IF(H15="","",IF(H15=E13,E17,IF(H15=E17,E13,"Ошибка")))</f>
        <v>15</v>
      </c>
      <c r="I38" s="563" t="str">
        <f>IF(H38="","",VLOOKUP(H38,'Списки участников'!A:O,3,FALSE))</f>
        <v>ГРАЧЕВ Дмитрий</v>
      </c>
      <c r="J38" s="551"/>
      <c r="K38" s="530"/>
      <c r="L38" s="1071" t="str">
        <f>'ПРФ(16)'!R20</f>
        <v>3:0</v>
      </c>
      <c r="M38" s="553"/>
      <c r="O38" s="552"/>
      <c r="Q38" s="1012"/>
      <c r="R38" s="529"/>
      <c r="T38" s="530"/>
      <c r="W38" s="530"/>
      <c r="X38" s="533"/>
      <c r="Y38" s="564"/>
      <c r="AB38" s="530"/>
      <c r="AE38" s="530"/>
    </row>
    <row r="39" spans="1:32" ht="15" customHeight="1" x14ac:dyDescent="0.2">
      <c r="E39" s="530"/>
      <c r="I39" s="552"/>
      <c r="K39" s="530"/>
      <c r="L39" s="552"/>
      <c r="M39" s="557" t="s">
        <v>43</v>
      </c>
      <c r="N39" s="568">
        <f>'ПРФ(16)'!G22</f>
        <v>7</v>
      </c>
      <c r="O39" s="1077" t="str">
        <f>IF(N39="","",VLOOKUP(N39,'Списки участников'!A:O,3,FALSE))</f>
        <v>АСТАПОВ Дмитрий</v>
      </c>
      <c r="P39" s="549"/>
      <c r="Q39" s="885" t="str">
        <f>CONCATENATE(J3+4," ","м")</f>
        <v>29 м</v>
      </c>
      <c r="R39" s="529"/>
      <c r="T39" s="530"/>
      <c r="W39" s="530"/>
      <c r="Y39" s="530"/>
      <c r="Z39" s="533"/>
      <c r="AB39" s="543"/>
      <c r="AE39" s="530"/>
    </row>
    <row r="40" spans="1:32" ht="15" customHeight="1" x14ac:dyDescent="0.2">
      <c r="E40" s="530"/>
      <c r="G40" s="549" t="s">
        <v>2</v>
      </c>
      <c r="H40" s="565">
        <f>IF(H23="","",IF(H23=E21,E25,IF(H23=E25,E21,"Ошибка")))</f>
        <v>7</v>
      </c>
      <c r="I40" s="563" t="str">
        <f>IF(H40="","",VLOOKUP(H40,'Списки участников'!A:O,3,FALSE))</f>
        <v>АСТАПОВ Дмитрий</v>
      </c>
      <c r="J40" s="549"/>
      <c r="K40" s="530"/>
      <c r="L40" s="552"/>
      <c r="M40" s="556"/>
      <c r="O40" s="1071" t="str">
        <f>'ПРФ(16)'!R22</f>
        <v>3:1</v>
      </c>
      <c r="Q40" s="1012"/>
      <c r="R40" s="529"/>
      <c r="T40" s="530"/>
      <c r="W40" s="530"/>
      <c r="X40" s="533"/>
      <c r="Y40" s="564"/>
      <c r="AB40" s="530"/>
      <c r="AC40" s="529"/>
      <c r="AD40" s="560"/>
      <c r="AE40" s="530"/>
      <c r="AF40" s="533"/>
    </row>
    <row r="41" spans="1:32" ht="15" customHeight="1" x14ac:dyDescent="0.2">
      <c r="E41" s="530"/>
      <c r="I41" s="552"/>
      <c r="J41" s="546" t="s">
        <v>14</v>
      </c>
      <c r="K41" s="567">
        <f>'ПРФ(16)'!G21</f>
        <v>7</v>
      </c>
      <c r="L41" s="563" t="str">
        <f>IF(K41="","",VLOOKUP(K41,'Списки участников'!A:O,3,FALSE))</f>
        <v>АСТАПОВ Дмитрий</v>
      </c>
      <c r="M41" s="551"/>
      <c r="O41" s="552"/>
      <c r="Q41" s="1012"/>
      <c r="R41" s="529"/>
      <c r="T41" s="530"/>
      <c r="W41" s="530"/>
      <c r="Y41" s="530"/>
      <c r="AA41" s="533"/>
      <c r="AB41" s="564"/>
      <c r="AE41" s="530"/>
    </row>
    <row r="42" spans="1:32" ht="15" customHeight="1" x14ac:dyDescent="0.2">
      <c r="E42" s="530"/>
      <c r="G42" s="549" t="s">
        <v>895</v>
      </c>
      <c r="H42" s="565">
        <f>IF(H31="","",IF(H31=E29,E33,IF(H31=E33,E29,"Ошибка")))</f>
        <v>10</v>
      </c>
      <c r="I42" s="563" t="str">
        <f>IF(H42="","",VLOOKUP(H42,'Списки участников'!A:O,3,FALSE))</f>
        <v>ЕРАСТОВ Андрей</v>
      </c>
      <c r="J42" s="551"/>
      <c r="K42" s="530"/>
      <c r="L42" s="1071" t="str">
        <f>'ПРФ(16)'!R21</f>
        <v>3:1</v>
      </c>
      <c r="M42" s="1076" t="s">
        <v>910</v>
      </c>
      <c r="N42" s="569">
        <f>IF(N39="","",IF(N39=K37,K41,IF(N39=K41,K37,"Ошибка")))</f>
        <v>15</v>
      </c>
      <c r="O42" s="1077" t="str">
        <f>IF(N42="","",VLOOKUP(N42,'Списки участников'!A:O,3,FALSE))</f>
        <v>ГРАЧЕВ Дмитрий</v>
      </c>
      <c r="P42" s="549"/>
      <c r="Q42" s="885" t="str">
        <f>CONCATENATE(J3+5," ","м")</f>
        <v>30 м</v>
      </c>
      <c r="R42" s="529"/>
      <c r="T42" s="530"/>
      <c r="W42" s="530"/>
      <c r="Y42" s="530"/>
      <c r="AB42" s="530"/>
      <c r="AC42" s="533"/>
      <c r="AD42" s="564"/>
      <c r="AE42" s="530"/>
      <c r="AF42" s="533"/>
    </row>
    <row r="43" spans="1:32" ht="15" customHeight="1" x14ac:dyDescent="0.2">
      <c r="E43" s="530"/>
      <c r="I43" s="552"/>
      <c r="J43" s="1079" t="s">
        <v>905</v>
      </c>
      <c r="K43" s="565">
        <f>IF(K37="","",IF(K37=H38,H36,IF(K37=H36,H38,"Ошибка")))</f>
        <v>23</v>
      </c>
      <c r="L43" s="563" t="str">
        <f>IF(K43="","",VLOOKUP(K43,'Списки участников'!A:O,3,FALSE))</f>
        <v>КОРНИЛАЕВ Михаил</v>
      </c>
      <c r="M43" s="549"/>
      <c r="O43" s="552"/>
      <c r="Q43" s="1012"/>
      <c r="R43" s="529"/>
      <c r="T43" s="530"/>
      <c r="W43" s="530"/>
      <c r="Y43" s="530"/>
      <c r="AA43" s="533"/>
      <c r="AB43" s="564"/>
      <c r="AE43" s="530"/>
    </row>
    <row r="44" spans="1:32" ht="15" customHeight="1" x14ac:dyDescent="0.2">
      <c r="E44" s="530"/>
      <c r="I44" s="552"/>
      <c r="J44" s="1076"/>
      <c r="K44" s="530"/>
      <c r="L44" s="552"/>
      <c r="M44" s="546" t="s">
        <v>19</v>
      </c>
      <c r="N44" s="568">
        <f>'ПРФ(16)'!G23</f>
        <v>23</v>
      </c>
      <c r="O44" s="1077" t="str">
        <f>IF(N44="","",VLOOKUP(N44,'Списки участников'!A:O,3,FALSE))</f>
        <v>КОРНИЛАЕВ Михаил</v>
      </c>
      <c r="P44" s="549"/>
      <c r="Q44" s="885" t="str">
        <f>CONCATENATE(J3+6," ","м")</f>
        <v>31 м</v>
      </c>
      <c r="R44" s="529"/>
      <c r="T44" s="530"/>
      <c r="U44" s="533"/>
      <c r="V44" s="564"/>
      <c r="W44" s="530"/>
      <c r="Y44" s="530"/>
      <c r="AB44" s="530"/>
      <c r="AC44" s="529"/>
      <c r="AD44" s="560"/>
      <c r="AE44" s="530"/>
      <c r="AF44" s="533"/>
    </row>
    <row r="45" spans="1:32" ht="15" customHeight="1" x14ac:dyDescent="0.2">
      <c r="E45" s="530"/>
      <c r="I45" s="552"/>
      <c r="J45" s="1076" t="s">
        <v>907</v>
      </c>
      <c r="K45" s="565">
        <f>IF(K41="","",IF(K41=H40,H42,IF(K41=H42,H40,"Ошибка")))</f>
        <v>10</v>
      </c>
      <c r="L45" s="563" t="str">
        <f>IF(K45="","",VLOOKUP(K45,'Списки участников'!A:O,3,FALSE))</f>
        <v>ЕРАСТОВ Андрей</v>
      </c>
      <c r="M45" s="551"/>
      <c r="O45" s="1071" t="str">
        <f>'ПРФ(16)'!R23</f>
        <v>3:1</v>
      </c>
      <c r="Q45" s="1012"/>
      <c r="R45" s="529"/>
      <c r="T45" s="530"/>
      <c r="W45" s="533"/>
      <c r="Y45" s="543"/>
      <c r="AB45" s="530"/>
      <c r="AE45" s="530"/>
    </row>
    <row r="46" spans="1:32" ht="15" customHeight="1" x14ac:dyDescent="0.2">
      <c r="D46" s="1078" t="s">
        <v>881</v>
      </c>
      <c r="E46" s="565">
        <f>IF(E5="","",IF(E5=B4,B6,IF(E5=B6,B4,"Ошибка")))</f>
        <v>60</v>
      </c>
      <c r="F46" s="563" t="str">
        <f>IF(E46="","",VLOOKUP(E46,'Списки участников'!A:O,3,FALSE))</f>
        <v xml:space="preserve"> Х</v>
      </c>
      <c r="G46" s="549"/>
      <c r="I46" s="552"/>
      <c r="K46" s="530"/>
      <c r="L46" s="552"/>
      <c r="M46" s="1076" t="s">
        <v>912</v>
      </c>
      <c r="N46" s="569">
        <f>IF(N44="","",IF(N44=K43,K45,IF(N44=K45,K43,"Ошибка")))</f>
        <v>10</v>
      </c>
      <c r="O46" s="1077" t="str">
        <f>IF(N46="","",VLOOKUP(N46,'Списки участников'!A:O,3,FALSE))</f>
        <v>ЕРАСТОВ Андрей</v>
      </c>
      <c r="P46" s="549"/>
      <c r="Q46" s="885" t="str">
        <f>CONCATENATE(J3+7," ","м")</f>
        <v>32 м</v>
      </c>
      <c r="R46" s="529"/>
      <c r="T46" s="530"/>
      <c r="U46" s="533"/>
      <c r="V46" s="564"/>
      <c r="W46" s="530"/>
      <c r="Y46" s="530"/>
      <c r="AB46" s="530"/>
      <c r="AE46" s="530"/>
    </row>
    <row r="47" spans="1:32" ht="15" customHeight="1" x14ac:dyDescent="0.2">
      <c r="D47" s="1076"/>
      <c r="E47" s="530"/>
      <c r="F47" s="552"/>
      <c r="G47" s="546" t="s">
        <v>36</v>
      </c>
      <c r="H47" s="567">
        <f>'ПРФ(16)'!G24</f>
        <v>41</v>
      </c>
      <c r="I47" s="563" t="str">
        <f>IF(H47="","",VLOOKUP(H47,'Списки участников'!A:O,3,FALSE))</f>
        <v>ГЛЕБОВ Игорь</v>
      </c>
      <c r="J47" s="549"/>
      <c r="K47" s="530"/>
      <c r="L47" s="552"/>
      <c r="M47" s="535"/>
      <c r="N47" s="535"/>
      <c r="O47" s="552"/>
      <c r="Q47" s="1012"/>
      <c r="R47" s="529"/>
      <c r="T47" s="530"/>
      <c r="W47" s="530"/>
      <c r="Y47" s="530"/>
      <c r="Z47" s="533"/>
      <c r="AB47" s="543"/>
      <c r="AE47" s="530"/>
    </row>
    <row r="48" spans="1:32" ht="15" customHeight="1" x14ac:dyDescent="0.2">
      <c r="D48" s="1078" t="s">
        <v>883</v>
      </c>
      <c r="E48" s="565">
        <f>IF(E9="","",IF(E9=B10,B8,IF(E9=B8,B10,"Ошибка")))</f>
        <v>41</v>
      </c>
      <c r="F48" s="563" t="str">
        <f>IF(E48="","",VLOOKUP(E48,'Списки участников'!A:O,3,FALSE))</f>
        <v>ГЛЕБОВ Игорь</v>
      </c>
      <c r="G48" s="551"/>
      <c r="H48" s="1013"/>
      <c r="I48" s="1071" t="str">
        <f>'ПРФ(16)'!R24</f>
        <v/>
      </c>
      <c r="J48" s="553"/>
      <c r="K48" s="530"/>
      <c r="L48" s="552"/>
      <c r="M48" s="535"/>
      <c r="N48" s="535"/>
      <c r="O48" s="552"/>
      <c r="Q48" s="1012"/>
      <c r="R48" s="529"/>
      <c r="T48" s="530"/>
      <c r="U48" s="533"/>
      <c r="V48" s="564"/>
      <c r="W48" s="530"/>
      <c r="Y48" s="530"/>
      <c r="AB48" s="530"/>
      <c r="AE48" s="530"/>
    </row>
    <row r="49" spans="4:32" ht="15" customHeight="1" x14ac:dyDescent="0.2">
      <c r="D49" s="1076"/>
      <c r="E49" s="530"/>
      <c r="F49" s="552"/>
      <c r="H49" s="1013"/>
      <c r="I49" s="552"/>
      <c r="J49" s="557" t="s">
        <v>18</v>
      </c>
      <c r="K49" s="567">
        <f>'ПРФ(16)'!G28</f>
        <v>41</v>
      </c>
      <c r="L49" s="563" t="str">
        <f>IF(K49="","",VLOOKUP(K49,'Списки участников'!A:O,3,FALSE))</f>
        <v>ГЛЕБОВ Игорь</v>
      </c>
      <c r="M49" s="549"/>
      <c r="O49" s="552"/>
      <c r="Q49" s="1012"/>
      <c r="R49" s="529"/>
      <c r="T49" s="530"/>
      <c r="W49" s="533"/>
      <c r="Y49" s="543"/>
      <c r="AB49" s="530"/>
      <c r="AE49" s="530"/>
    </row>
    <row r="50" spans="4:32" ht="15" customHeight="1" x14ac:dyDescent="0.2">
      <c r="D50" s="1078" t="s">
        <v>884</v>
      </c>
      <c r="E50" s="565">
        <f>IF(E13="","",IF(E13=B12,B14,IF(E13=B14,B12,"Ошибка")))</f>
        <v>29</v>
      </c>
      <c r="F50" s="563" t="str">
        <f>IF(E50="","",VLOOKUP(E50,'Списки участников'!A:O,3,FALSE))</f>
        <v>МУХАМЕТЖАНОВ Сайяр</v>
      </c>
      <c r="G50" s="549"/>
      <c r="H50" s="1013"/>
      <c r="I50" s="552"/>
      <c r="J50" s="556"/>
      <c r="K50" s="1013"/>
      <c r="L50" s="1071" t="str">
        <f>'ПРФ(16)'!R28</f>
        <v>3:1</v>
      </c>
      <c r="M50" s="553"/>
      <c r="O50" s="552"/>
      <c r="Q50" s="1012"/>
      <c r="R50" s="529"/>
      <c r="T50" s="530"/>
      <c r="U50" s="533"/>
      <c r="V50" s="564"/>
      <c r="W50" s="530"/>
      <c r="Y50" s="530"/>
      <c r="AB50" s="530"/>
      <c r="AE50" s="530"/>
    </row>
    <row r="51" spans="4:32" ht="15" customHeight="1" x14ac:dyDescent="0.2">
      <c r="D51" s="1076"/>
      <c r="E51" s="530"/>
      <c r="F51" s="552"/>
      <c r="G51" s="546" t="s">
        <v>27</v>
      </c>
      <c r="H51" s="567">
        <f>'ПРФ(16)'!G25</f>
        <v>29</v>
      </c>
      <c r="I51" s="563" t="str">
        <f>IF(H51="","",VLOOKUP(H51,'Списки участников'!A:O,3,FALSE))</f>
        <v>МУХАМЕТЖАНОВ Сайяр</v>
      </c>
      <c r="J51" s="551"/>
      <c r="K51" s="1013"/>
      <c r="L51" s="552"/>
      <c r="M51" s="556"/>
      <c r="O51" s="552"/>
      <c r="Q51" s="1012"/>
      <c r="R51" s="529"/>
      <c r="T51" s="530"/>
      <c r="W51" s="530"/>
      <c r="Y51" s="530"/>
      <c r="AB51" s="530"/>
      <c r="AC51" s="533"/>
      <c r="AD51" s="543"/>
      <c r="AE51" s="530"/>
      <c r="AF51" s="533"/>
    </row>
    <row r="52" spans="4:32" ht="15" customHeight="1" x14ac:dyDescent="0.2">
      <c r="D52" s="1078" t="s">
        <v>886</v>
      </c>
      <c r="E52" s="565">
        <f>IF(E17="","",IF(E17=B18,B16,IF(E17=B16,B18,"Ошибка")))</f>
        <v>60</v>
      </c>
      <c r="F52" s="563" t="str">
        <f>IF(E52="","",VLOOKUP(E52,'Списки участников'!A:O,3,FALSE))</f>
        <v xml:space="preserve"> Х</v>
      </c>
      <c r="G52" s="551"/>
      <c r="H52" s="1013"/>
      <c r="I52" s="1071" t="str">
        <f>'ПРФ(16)'!R25</f>
        <v/>
      </c>
      <c r="K52" s="1013"/>
      <c r="L52" s="552"/>
      <c r="M52" s="556"/>
      <c r="O52" s="552"/>
      <c r="Q52" s="1012"/>
      <c r="R52" s="529"/>
      <c r="T52" s="530"/>
      <c r="U52" s="533"/>
      <c r="V52" s="564"/>
      <c r="W52" s="530"/>
      <c r="Y52" s="530"/>
      <c r="AB52" s="530"/>
      <c r="AE52" s="530"/>
    </row>
    <row r="53" spans="4:32" ht="15" customHeight="1" x14ac:dyDescent="0.2">
      <c r="D53" s="1076"/>
      <c r="E53" s="530"/>
      <c r="F53" s="552"/>
      <c r="H53" s="1013"/>
      <c r="I53" s="552"/>
      <c r="K53" s="1013"/>
      <c r="L53" s="552"/>
      <c r="M53" s="557" t="s">
        <v>39</v>
      </c>
      <c r="N53" s="568">
        <f>'ПРФ(16)'!G30</f>
        <v>41</v>
      </c>
      <c r="O53" s="1077" t="str">
        <f>IF(N53="","",VLOOKUP(N53,'Списки участников'!A:O,3,FALSE))</f>
        <v>ГЛЕБОВ Игорь</v>
      </c>
      <c r="P53" s="549"/>
      <c r="Q53" s="885" t="str">
        <f>CONCATENATE(J3+8," ","м")</f>
        <v>33 м</v>
      </c>
      <c r="R53" s="529"/>
      <c r="T53" s="530"/>
      <c r="W53" s="533"/>
      <c r="Y53" s="543"/>
      <c r="AB53" s="530"/>
      <c r="AE53" s="530"/>
    </row>
    <row r="54" spans="4:32" ht="15" customHeight="1" x14ac:dyDescent="0.2">
      <c r="D54" s="1078" t="s">
        <v>887</v>
      </c>
      <c r="E54" s="565">
        <f>IF(E21="","",IF(E21=B20,B22,IF(E21=B22,B20,"Ошибка")))</f>
        <v>60</v>
      </c>
      <c r="F54" s="563" t="str">
        <f>IF(E54="","",VLOOKUP(E54,'Списки участников'!A:O,3,FALSE))</f>
        <v xml:space="preserve"> Х</v>
      </c>
      <c r="G54" s="549"/>
      <c r="H54" s="1013"/>
      <c r="I54" s="552"/>
      <c r="K54" s="1013"/>
      <c r="L54" s="552"/>
      <c r="M54" s="556"/>
      <c r="O54" s="1071" t="str">
        <f>'ПРФ(16)'!R30</f>
        <v>3:0</v>
      </c>
      <c r="Q54" s="1012"/>
      <c r="R54" s="529"/>
      <c r="T54" s="530"/>
      <c r="U54" s="533"/>
      <c r="V54" s="564"/>
      <c r="W54" s="530"/>
      <c r="Y54" s="530"/>
      <c r="AB54" s="530"/>
      <c r="AE54" s="530"/>
    </row>
    <row r="55" spans="4:32" ht="15" customHeight="1" x14ac:dyDescent="0.2">
      <c r="D55" s="1076"/>
      <c r="E55" s="530"/>
      <c r="F55" s="552"/>
      <c r="G55" s="546" t="s">
        <v>40</v>
      </c>
      <c r="H55" s="567">
        <f>'ПРФ(16)'!G26</f>
        <v>30</v>
      </c>
      <c r="I55" s="563" t="str">
        <f>IF(H55="","",VLOOKUP(H55,'Списки участников'!A:O,3,FALSE))</f>
        <v>ВОЛКОВ Евгений</v>
      </c>
      <c r="J55" s="549"/>
      <c r="K55" s="1013"/>
      <c r="L55" s="552"/>
      <c r="M55" s="556"/>
      <c r="O55" s="552"/>
      <c r="Q55" s="1012"/>
      <c r="R55" s="529"/>
      <c r="T55" s="530"/>
      <c r="W55" s="530"/>
      <c r="Y55" s="530"/>
      <c r="Z55" s="533"/>
      <c r="AB55" s="543"/>
      <c r="AE55" s="530"/>
    </row>
    <row r="56" spans="4:32" ht="15" customHeight="1" x14ac:dyDescent="0.2">
      <c r="D56" s="1078" t="s">
        <v>889</v>
      </c>
      <c r="E56" s="565">
        <f>IF(E25="","",IF(E25=B26,B24,IF(E25=B24,B26,"Ошибка")))</f>
        <v>30</v>
      </c>
      <c r="F56" s="563" t="str">
        <f>IF(E56="","",VLOOKUP(E56,'Списки участников'!A:O,3,FALSE))</f>
        <v>ВОЛКОВ Евгений</v>
      </c>
      <c r="G56" s="551"/>
      <c r="H56" s="1013"/>
      <c r="I56" s="1071" t="str">
        <f>'ПРФ(16)'!R26</f>
        <v/>
      </c>
      <c r="J56" s="553"/>
      <c r="K56" s="1013"/>
      <c r="L56" s="552"/>
      <c r="M56" s="556"/>
      <c r="O56" s="552"/>
      <c r="Q56" s="1012"/>
      <c r="R56" s="529"/>
      <c r="T56" s="530"/>
      <c r="U56" s="533"/>
      <c r="V56" s="564"/>
      <c r="W56" s="530"/>
      <c r="Y56" s="530"/>
      <c r="AB56" s="530"/>
      <c r="AC56" s="529"/>
      <c r="AD56" s="560"/>
      <c r="AE56" s="530"/>
      <c r="AF56" s="533"/>
    </row>
    <row r="57" spans="4:32" ht="15" customHeight="1" x14ac:dyDescent="0.2">
      <c r="D57" s="1076"/>
      <c r="E57" s="1013"/>
      <c r="F57" s="552"/>
      <c r="H57" s="1013"/>
      <c r="I57" s="552"/>
      <c r="J57" s="557" t="s">
        <v>33</v>
      </c>
      <c r="K57" s="567">
        <f>'ПРФ(16)'!G29</f>
        <v>30</v>
      </c>
      <c r="L57" s="563" t="str">
        <f>IF(K57="","",VLOOKUP(K57,'Списки участников'!A:O,3,FALSE))</f>
        <v>ВОЛКОВ Евгений</v>
      </c>
      <c r="M57" s="551"/>
      <c r="O57" s="552"/>
      <c r="Q57" s="1012"/>
      <c r="R57" s="529"/>
      <c r="T57" s="530"/>
      <c r="W57" s="533"/>
      <c r="Y57" s="543"/>
      <c r="AB57" s="530"/>
      <c r="AE57" s="530"/>
    </row>
    <row r="58" spans="4:32" ht="15" customHeight="1" x14ac:dyDescent="0.2">
      <c r="D58" s="1078" t="s">
        <v>890</v>
      </c>
      <c r="E58" s="565">
        <f>IF(E29="","",IF(E29=B28,B30,IF(E29=B30,B28,"Ошибка")))</f>
        <v>31</v>
      </c>
      <c r="F58" s="563" t="str">
        <f>IF(E58="","",VLOOKUP(E58,'Списки участников'!A:O,3,FALSE))</f>
        <v>ПЕТУХОВ Николай</v>
      </c>
      <c r="G58" s="549"/>
      <c r="H58" s="1013"/>
      <c r="I58" s="552"/>
      <c r="J58" s="556"/>
      <c r="K58" s="530"/>
      <c r="L58" s="1071" t="str">
        <f>'ПРФ(16)'!R29</f>
        <v>W:L</v>
      </c>
      <c r="M58" s="1076" t="s">
        <v>56</v>
      </c>
      <c r="N58" s="569">
        <f>IF(N53="","",IF(N53=K49,K57,IF(N53=K57,K49,"Ошибка")))</f>
        <v>30</v>
      </c>
      <c r="O58" s="1077" t="str">
        <f>IF(N58="","",VLOOKUP(N58,'Списки участников'!A:O,3,FALSE))</f>
        <v>ВОЛКОВ Евгений</v>
      </c>
      <c r="P58" s="549"/>
      <c r="Q58" s="885" t="str">
        <f>CONCATENATE(J3+9," ","м")</f>
        <v>34 м</v>
      </c>
      <c r="R58" s="529"/>
      <c r="T58" s="530"/>
      <c r="U58" s="533"/>
      <c r="V58" s="564"/>
      <c r="W58" s="530"/>
      <c r="Y58" s="530"/>
      <c r="AA58" s="533"/>
      <c r="AB58" s="564"/>
      <c r="AE58" s="530"/>
    </row>
    <row r="59" spans="4:32" ht="15" customHeight="1" x14ac:dyDescent="0.2">
      <c r="D59" s="1076"/>
      <c r="E59" s="1013"/>
      <c r="F59" s="552"/>
      <c r="G59" s="546" t="s">
        <v>9</v>
      </c>
      <c r="H59" s="572">
        <f>'ПРФ(16)'!G27</f>
        <v>31</v>
      </c>
      <c r="I59" s="563" t="str">
        <f>IF(H59="","",VLOOKUP(H59,'Списки участников'!A:O,3,FALSE))</f>
        <v>ПЕТУХОВ Николай</v>
      </c>
      <c r="J59" s="551"/>
      <c r="K59" s="530"/>
      <c r="L59" s="552"/>
      <c r="M59" s="535"/>
      <c r="N59" s="535"/>
      <c r="O59" s="552"/>
      <c r="Q59" s="1012"/>
      <c r="R59" s="529"/>
      <c r="T59" s="530"/>
      <c r="W59" s="530"/>
      <c r="Y59" s="530"/>
      <c r="AB59" s="530"/>
      <c r="AC59" s="533"/>
      <c r="AD59" s="543"/>
      <c r="AE59" s="530"/>
      <c r="AF59" s="533"/>
    </row>
    <row r="60" spans="4:32" ht="15" customHeight="1" x14ac:dyDescent="0.2">
      <c r="D60" s="1078" t="s">
        <v>891</v>
      </c>
      <c r="E60" s="565">
        <f>IF(E33="","",IF(E33=B34,B32,IF(E33=B32,B34,"Ошибка")))</f>
        <v>60</v>
      </c>
      <c r="F60" s="563" t="str">
        <f>IF(E60="","",VLOOKUP(E60,'Списки участников'!A:O,3,FALSE))</f>
        <v xml:space="preserve"> Х</v>
      </c>
      <c r="G60" s="551"/>
      <c r="I60" s="1071" t="str">
        <f>'ПРФ(16)'!R27</f>
        <v/>
      </c>
      <c r="J60" s="1079" t="s">
        <v>92</v>
      </c>
      <c r="K60" s="565">
        <f>IF(K49="","",IF(K49=H47,H51,IF(K49=H51,H47,"Ошибка")))</f>
        <v>29</v>
      </c>
      <c r="L60" s="563" t="str">
        <f>IF(K60="","",VLOOKUP(K60,'Списки участников'!A:O,3,FALSE))</f>
        <v>МУХАМЕТЖАНОВ Сайяр</v>
      </c>
      <c r="M60" s="549"/>
      <c r="O60" s="552"/>
      <c r="Q60" s="1012"/>
      <c r="R60" s="529"/>
      <c r="T60" s="530"/>
      <c r="W60" s="530"/>
      <c r="Y60" s="530"/>
      <c r="AA60" s="533"/>
      <c r="AB60" s="564"/>
      <c r="AE60" s="530"/>
    </row>
    <row r="61" spans="4:32" ht="15" customHeight="1" x14ac:dyDescent="0.2">
      <c r="E61" s="530"/>
      <c r="F61" s="552"/>
      <c r="I61" s="552"/>
      <c r="J61" s="1076"/>
      <c r="K61" s="530"/>
      <c r="L61" s="552"/>
      <c r="M61" s="557" t="s">
        <v>26</v>
      </c>
      <c r="N61" s="568" t="str">
        <f>'ПРФ(16)'!G31</f>
        <v/>
      </c>
      <c r="O61" s="1077" t="str">
        <f>IF(N61="","",VLOOKUP(N61,'Списки участников'!A:O,3,FALSE))</f>
        <v/>
      </c>
      <c r="P61" s="549"/>
      <c r="Q61" s="885" t="str">
        <f>CONCATENATE(J3+10," ","м")</f>
        <v>35 м</v>
      </c>
      <c r="R61" s="529"/>
      <c r="T61" s="530"/>
      <c r="W61" s="530"/>
      <c r="X61" s="533"/>
      <c r="Y61" s="564"/>
      <c r="AB61" s="530"/>
      <c r="AC61" s="529"/>
      <c r="AD61" s="560"/>
      <c r="AE61" s="530"/>
      <c r="AF61" s="533"/>
    </row>
    <row r="62" spans="4:32" ht="15" customHeight="1" x14ac:dyDescent="0.2">
      <c r="E62" s="530"/>
      <c r="F62" s="552"/>
      <c r="I62" s="552"/>
      <c r="J62" s="1078" t="s">
        <v>58</v>
      </c>
      <c r="K62" s="565">
        <f>IF(K57="","",IF(K57=H55,H59,IF(K57=H59,H55,"Ошибка")))</f>
        <v>31</v>
      </c>
      <c r="L62" s="563" t="str">
        <f>IF(K62="","",VLOOKUP(K62,'Списки участников'!A:O,3,FALSE))</f>
        <v>ПЕТУХОВ Николай</v>
      </c>
      <c r="M62" s="551"/>
      <c r="O62" s="1071" t="str">
        <f>'ПРФ(16)'!R31</f>
        <v/>
      </c>
      <c r="Q62" s="1012"/>
      <c r="R62" s="529"/>
      <c r="T62" s="530"/>
      <c r="W62" s="530"/>
      <c r="Y62" s="530"/>
      <c r="Z62" s="533"/>
      <c r="AB62" s="543"/>
      <c r="AE62" s="530"/>
    </row>
    <row r="63" spans="4:32" ht="15" customHeight="1" x14ac:dyDescent="0.2">
      <c r="E63" s="530"/>
      <c r="G63" s="1078" t="s">
        <v>914</v>
      </c>
      <c r="H63" s="565">
        <f>IF(H47="","",IF(H47=E46,E48,IF(H47=E48,E46,"Ошибка")))</f>
        <v>60</v>
      </c>
      <c r="I63" s="563" t="str">
        <f>IF(H63="","",VLOOKUP(H63,'Списки участников'!A:O,3,FALSE))</f>
        <v xml:space="preserve"> Х</v>
      </c>
      <c r="J63" s="549"/>
      <c r="K63" s="530"/>
      <c r="L63" s="552"/>
      <c r="M63" s="1076" t="s">
        <v>93</v>
      </c>
      <c r="N63" s="569" t="str">
        <f>IF(N61="","",IF(N61=K60,K62,IF(N61=K62,K60,"Ошибка")))</f>
        <v/>
      </c>
      <c r="O63" s="1077" t="str">
        <f>IF(N63="","",VLOOKUP(N63,'Списки участников'!A:O,3,FALSE))</f>
        <v/>
      </c>
      <c r="P63" s="549"/>
      <c r="Q63" s="885" t="str">
        <f>CONCATENATE(J3+11," ","м")</f>
        <v>36 м</v>
      </c>
      <c r="R63" s="529"/>
      <c r="T63" s="530"/>
      <c r="W63" s="530"/>
      <c r="X63" s="533"/>
      <c r="Y63" s="564"/>
      <c r="AB63" s="530"/>
      <c r="AE63" s="530"/>
    </row>
    <row r="64" spans="4:32" ht="15" customHeight="1" x14ac:dyDescent="0.2">
      <c r="E64" s="530"/>
      <c r="G64" s="1076"/>
      <c r="H64" s="1013"/>
      <c r="I64" s="552"/>
      <c r="J64" s="546" t="s">
        <v>13</v>
      </c>
      <c r="K64" s="572" t="str">
        <f>'ПРФ(16)'!G32</f>
        <v/>
      </c>
      <c r="L64" s="563" t="str">
        <f>IF(K64="","",VLOOKUP(K64,'Списки участников'!A:O,3,FALSE))</f>
        <v/>
      </c>
      <c r="M64" s="549"/>
      <c r="O64" s="552"/>
      <c r="Q64" s="1012"/>
      <c r="R64" s="529"/>
      <c r="T64" s="530"/>
      <c r="W64" s="530"/>
      <c r="Y64" s="530"/>
      <c r="AB64" s="530"/>
      <c r="AC64" s="533"/>
      <c r="AD64" s="543"/>
      <c r="AE64" s="530"/>
      <c r="AF64" s="533"/>
    </row>
    <row r="65" spans="3:32" ht="15" customHeight="1" x14ac:dyDescent="0.2">
      <c r="E65" s="530"/>
      <c r="G65" s="1078" t="s">
        <v>918</v>
      </c>
      <c r="H65" s="565">
        <f>IF(H51="","",IF(H51=E50,E52,IF(H51=E52,E50,"Ошибка")))</f>
        <v>60</v>
      </c>
      <c r="I65" s="563" t="str">
        <f>IF(H65="","",VLOOKUP(H65,'Списки участников'!A:O,3,FALSE))</f>
        <v xml:space="preserve"> Х</v>
      </c>
      <c r="J65" s="551"/>
      <c r="K65" s="1013"/>
      <c r="L65" s="1071" t="str">
        <f>'ПРФ(16)'!R32</f>
        <v/>
      </c>
      <c r="M65" s="553"/>
      <c r="O65" s="552"/>
      <c r="Q65" s="1012"/>
      <c r="R65" s="529"/>
      <c r="T65" s="530"/>
      <c r="W65" s="530"/>
      <c r="X65" s="533"/>
      <c r="Y65" s="564"/>
      <c r="AB65" s="530"/>
      <c r="AE65" s="530"/>
    </row>
    <row r="66" spans="3:32" ht="15" customHeight="1" x14ac:dyDescent="0.2">
      <c r="E66" s="530"/>
      <c r="G66" s="1076"/>
      <c r="H66" s="1013"/>
      <c r="I66" s="552"/>
      <c r="K66" s="1013"/>
      <c r="L66" s="552"/>
      <c r="M66" s="557" t="s">
        <v>31</v>
      </c>
      <c r="N66" s="568" t="str">
        <f>'ПРФ(16)'!G34</f>
        <v/>
      </c>
      <c r="O66" s="1077" t="str">
        <f>IF(N66="","",VLOOKUP(N66,'Списки участников'!A:O,3,FALSE))</f>
        <v/>
      </c>
      <c r="P66" s="549"/>
      <c r="Q66" s="885" t="str">
        <f>CONCATENATE(J3+12," ","м")</f>
        <v>37 м</v>
      </c>
      <c r="R66" s="529"/>
      <c r="T66" s="530"/>
      <c r="W66" s="530"/>
      <c r="Y66" s="530"/>
      <c r="Z66" s="533"/>
      <c r="AB66" s="543"/>
      <c r="AE66" s="530"/>
    </row>
    <row r="67" spans="3:32" ht="15" customHeight="1" x14ac:dyDescent="0.2">
      <c r="E67" s="530"/>
      <c r="G67" s="1078" t="s">
        <v>919</v>
      </c>
      <c r="H67" s="565">
        <f>IF(H55="","",IF(H55=E54,E56,IF(H55=E56,E54,"Ошибка")))</f>
        <v>60</v>
      </c>
      <c r="I67" s="563" t="str">
        <f>IF(H67="","",VLOOKUP(H67,'Списки участников'!A:O,3,FALSE))</f>
        <v xml:space="preserve"> Х</v>
      </c>
      <c r="J67" s="549"/>
      <c r="K67" s="1013"/>
      <c r="L67" s="552"/>
      <c r="M67" s="556"/>
      <c r="O67" s="1071" t="str">
        <f>'ПРФ(16)'!R34</f>
        <v/>
      </c>
      <c r="Q67" s="1012"/>
      <c r="R67" s="529"/>
      <c r="T67" s="530"/>
      <c r="W67" s="530"/>
      <c r="X67" s="533"/>
      <c r="Y67" s="564"/>
      <c r="AB67" s="530"/>
      <c r="AC67" s="529"/>
      <c r="AD67" s="560"/>
      <c r="AE67" s="530"/>
      <c r="AF67" s="533"/>
    </row>
    <row r="68" spans="3:32" ht="15" customHeight="1" x14ac:dyDescent="0.2">
      <c r="E68" s="530"/>
      <c r="G68" s="1076"/>
      <c r="H68" s="1013"/>
      <c r="I68" s="552"/>
      <c r="J68" s="546" t="s">
        <v>32</v>
      </c>
      <c r="K68" s="567" t="str">
        <f>'ПРФ(16)'!G33</f>
        <v/>
      </c>
      <c r="L68" s="563" t="str">
        <f>IF(K68="","",VLOOKUP(K68,'Списки участников'!A:O,3,FALSE))</f>
        <v/>
      </c>
      <c r="M68" s="551"/>
      <c r="O68" s="552"/>
      <c r="Q68" s="1012"/>
      <c r="R68" s="529"/>
      <c r="T68" s="530"/>
      <c r="W68" s="530"/>
      <c r="Y68" s="530"/>
      <c r="AA68" s="533"/>
      <c r="AB68" s="564"/>
      <c r="AE68" s="530"/>
    </row>
    <row r="69" spans="3:32" ht="15" customHeight="1" x14ac:dyDescent="0.2">
      <c r="E69" s="530"/>
      <c r="G69" s="1078" t="s">
        <v>922</v>
      </c>
      <c r="H69" s="565">
        <f>IF(H59="","",IF(H59=E58,E60,IF(H59=E60,E58,"Ошибка")))</f>
        <v>60</v>
      </c>
      <c r="I69" s="563" t="str">
        <f>IF(H69="","",VLOOKUP(H69,'Списки участников'!A:O,3,FALSE))</f>
        <v xml:space="preserve"> Х</v>
      </c>
      <c r="J69" s="551"/>
      <c r="K69" s="530"/>
      <c r="L69" s="1071" t="str">
        <f>'ПРФ(16)'!R33</f>
        <v/>
      </c>
      <c r="M69" s="1076" t="s">
        <v>70</v>
      </c>
      <c r="N69" s="569" t="str">
        <f>IF(N66="","",IF(N66=K64,K68,IF(N66=K68,K64,"Ошибка")))</f>
        <v/>
      </c>
      <c r="O69" s="1077" t="str">
        <f>IF(N69="","",VLOOKUP(N69,'Списки участников'!A:O,3,FALSE))</f>
        <v/>
      </c>
      <c r="P69" s="549"/>
      <c r="Q69" s="885" t="str">
        <f>CONCATENATE(J3+13," ","м")</f>
        <v>38 м</v>
      </c>
      <c r="R69" s="529"/>
      <c r="T69" s="530"/>
      <c r="W69" s="530"/>
      <c r="Y69" s="530"/>
      <c r="AB69" s="530"/>
      <c r="AC69" s="533"/>
      <c r="AD69" s="543"/>
      <c r="AE69" s="530"/>
      <c r="AF69" s="533"/>
    </row>
    <row r="70" spans="3:32" ht="15" customHeight="1" x14ac:dyDescent="0.2">
      <c r="E70" s="530"/>
      <c r="I70" s="552"/>
      <c r="J70" s="1079" t="s">
        <v>882</v>
      </c>
      <c r="K70" s="565" t="str">
        <f>IF(K64="","",IF(K64=H63,H65,IF(K64=H65,H63,"Ошибка")))</f>
        <v/>
      </c>
      <c r="L70" s="563" t="str">
        <f>IF(K70="","",VLOOKUP(K70,'Списки участников'!A:O,3,FALSE))</f>
        <v/>
      </c>
      <c r="M70" s="549"/>
      <c r="O70" s="552"/>
      <c r="Q70" s="1012"/>
      <c r="R70" s="529"/>
      <c r="T70" s="530"/>
      <c r="W70" s="530"/>
      <c r="Y70" s="530"/>
      <c r="AA70" s="533"/>
      <c r="AB70" s="564"/>
      <c r="AE70" s="530"/>
    </row>
    <row r="71" spans="3:32" ht="15" customHeight="1" x14ac:dyDescent="0.2">
      <c r="E71" s="530"/>
      <c r="I71" s="530"/>
      <c r="K71" s="1013"/>
      <c r="L71" s="552"/>
      <c r="M71" s="546" t="s">
        <v>34</v>
      </c>
      <c r="N71" s="568" t="str">
        <f>'ПРФ(16)'!G35</f>
        <v/>
      </c>
      <c r="O71" s="1077" t="str">
        <f>IF(N71="","",VLOOKUP(N71,'Списки участников'!A:O,3,FALSE))</f>
        <v/>
      </c>
      <c r="P71" s="549"/>
      <c r="Q71" s="885" t="str">
        <f>CONCATENATE(J3+14," ","м")</f>
        <v>39 м</v>
      </c>
      <c r="R71" s="529"/>
      <c r="T71" s="530"/>
      <c r="W71" s="530"/>
      <c r="Y71" s="530"/>
      <c r="AB71" s="530"/>
      <c r="AC71" s="529"/>
      <c r="AD71" s="560"/>
      <c r="AE71" s="530"/>
      <c r="AF71" s="533"/>
    </row>
    <row r="72" spans="3:32" ht="15" customHeight="1" x14ac:dyDescent="0.2">
      <c r="E72" s="530"/>
      <c r="I72" s="530"/>
      <c r="J72" s="1078" t="s">
        <v>885</v>
      </c>
      <c r="K72" s="565" t="str">
        <f>IF(K68="","",IF(K68=H67,H69,IF(K68=H69,H67,"Ошибка")))</f>
        <v/>
      </c>
      <c r="L72" s="563" t="str">
        <f>IF(K72="","",VLOOKUP(K72,'Списки участников'!A:O,3,FALSE))</f>
        <v/>
      </c>
      <c r="M72" s="551"/>
      <c r="N72" s="1013"/>
      <c r="O72" s="1071" t="str">
        <f>'ПРФ(16)'!R35</f>
        <v/>
      </c>
      <c r="Q72" s="1012"/>
      <c r="R72" s="529"/>
      <c r="T72" s="530"/>
      <c r="W72" s="530"/>
      <c r="Y72" s="530"/>
      <c r="AB72" s="530"/>
      <c r="AE72" s="530"/>
    </row>
    <row r="73" spans="3:32" ht="15" customHeight="1" x14ac:dyDescent="0.2">
      <c r="E73" s="530"/>
      <c r="I73" s="530"/>
      <c r="K73" s="530"/>
      <c r="L73" s="552"/>
      <c r="M73" s="1076" t="s">
        <v>888</v>
      </c>
      <c r="N73" s="569" t="str">
        <f>IF(N71="","",IF(N71=K70,K72,IF(N71=K72,K70,"Ошибка")))</f>
        <v/>
      </c>
      <c r="O73" s="1077" t="str">
        <f>IF(N73="","",VLOOKUP(N73,'Списки участников'!A:O,3,FALSE))</f>
        <v/>
      </c>
      <c r="P73" s="549"/>
      <c r="Q73" s="885" t="str">
        <f>CONCATENATE(J3+15," ","м")</f>
        <v>40 м</v>
      </c>
      <c r="R73" s="529"/>
      <c r="T73" s="530"/>
      <c r="W73" s="530"/>
      <c r="Y73" s="530"/>
      <c r="AB73" s="530"/>
      <c r="AE73" s="530"/>
    </row>
    <row r="74" spans="3:32" ht="10.35" customHeight="1" x14ac:dyDescent="0.2">
      <c r="H74" s="1145"/>
      <c r="I74" s="1145"/>
      <c r="J74" s="573"/>
      <c r="R74" s="529"/>
      <c r="T74" s="530"/>
      <c r="V74" s="574"/>
      <c r="W74" s="530"/>
      <c r="Y74" s="530"/>
      <c r="AB74" s="530"/>
      <c r="AE74" s="530"/>
    </row>
    <row r="75" spans="3:32" ht="14.25" customHeight="1" x14ac:dyDescent="0.2">
      <c r="C75" s="575" t="s">
        <v>760</v>
      </c>
      <c r="H75" s="1141">
        <f>'Списки участников'!F161</f>
        <v>0</v>
      </c>
      <c r="I75" s="1141"/>
      <c r="J75" s="1141"/>
      <c r="R75" s="529"/>
      <c r="T75" s="530"/>
      <c r="W75" s="530"/>
      <c r="Y75" s="530"/>
      <c r="AB75" s="530"/>
      <c r="AE75" s="530"/>
    </row>
    <row r="76" spans="3:32" ht="10.35" customHeight="1" x14ac:dyDescent="0.2">
      <c r="C76" s="552"/>
      <c r="J76" s="573"/>
      <c r="R76" s="530"/>
      <c r="T76" s="530"/>
      <c r="V76" s="574"/>
      <c r="W76" s="530"/>
      <c r="Y76" s="530"/>
      <c r="AB76" s="530"/>
      <c r="AE76" s="530"/>
    </row>
    <row r="77" spans="3:32" ht="15.75" customHeight="1" x14ac:dyDescent="0.2">
      <c r="C77" s="575" t="s">
        <v>761</v>
      </c>
      <c r="H77" s="1141">
        <f>'Списки участников'!L161</f>
        <v>0</v>
      </c>
      <c r="I77" s="1141"/>
      <c r="J77" s="1141"/>
      <c r="R77" s="530"/>
      <c r="T77" s="530"/>
      <c r="W77" s="530"/>
      <c r="Y77" s="530"/>
      <c r="AB77" s="530"/>
      <c r="AE77" s="530"/>
    </row>
    <row r="78" spans="3:32" ht="10.35" customHeight="1" x14ac:dyDescent="0.2">
      <c r="C78" s="530"/>
      <c r="R78" s="530"/>
      <c r="T78" s="530"/>
      <c r="W78" s="530"/>
      <c r="Y78" s="530"/>
      <c r="AB78" s="530"/>
      <c r="AE78" s="530"/>
    </row>
    <row r="79" spans="3:32" ht="10.35" customHeight="1" x14ac:dyDescent="0.2">
      <c r="R79" s="530"/>
      <c r="T79" s="530"/>
      <c r="W79" s="530"/>
      <c r="Y79" s="530"/>
      <c r="AB79" s="530"/>
      <c r="AE79" s="530"/>
    </row>
    <row r="80" spans="3:32" ht="10.35" customHeight="1" x14ac:dyDescent="0.2">
      <c r="R80" s="530"/>
      <c r="T80" s="530"/>
      <c r="W80" s="530"/>
      <c r="Y80" s="530"/>
      <c r="AB80" s="530"/>
      <c r="AE80" s="530"/>
    </row>
  </sheetData>
  <mergeCells count="7">
    <mergeCell ref="H77:J77"/>
    <mergeCell ref="A1:Q1"/>
    <mergeCell ref="A2:Q2"/>
    <mergeCell ref="A3:E3"/>
    <mergeCell ref="M3:Q3"/>
    <mergeCell ref="H74:I74"/>
    <mergeCell ref="H75:J75"/>
  </mergeCells>
  <conditionalFormatting sqref="B4:B34">
    <cfRule type="duplicateValues" dxfId="19" priority="1"/>
  </conditionalFormatting>
  <pageMargins left="0.59055118110236227" right="0.59055118110236227" top="0" bottom="0.39370078740157483" header="0.39370078740157483" footer="0.51181102362204722"/>
  <pageSetup paperSize="9" scale="70" orientation="portrait" r:id="rId1"/>
  <headerFooter alignWithMargins="0">
    <oddHeader xml:space="preserve">&amp;R
</oddHeader>
  </headerFooter>
  <rowBreaks count="1" manualBreakCount="1">
    <brk id="78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35"/>
  <sheetViews>
    <sheetView topLeftCell="B10" workbookViewId="0">
      <selection activeCell="J30" sqref="J30"/>
    </sheetView>
  </sheetViews>
  <sheetFormatPr defaultRowHeight="12.75" outlineLevelCol="1" x14ac:dyDescent="0.2"/>
  <cols>
    <col min="1" max="1" width="9" style="91" hidden="1" customWidth="1" outlineLevel="1"/>
    <col min="2" max="2" width="5.5" style="91" customWidth="1" collapsed="1"/>
    <col min="3" max="4" width="6.5" style="91" hidden="1" customWidth="1" outlineLevel="1"/>
    <col min="5" max="5" width="24.1640625" style="91" customWidth="1" collapsed="1"/>
    <col min="6" max="6" width="24.1640625" style="91" customWidth="1"/>
    <col min="7" max="7" width="5.5" style="91" hidden="1" customWidth="1" outlineLevel="1"/>
    <col min="8" max="8" width="24.1640625" style="91" customWidth="1" collapsed="1"/>
    <col min="9" max="9" width="24.1640625" style="91" hidden="1" customWidth="1" outlineLevel="1"/>
    <col min="10" max="10" width="6.1640625" style="91" customWidth="1" collapsed="1"/>
    <col min="11" max="16" width="5.6640625" style="91" hidden="1" customWidth="1" outlineLevel="1"/>
    <col min="17" max="17" width="1.33203125" style="91" hidden="1" customWidth="1" outlineLevel="1"/>
    <col min="18" max="18" width="18.5" style="1047" customWidth="1" collapsed="1"/>
    <col min="19" max="16384" width="9.33203125" style="91"/>
  </cols>
  <sheetData>
    <row r="1" spans="1:19" ht="13.5" thickBot="1" x14ac:dyDescent="0.25"/>
    <row r="2" spans="1:19" ht="12.75" customHeight="1" thickBot="1" x14ac:dyDescent="0.25">
      <c r="A2" s="1047">
        <v>0</v>
      </c>
      <c r="B2" s="1155" t="s">
        <v>762</v>
      </c>
      <c r="C2" s="1157" t="s">
        <v>2807</v>
      </c>
      <c r="D2" s="1159" t="s">
        <v>2808</v>
      </c>
      <c r="E2" s="1161" t="s">
        <v>763</v>
      </c>
      <c r="F2" s="1163" t="s">
        <v>763</v>
      </c>
      <c r="G2" s="1014"/>
      <c r="H2" s="1163" t="s">
        <v>764</v>
      </c>
      <c r="I2" s="1146" t="s">
        <v>2809</v>
      </c>
      <c r="J2" s="1148"/>
      <c r="K2" s="1150" t="s">
        <v>2812</v>
      </c>
      <c r="L2" s="1151"/>
      <c r="M2" s="1151"/>
      <c r="N2" s="1151"/>
      <c r="O2" s="1151"/>
      <c r="P2" s="1151"/>
      <c r="Q2" s="1152"/>
      <c r="R2" s="1153" t="s">
        <v>2810</v>
      </c>
    </row>
    <row r="3" spans="1:19" ht="13.5" thickBot="1" x14ac:dyDescent="0.25">
      <c r="A3" s="1047">
        <v>1</v>
      </c>
      <c r="B3" s="1156"/>
      <c r="C3" s="1158"/>
      <c r="D3" s="1160"/>
      <c r="E3" s="1162"/>
      <c r="F3" s="1164"/>
      <c r="G3" s="1015"/>
      <c r="H3" s="1164"/>
      <c r="I3" s="1147"/>
      <c r="J3" s="1149"/>
      <c r="K3" s="1080">
        <v>1</v>
      </c>
      <c r="L3" s="1081">
        <v>2</v>
      </c>
      <c r="M3" s="1081">
        <v>3</v>
      </c>
      <c r="N3" s="1081">
        <v>4</v>
      </c>
      <c r="O3" s="1081">
        <v>5</v>
      </c>
      <c r="P3" s="1081">
        <v>6</v>
      </c>
      <c r="Q3" s="1081">
        <v>7</v>
      </c>
      <c r="R3" s="1154"/>
    </row>
    <row r="4" spans="1:19" ht="15" x14ac:dyDescent="0.2">
      <c r="A4" s="1047">
        <v>2</v>
      </c>
      <c r="B4" s="344">
        <v>1</v>
      </c>
      <c r="C4" s="1049">
        <f>'Ф(16)'!B4</f>
        <v>5</v>
      </c>
      <c r="D4" s="1050">
        <f>'Ф(16)'!B6</f>
        <v>60</v>
      </c>
      <c r="E4" s="145" t="str">
        <f>IF(C4="","",VLOOKUP(C4,'Списки участников'!$A:$S,3,FALSE))</f>
        <v>АСТАПОВ Андрей</v>
      </c>
      <c r="F4" s="145" t="str">
        <f>IF(D4="","",VLOOKUP(D4,'Списки участников'!$A:$S,3,FALSE))</f>
        <v xml:space="preserve"> Х</v>
      </c>
      <c r="G4" s="1051">
        <f>IF(H4="","",IF(H4=E4,C4,D4))</f>
        <v>5</v>
      </c>
      <c r="H4" s="1052" t="s">
        <v>2767</v>
      </c>
      <c r="I4" s="1016"/>
      <c r="J4" s="1058"/>
      <c r="K4" s="1058"/>
      <c r="L4" s="1058"/>
      <c r="M4" s="1058"/>
      <c r="N4" s="1058"/>
      <c r="O4" s="1058"/>
      <c r="P4" s="1058"/>
      <c r="Q4" s="1058"/>
      <c r="R4" s="1055" t="str">
        <f>IF(J4="","",IF(J4="W",CONCATENATE(J4,":","L"),CONCATENATE(3,":",J4)))</f>
        <v/>
      </c>
      <c r="S4" s="1047">
        <f>IF(K4&gt;0,1,0)+IF(L4&gt;0,1,0)+IF(M4&gt;0,1,0)+IF(N4&gt;0,1,0)+IF(O4&gt;0,1,0)+IF(P4&gt;0,1,0)+IF(Q4&gt;0,1,0)</f>
        <v>0</v>
      </c>
    </row>
    <row r="5" spans="1:19" ht="15" x14ac:dyDescent="0.2">
      <c r="A5" s="1047">
        <v>3</v>
      </c>
      <c r="B5" s="156">
        <v>2</v>
      </c>
      <c r="C5" s="1082">
        <f>'Ф(16)'!B8</f>
        <v>41</v>
      </c>
      <c r="D5" s="1057">
        <f>'Ф(16)'!B10</f>
        <v>23</v>
      </c>
      <c r="E5" s="145" t="str">
        <f>IF(C5="","",VLOOKUP(C5,'Списки участников'!$A:$S,3,FALSE))</f>
        <v>ГЛЕБОВ Игорь</v>
      </c>
      <c r="F5" s="145" t="str">
        <f>IF(D5="","",VLOOKUP(D5,'Списки участников'!$A:$S,3,FALSE))</f>
        <v>КОРНИЛАЕВ Михаил</v>
      </c>
      <c r="G5" s="145">
        <f t="shared" ref="G5:G35" si="0">IF(H5="","",IF(H5=E5,C5,D5))</f>
        <v>23</v>
      </c>
      <c r="H5" s="163" t="s">
        <v>2779</v>
      </c>
      <c r="I5" s="163" t="str">
        <f>IF(H5="","",IF(H5=E5,F5,E5))</f>
        <v>ГЛЕБОВ Игорь</v>
      </c>
      <c r="J5" s="1058">
        <v>0</v>
      </c>
      <c r="K5" s="1058"/>
      <c r="L5" s="1058"/>
      <c r="M5" s="1058"/>
      <c r="N5" s="1058"/>
      <c r="O5" s="1058"/>
      <c r="P5" s="1058"/>
      <c r="Q5" s="1058"/>
      <c r="R5" s="1055" t="str">
        <f t="shared" ref="R5:R35" si="1">IF(J5="","",IF(J5="W",CONCATENATE(J5,":","L"),CONCATENATE(3,":",J5)))</f>
        <v>3:0</v>
      </c>
      <c r="S5" s="1047">
        <f t="shared" ref="S5:S35" si="2">IF(K5&gt;0,1,0)+IF(L5&gt;0,1,0)+IF(M5&gt;0,1,0)+IF(N5&gt;0,1,0)+IF(O5&gt;0,1,0)+IF(P5&gt;0,1,0)+IF(Q5&gt;0,1,0)</f>
        <v>0</v>
      </c>
    </row>
    <row r="6" spans="1:19" ht="15" x14ac:dyDescent="0.2">
      <c r="A6" s="1047" t="s">
        <v>2811</v>
      </c>
      <c r="B6" s="156">
        <v>3</v>
      </c>
      <c r="C6" s="1082">
        <f>'Ф(16)'!B12</f>
        <v>29</v>
      </c>
      <c r="D6" s="1057">
        <f>'Ф(16)'!B14</f>
        <v>15</v>
      </c>
      <c r="E6" s="145" t="str">
        <f>IF(C6="","",VLOOKUP(C6,'Списки участников'!$A:$S,3,FALSE))</f>
        <v>МУХАМЕТЖАНОВ Сайяр</v>
      </c>
      <c r="F6" s="145" t="str">
        <f>IF(D6="","",VLOOKUP(D6,'Списки участников'!$A:$S,3,FALSE))</f>
        <v>ГРАЧЕВ Дмитрий</v>
      </c>
      <c r="G6" s="145">
        <f t="shared" si="0"/>
        <v>15</v>
      </c>
      <c r="H6" s="163" t="s">
        <v>2733</v>
      </c>
      <c r="I6" s="163" t="str">
        <f t="shared" ref="I6:I35" si="3">IF(H6="","",IF(H6=E6,F6,E6))</f>
        <v>МУХАМЕТЖАНОВ Сайяр</v>
      </c>
      <c r="J6" s="1058">
        <v>1</v>
      </c>
      <c r="K6" s="1058"/>
      <c r="L6" s="1058"/>
      <c r="M6" s="1058"/>
      <c r="N6" s="1058"/>
      <c r="O6" s="1058"/>
      <c r="P6" s="1058"/>
      <c r="Q6" s="1058"/>
      <c r="R6" s="1055" t="str">
        <f t="shared" si="1"/>
        <v>3:1</v>
      </c>
      <c r="S6" s="1047">
        <f t="shared" si="2"/>
        <v>0</v>
      </c>
    </row>
    <row r="7" spans="1:19" ht="15" x14ac:dyDescent="0.2">
      <c r="B7" s="156">
        <v>4</v>
      </c>
      <c r="C7" s="1082">
        <f>'Ф(16)'!B16</f>
        <v>60</v>
      </c>
      <c r="D7" s="1057">
        <f>'Ф(16)'!B18</f>
        <v>9</v>
      </c>
      <c r="E7" s="145" t="str">
        <f>IF(C7="","",VLOOKUP(C7,'Списки участников'!$A:$S,3,FALSE))</f>
        <v xml:space="preserve"> Х</v>
      </c>
      <c r="F7" s="145" t="str">
        <f>IF(D7="","",VLOOKUP(D7,'Списки участников'!$A:$S,3,FALSE))</f>
        <v>ШИРЯЕВ Петр</v>
      </c>
      <c r="G7" s="145">
        <f t="shared" si="0"/>
        <v>9</v>
      </c>
      <c r="H7" s="163" t="s">
        <v>2716</v>
      </c>
      <c r="I7" s="163" t="str">
        <f t="shared" si="3"/>
        <v xml:space="preserve"> Х</v>
      </c>
      <c r="J7" s="1058"/>
      <c r="K7" s="1058"/>
      <c r="L7" s="1058"/>
      <c r="M7" s="1058"/>
      <c r="N7" s="1058"/>
      <c r="O7" s="1058"/>
      <c r="P7" s="1058"/>
      <c r="Q7" s="1058"/>
      <c r="R7" s="1055" t="str">
        <f t="shared" si="1"/>
        <v/>
      </c>
      <c r="S7" s="1047">
        <f t="shared" si="2"/>
        <v>0</v>
      </c>
    </row>
    <row r="8" spans="1:19" ht="15" x14ac:dyDescent="0.2">
      <c r="B8" s="156">
        <v>5</v>
      </c>
      <c r="C8" s="1082">
        <f>'Ф(16)'!B20</f>
        <v>7</v>
      </c>
      <c r="D8" s="1057">
        <f>'Ф(16)'!B22</f>
        <v>60</v>
      </c>
      <c r="E8" s="145" t="str">
        <f>IF(C8="","",VLOOKUP(C8,'Списки участников'!$A:$S,3,FALSE))</f>
        <v>АСТАПОВ Дмитрий</v>
      </c>
      <c r="F8" s="145" t="str">
        <f>IF(D8="","",VLOOKUP(D8,'Списки участников'!$A:$S,3,FALSE))</f>
        <v xml:space="preserve"> Х</v>
      </c>
      <c r="G8" s="145">
        <f t="shared" si="0"/>
        <v>7</v>
      </c>
      <c r="H8" s="163" t="s">
        <v>2768</v>
      </c>
      <c r="I8" s="163" t="str">
        <f t="shared" si="3"/>
        <v xml:space="preserve"> Х</v>
      </c>
      <c r="J8" s="1058"/>
      <c r="K8" s="1058"/>
      <c r="L8" s="1058"/>
      <c r="M8" s="1058"/>
      <c r="N8" s="1058"/>
      <c r="O8" s="1058"/>
      <c r="P8" s="1058"/>
      <c r="Q8" s="1058"/>
      <c r="R8" s="1055" t="str">
        <f t="shared" si="1"/>
        <v/>
      </c>
      <c r="S8" s="1047">
        <f t="shared" si="2"/>
        <v>0</v>
      </c>
    </row>
    <row r="9" spans="1:19" ht="15" x14ac:dyDescent="0.2">
      <c r="B9" s="156">
        <v>6</v>
      </c>
      <c r="C9" s="1082">
        <f>'Ф(16)'!B24</f>
        <v>47</v>
      </c>
      <c r="D9" s="1057">
        <f>'Ф(16)'!B26</f>
        <v>30</v>
      </c>
      <c r="E9" s="145" t="str">
        <f>IF(C9="","",VLOOKUP(C9,'Списки участников'!$A:$S,3,FALSE))</f>
        <v>БЕЛОУС Денис</v>
      </c>
      <c r="F9" s="145" t="str">
        <f>IF(D9="","",VLOOKUP(D9,'Списки участников'!$A:$S,3,FALSE))</f>
        <v>ВОЛКОВ Евгений</v>
      </c>
      <c r="G9" s="145">
        <f t="shared" si="0"/>
        <v>47</v>
      </c>
      <c r="H9" s="163" t="s">
        <v>2777</v>
      </c>
      <c r="I9" s="163" t="str">
        <f t="shared" si="3"/>
        <v>ВОЛКОВ Евгений</v>
      </c>
      <c r="J9" s="1058">
        <v>0</v>
      </c>
      <c r="K9" s="1058"/>
      <c r="L9" s="1058"/>
      <c r="M9" s="1058"/>
      <c r="N9" s="1058"/>
      <c r="O9" s="1058"/>
      <c r="P9" s="1058"/>
      <c r="Q9" s="1058"/>
      <c r="R9" s="1055" t="str">
        <f t="shared" si="1"/>
        <v>3:0</v>
      </c>
      <c r="S9" s="1047">
        <f t="shared" si="2"/>
        <v>0</v>
      </c>
    </row>
    <row r="10" spans="1:19" ht="15" x14ac:dyDescent="0.2">
      <c r="B10" s="156">
        <v>7</v>
      </c>
      <c r="C10" s="1082">
        <f>'Ф(16)'!B28</f>
        <v>31</v>
      </c>
      <c r="D10" s="1057">
        <f>'Ф(16)'!B30</f>
        <v>10</v>
      </c>
      <c r="E10" s="145" t="str">
        <f>IF(C10="","",VLOOKUP(C10,'Списки участников'!$A:$S,3,FALSE))</f>
        <v>ПЕТУХОВ Николай</v>
      </c>
      <c r="F10" s="145" t="str">
        <f>IF(D10="","",VLOOKUP(D10,'Списки участников'!$A:$S,3,FALSE))</f>
        <v>ЕРАСТОВ Андрей</v>
      </c>
      <c r="G10" s="145">
        <f t="shared" si="0"/>
        <v>10</v>
      </c>
      <c r="H10" s="163" t="s">
        <v>2747</v>
      </c>
      <c r="I10" s="163" t="str">
        <f t="shared" si="3"/>
        <v>ПЕТУХОВ Николай</v>
      </c>
      <c r="J10" s="1058">
        <v>0</v>
      </c>
      <c r="K10" s="1058"/>
      <c r="L10" s="1058"/>
      <c r="M10" s="1058"/>
      <c r="N10" s="1058"/>
      <c r="O10" s="1058"/>
      <c r="P10" s="1058"/>
      <c r="Q10" s="1058"/>
      <c r="R10" s="1055" t="str">
        <f t="shared" si="1"/>
        <v>3:0</v>
      </c>
      <c r="S10" s="1047">
        <f t="shared" si="2"/>
        <v>0</v>
      </c>
    </row>
    <row r="11" spans="1:19" ht="15" x14ac:dyDescent="0.2">
      <c r="A11" s="164"/>
      <c r="B11" s="156">
        <v>8</v>
      </c>
      <c r="C11" s="1082">
        <f>'Ф(16)'!B32</f>
        <v>60</v>
      </c>
      <c r="D11" s="1082">
        <f>'Ф(16)'!B34</f>
        <v>3</v>
      </c>
      <c r="E11" s="145" t="str">
        <f>IF(C11="","",VLOOKUP(C11,'Списки участников'!$A:$S,3,FALSE))</f>
        <v xml:space="preserve"> Х</v>
      </c>
      <c r="F11" s="145" t="str">
        <f>IF(D11="","",VLOOKUP(D11,'Списки участников'!$A:$S,3,FALSE))</f>
        <v>СОКОЛОВ Дмитрий</v>
      </c>
      <c r="G11" s="145">
        <f t="shared" si="0"/>
        <v>3</v>
      </c>
      <c r="H11" s="163" t="s">
        <v>2774</v>
      </c>
      <c r="I11" s="163" t="str">
        <f t="shared" si="3"/>
        <v xml:space="preserve"> Х</v>
      </c>
      <c r="J11" s="1058"/>
      <c r="K11" s="1058"/>
      <c r="L11" s="1058"/>
      <c r="M11" s="1058"/>
      <c r="N11" s="1058"/>
      <c r="O11" s="1058"/>
      <c r="P11" s="1058"/>
      <c r="Q11" s="1058"/>
      <c r="R11" s="1055" t="str">
        <f t="shared" si="1"/>
        <v/>
      </c>
      <c r="S11" s="1047">
        <f t="shared" si="2"/>
        <v>0</v>
      </c>
    </row>
    <row r="12" spans="1:19" ht="15" x14ac:dyDescent="0.2">
      <c r="B12" s="156">
        <v>9</v>
      </c>
      <c r="C12" s="196">
        <f>IF(H4="","",IF(H4=E4,C4,D4))</f>
        <v>5</v>
      </c>
      <c r="D12" s="196">
        <f>IF(H5="","",IF(H5=E5,C5,D5))</f>
        <v>23</v>
      </c>
      <c r="E12" s="145" t="str">
        <f>IF(C12="","",VLOOKUP(C12,'Списки участников'!$A:$S,3,FALSE))</f>
        <v>АСТАПОВ Андрей</v>
      </c>
      <c r="F12" s="145" t="str">
        <f>IF(D12="","",VLOOKUP(D12,'Списки участников'!$A:$S,3,FALSE))</f>
        <v>КОРНИЛАЕВ Михаил</v>
      </c>
      <c r="G12" s="145">
        <f t="shared" si="0"/>
        <v>5</v>
      </c>
      <c r="H12" s="163" t="s">
        <v>2767</v>
      </c>
      <c r="I12" s="163" t="str">
        <f t="shared" si="3"/>
        <v>КОРНИЛАЕВ Михаил</v>
      </c>
      <c r="J12" s="1058">
        <v>0</v>
      </c>
      <c r="K12" s="1058"/>
      <c r="L12" s="1058"/>
      <c r="M12" s="1058"/>
      <c r="N12" s="1058"/>
      <c r="O12" s="1058"/>
      <c r="P12" s="1058"/>
      <c r="Q12" s="1058"/>
      <c r="R12" s="1055" t="str">
        <f t="shared" si="1"/>
        <v>3:0</v>
      </c>
      <c r="S12" s="1047">
        <f t="shared" si="2"/>
        <v>0</v>
      </c>
    </row>
    <row r="13" spans="1:19" ht="15" x14ac:dyDescent="0.2">
      <c r="B13" s="156">
        <v>10</v>
      </c>
      <c r="C13" s="196">
        <f>IF(H6="","",IF(H6=E6,C6,D6))</f>
        <v>15</v>
      </c>
      <c r="D13" s="196">
        <f>IF(H7="","",IF(H7=E7,C7,D7))</f>
        <v>9</v>
      </c>
      <c r="E13" s="145" t="str">
        <f>IF(C13="","",VLOOKUP(C13,'Списки участников'!$A:$S,3,FALSE))</f>
        <v>ГРАЧЕВ Дмитрий</v>
      </c>
      <c r="F13" s="145" t="str">
        <f>IF(D13="","",VLOOKUP(D13,'Списки участников'!$A:$S,3,FALSE))</f>
        <v>ШИРЯЕВ Петр</v>
      </c>
      <c r="G13" s="145">
        <f t="shared" si="0"/>
        <v>9</v>
      </c>
      <c r="H13" s="163" t="s">
        <v>2716</v>
      </c>
      <c r="I13" s="163" t="str">
        <f t="shared" si="3"/>
        <v>ГРАЧЕВ Дмитрий</v>
      </c>
      <c r="J13" s="1058">
        <v>0</v>
      </c>
      <c r="K13" s="1058"/>
      <c r="L13" s="1058"/>
      <c r="M13" s="1058"/>
      <c r="N13" s="1058"/>
      <c r="O13" s="1058"/>
      <c r="P13" s="1058"/>
      <c r="Q13" s="1058"/>
      <c r="R13" s="1055" t="str">
        <f t="shared" si="1"/>
        <v>3:0</v>
      </c>
      <c r="S13" s="1047">
        <f t="shared" si="2"/>
        <v>0</v>
      </c>
    </row>
    <row r="14" spans="1:19" ht="15" x14ac:dyDescent="0.2">
      <c r="B14" s="156">
        <v>11</v>
      </c>
      <c r="C14" s="196">
        <f>IF(H8="","",IF(H8=E8,C8,D8))</f>
        <v>7</v>
      </c>
      <c r="D14" s="196">
        <f>IF(H9="","",IF(H9=E9,C9,D9))</f>
        <v>47</v>
      </c>
      <c r="E14" s="145" t="str">
        <f>IF(C14="","",VLOOKUP(C14,'Списки участников'!$A:$S,3,FALSE))</f>
        <v>АСТАПОВ Дмитрий</v>
      </c>
      <c r="F14" s="145" t="str">
        <f>IF(D14="","",VLOOKUP(D14,'Списки участников'!$A:$S,3,FALSE))</f>
        <v>БЕЛОУС Денис</v>
      </c>
      <c r="G14" s="145">
        <f t="shared" si="0"/>
        <v>47</v>
      </c>
      <c r="H14" s="163" t="s">
        <v>2777</v>
      </c>
      <c r="I14" s="163" t="str">
        <f t="shared" si="3"/>
        <v>АСТАПОВ Дмитрий</v>
      </c>
      <c r="J14" s="1058">
        <v>0</v>
      </c>
      <c r="K14" s="1058"/>
      <c r="L14" s="1058"/>
      <c r="M14" s="1058"/>
      <c r="N14" s="1058"/>
      <c r="O14" s="1058"/>
      <c r="P14" s="1058"/>
      <c r="Q14" s="1058"/>
      <c r="R14" s="1055" t="str">
        <f t="shared" si="1"/>
        <v>3:0</v>
      </c>
      <c r="S14" s="1047">
        <f t="shared" si="2"/>
        <v>0</v>
      </c>
    </row>
    <row r="15" spans="1:19" ht="15" x14ac:dyDescent="0.2">
      <c r="B15" s="156">
        <v>12</v>
      </c>
      <c r="C15" s="196">
        <f>IF(H10="","",IF(H10=E10,C10,D10))</f>
        <v>10</v>
      </c>
      <c r="D15" s="196">
        <f>IF(H11="","",IF(H11=E11,C11,D11))</f>
        <v>3</v>
      </c>
      <c r="E15" s="145" t="str">
        <f>IF(C15="","",VLOOKUP(C15,'Списки участников'!$A:$S,3,FALSE))</f>
        <v>ЕРАСТОВ Андрей</v>
      </c>
      <c r="F15" s="145" t="str">
        <f>IF(D15="","",VLOOKUP(D15,'Списки участников'!$A:$S,3,FALSE))</f>
        <v>СОКОЛОВ Дмитрий</v>
      </c>
      <c r="G15" s="145">
        <f t="shared" si="0"/>
        <v>3</v>
      </c>
      <c r="H15" s="163" t="s">
        <v>2774</v>
      </c>
      <c r="I15" s="163" t="str">
        <f t="shared" si="3"/>
        <v>ЕРАСТОВ Андрей</v>
      </c>
      <c r="J15" s="1058">
        <v>1</v>
      </c>
      <c r="K15" s="1058"/>
      <c r="L15" s="1058"/>
      <c r="M15" s="1058"/>
      <c r="N15" s="1058"/>
      <c r="O15" s="1058"/>
      <c r="P15" s="1058"/>
      <c r="Q15" s="1058"/>
      <c r="R15" s="1055" t="str">
        <f t="shared" si="1"/>
        <v>3:1</v>
      </c>
      <c r="S15" s="1047">
        <f t="shared" si="2"/>
        <v>0</v>
      </c>
    </row>
    <row r="16" spans="1:19" ht="15" x14ac:dyDescent="0.2">
      <c r="B16" s="156">
        <v>13</v>
      </c>
      <c r="C16" s="196">
        <f>IF(H12="","",IF(H12=E12,C12,D12))</f>
        <v>5</v>
      </c>
      <c r="D16" s="196">
        <f>IF(H13="","",IF(H13=E13,C13,D13))</f>
        <v>9</v>
      </c>
      <c r="E16" s="145" t="str">
        <f>IF(C16="","",VLOOKUP(C16,'Списки участников'!$A:$S,3,FALSE))</f>
        <v>АСТАПОВ Андрей</v>
      </c>
      <c r="F16" s="145" t="str">
        <f>IF(D16="","",VLOOKUP(D16,'Списки участников'!$A:$S,3,FALSE))</f>
        <v>ШИРЯЕВ Петр</v>
      </c>
      <c r="G16" s="145">
        <f t="shared" si="0"/>
        <v>5</v>
      </c>
      <c r="H16" s="163" t="s">
        <v>2767</v>
      </c>
      <c r="I16" s="163" t="str">
        <f t="shared" si="3"/>
        <v>ШИРЯЕВ Петр</v>
      </c>
      <c r="J16" s="1058">
        <v>1</v>
      </c>
      <c r="K16" s="1058"/>
      <c r="L16" s="1058"/>
      <c r="M16" s="1058"/>
      <c r="N16" s="1058"/>
      <c r="O16" s="1058"/>
      <c r="P16" s="1058"/>
      <c r="Q16" s="1058"/>
      <c r="R16" s="1055" t="str">
        <f t="shared" si="1"/>
        <v>3:1</v>
      </c>
      <c r="S16" s="1047">
        <f t="shared" si="2"/>
        <v>0</v>
      </c>
    </row>
    <row r="17" spans="2:19" ht="15" x14ac:dyDescent="0.2">
      <c r="B17" s="156">
        <v>14</v>
      </c>
      <c r="C17" s="196">
        <f>IF(H14="","",IF(H14=E14,C14,D14))</f>
        <v>47</v>
      </c>
      <c r="D17" s="196">
        <f>IF(H15="","",IF(H15=E15,C15,D15))</f>
        <v>3</v>
      </c>
      <c r="E17" s="145" t="str">
        <f>IF(C17="","",VLOOKUP(C17,'Списки участников'!$A:$S,3,FALSE))</f>
        <v>БЕЛОУС Денис</v>
      </c>
      <c r="F17" s="145" t="str">
        <f>IF(D17="","",VLOOKUP(D17,'Списки участников'!$A:$S,3,FALSE))</f>
        <v>СОКОЛОВ Дмитрий</v>
      </c>
      <c r="G17" s="145">
        <f t="shared" si="0"/>
        <v>47</v>
      </c>
      <c r="H17" s="163" t="s">
        <v>2777</v>
      </c>
      <c r="I17" s="163" t="str">
        <f t="shared" si="3"/>
        <v>СОКОЛОВ Дмитрий</v>
      </c>
      <c r="J17" s="1058">
        <v>0</v>
      </c>
      <c r="K17" s="1058"/>
      <c r="L17" s="1058"/>
      <c r="M17" s="1058"/>
      <c r="N17" s="1058"/>
      <c r="O17" s="1058"/>
      <c r="P17" s="1058"/>
      <c r="Q17" s="1058"/>
      <c r="R17" s="1055" t="str">
        <f t="shared" si="1"/>
        <v>3:0</v>
      </c>
      <c r="S17" s="1047">
        <f t="shared" si="2"/>
        <v>0</v>
      </c>
    </row>
    <row r="18" spans="2:19" ht="15" x14ac:dyDescent="0.2">
      <c r="B18" s="156">
        <v>15</v>
      </c>
      <c r="C18" s="196">
        <f>IF(H16="","",IF(H16=E16,C16,D16))</f>
        <v>5</v>
      </c>
      <c r="D18" s="196">
        <f>IF(H17="","",IF(H17=E17,C17,D17))</f>
        <v>47</v>
      </c>
      <c r="E18" s="145" t="str">
        <f>IF(C18="","",VLOOKUP(C18,'Списки участников'!$A:$S,3,FALSE))</f>
        <v>АСТАПОВ Андрей</v>
      </c>
      <c r="F18" s="145" t="str">
        <f>IF(D18="","",VLOOKUP(D18,'Списки участников'!$A:$S,3,FALSE))</f>
        <v>БЕЛОУС Денис</v>
      </c>
      <c r="G18" s="145">
        <f t="shared" si="0"/>
        <v>5</v>
      </c>
      <c r="H18" s="163" t="s">
        <v>2767</v>
      </c>
      <c r="I18" s="163" t="str">
        <f t="shared" si="3"/>
        <v>БЕЛОУС Денис</v>
      </c>
      <c r="J18" s="1058">
        <v>1</v>
      </c>
      <c r="K18" s="1058"/>
      <c r="L18" s="1058"/>
      <c r="M18" s="1058"/>
      <c r="N18" s="1058"/>
      <c r="O18" s="1058"/>
      <c r="P18" s="1058"/>
      <c r="Q18" s="1058"/>
      <c r="R18" s="1055" t="str">
        <f t="shared" si="1"/>
        <v>3:1</v>
      </c>
      <c r="S18" s="1047">
        <f t="shared" si="2"/>
        <v>0</v>
      </c>
    </row>
    <row r="19" spans="2:19" ht="15" x14ac:dyDescent="0.2">
      <c r="B19" s="156">
        <v>16</v>
      </c>
      <c r="C19" s="157">
        <f>IF(H16="","",IF(H16=E16,D16,C16))</f>
        <v>9</v>
      </c>
      <c r="D19" s="157">
        <f>IF(H17="","",IF(H17=E17,D17,C17))</f>
        <v>3</v>
      </c>
      <c r="E19" s="145" t="str">
        <f>IF(C19="","",VLOOKUP(C19,'Списки участников'!$A:$S,3,FALSE))</f>
        <v>ШИРЯЕВ Петр</v>
      </c>
      <c r="F19" s="145" t="str">
        <f>IF(D19="","",VLOOKUP(D19,'Списки участников'!$A:$S,3,FALSE))</f>
        <v>СОКОЛОВ Дмитрий</v>
      </c>
      <c r="G19" s="145">
        <f t="shared" si="0"/>
        <v>9</v>
      </c>
      <c r="H19" s="163" t="s">
        <v>2716</v>
      </c>
      <c r="I19" s="163" t="str">
        <f t="shared" si="3"/>
        <v>СОКОЛОВ Дмитрий</v>
      </c>
      <c r="J19" s="1058">
        <v>0</v>
      </c>
      <c r="K19" s="1058"/>
      <c r="L19" s="1058"/>
      <c r="M19" s="1058"/>
      <c r="N19" s="1058"/>
      <c r="O19" s="1058"/>
      <c r="P19" s="1058"/>
      <c r="Q19" s="1058"/>
      <c r="R19" s="1055" t="str">
        <f t="shared" si="1"/>
        <v>3:0</v>
      </c>
      <c r="S19" s="1047">
        <f t="shared" si="2"/>
        <v>0</v>
      </c>
    </row>
    <row r="20" spans="2:19" ht="15" x14ac:dyDescent="0.2">
      <c r="B20" s="156">
        <v>17</v>
      </c>
      <c r="C20" s="157">
        <f>IF(H12="","",IF(H12=E12,D12,C12))</f>
        <v>23</v>
      </c>
      <c r="D20" s="157">
        <f>IF(H13="","",IF(H13=E13,D13,C13))</f>
        <v>15</v>
      </c>
      <c r="E20" s="145" t="str">
        <f>IF(C20="","",VLOOKUP(C20,'Списки участников'!$A:$S,3,FALSE))</f>
        <v>КОРНИЛАЕВ Михаил</v>
      </c>
      <c r="F20" s="145" t="str">
        <f>IF(D20="","",VLOOKUP(D20,'Списки участников'!$A:$S,3,FALSE))</f>
        <v>ГРАЧЕВ Дмитрий</v>
      </c>
      <c r="G20" s="145">
        <f t="shared" si="0"/>
        <v>15</v>
      </c>
      <c r="H20" s="163" t="s">
        <v>2733</v>
      </c>
      <c r="I20" s="163" t="str">
        <f t="shared" si="3"/>
        <v>КОРНИЛАЕВ Михаил</v>
      </c>
      <c r="J20" s="1058">
        <v>0</v>
      </c>
      <c r="K20" s="1058"/>
      <c r="L20" s="1058"/>
      <c r="M20" s="1058"/>
      <c r="N20" s="1058"/>
      <c r="O20" s="1058"/>
      <c r="P20" s="1058"/>
      <c r="Q20" s="1058"/>
      <c r="R20" s="1055" t="str">
        <f t="shared" si="1"/>
        <v>3:0</v>
      </c>
      <c r="S20" s="1047">
        <f t="shared" si="2"/>
        <v>0</v>
      </c>
    </row>
    <row r="21" spans="2:19" ht="15" x14ac:dyDescent="0.2">
      <c r="B21" s="156">
        <v>18</v>
      </c>
      <c r="C21" s="157">
        <f>IF(H14="","",IF(H14=E14,D14,C14))</f>
        <v>7</v>
      </c>
      <c r="D21" s="157">
        <f>IF(H15="","",IF(H15=E15,D15,C15))</f>
        <v>10</v>
      </c>
      <c r="E21" s="145" t="str">
        <f>IF(C21="","",VLOOKUP(C21,'Списки участников'!$A:$S,3,FALSE))</f>
        <v>АСТАПОВ Дмитрий</v>
      </c>
      <c r="F21" s="145" t="str">
        <f>IF(D21="","",VLOOKUP(D21,'Списки участников'!$A:$S,3,FALSE))</f>
        <v>ЕРАСТОВ Андрей</v>
      </c>
      <c r="G21" s="145">
        <f t="shared" si="0"/>
        <v>7</v>
      </c>
      <c r="H21" s="163" t="s">
        <v>2768</v>
      </c>
      <c r="I21" s="163" t="str">
        <f t="shared" si="3"/>
        <v>ЕРАСТОВ Андрей</v>
      </c>
      <c r="J21" s="1058">
        <v>1</v>
      </c>
      <c r="K21" s="1058"/>
      <c r="L21" s="1058"/>
      <c r="M21" s="1058"/>
      <c r="N21" s="1058"/>
      <c r="O21" s="1058"/>
      <c r="P21" s="1058"/>
      <c r="Q21" s="1058"/>
      <c r="R21" s="1055" t="str">
        <f t="shared" si="1"/>
        <v>3:1</v>
      </c>
      <c r="S21" s="1047">
        <f t="shared" si="2"/>
        <v>0</v>
      </c>
    </row>
    <row r="22" spans="2:19" ht="15" x14ac:dyDescent="0.2">
      <c r="B22" s="156">
        <v>19</v>
      </c>
      <c r="C22" s="196">
        <f>IF(H20="","",IF(H20=E20,C20,D20))</f>
        <v>15</v>
      </c>
      <c r="D22" s="196">
        <f>IF(H21="","",IF(H21=E21,C21,D21))</f>
        <v>7</v>
      </c>
      <c r="E22" s="145" t="str">
        <f>IF(C22="","",VLOOKUP(C22,'Списки участников'!$A:$S,3,FALSE))</f>
        <v>ГРАЧЕВ Дмитрий</v>
      </c>
      <c r="F22" s="145" t="str">
        <f>IF(D22="","",VLOOKUP(D22,'Списки участников'!$A:$S,3,FALSE))</f>
        <v>АСТАПОВ Дмитрий</v>
      </c>
      <c r="G22" s="145">
        <f t="shared" si="0"/>
        <v>7</v>
      </c>
      <c r="H22" s="163" t="s">
        <v>2768</v>
      </c>
      <c r="I22" s="163" t="str">
        <f t="shared" si="3"/>
        <v>ГРАЧЕВ Дмитрий</v>
      </c>
      <c r="J22" s="1058">
        <v>1</v>
      </c>
      <c r="K22" s="1058"/>
      <c r="L22" s="1058"/>
      <c r="M22" s="1058"/>
      <c r="N22" s="1058"/>
      <c r="O22" s="1058"/>
      <c r="P22" s="1058"/>
      <c r="Q22" s="1058"/>
      <c r="R22" s="1055" t="str">
        <f t="shared" si="1"/>
        <v>3:1</v>
      </c>
      <c r="S22" s="1047">
        <f t="shared" si="2"/>
        <v>0</v>
      </c>
    </row>
    <row r="23" spans="2:19" ht="15" x14ac:dyDescent="0.2">
      <c r="B23" s="156">
        <v>20</v>
      </c>
      <c r="C23" s="157">
        <f>IF(H20="","",IF(H20=E20,D20,C20))</f>
        <v>23</v>
      </c>
      <c r="D23" s="157">
        <f>IF(H21="","",IF(H21=E21,D21,C21))</f>
        <v>10</v>
      </c>
      <c r="E23" s="145" t="str">
        <f>IF(C23="","",VLOOKUP(C23,'Списки участников'!$A:$S,3,FALSE))</f>
        <v>КОРНИЛАЕВ Михаил</v>
      </c>
      <c r="F23" s="145" t="str">
        <f>IF(D23="","",VLOOKUP(D23,'Списки участников'!$A:$S,3,FALSE))</f>
        <v>ЕРАСТОВ Андрей</v>
      </c>
      <c r="G23" s="145">
        <f t="shared" si="0"/>
        <v>23</v>
      </c>
      <c r="H23" s="163" t="s">
        <v>2779</v>
      </c>
      <c r="I23" s="163" t="str">
        <f t="shared" si="3"/>
        <v>ЕРАСТОВ Андрей</v>
      </c>
      <c r="J23" s="1058">
        <v>1</v>
      </c>
      <c r="K23" s="1058"/>
      <c r="L23" s="1058"/>
      <c r="M23" s="1058"/>
      <c r="N23" s="1058"/>
      <c r="O23" s="1058"/>
      <c r="P23" s="1058"/>
      <c r="Q23" s="1058"/>
      <c r="R23" s="1055" t="str">
        <f t="shared" si="1"/>
        <v>3:1</v>
      </c>
      <c r="S23" s="1047">
        <f t="shared" si="2"/>
        <v>0</v>
      </c>
    </row>
    <row r="24" spans="2:19" ht="15" x14ac:dyDescent="0.2">
      <c r="B24" s="156">
        <v>21</v>
      </c>
      <c r="C24" s="157">
        <f>IF(H4="","",IF(H4=E4,D4,C4))</f>
        <v>60</v>
      </c>
      <c r="D24" s="157">
        <f>IF(H5="","",IF(H5=E5,D5,C5))</f>
        <v>41</v>
      </c>
      <c r="E24" s="145" t="str">
        <f>IF(C24="","",VLOOKUP(C24,'Списки участников'!$A:$S,3,FALSE))</f>
        <v xml:space="preserve"> Х</v>
      </c>
      <c r="F24" s="145" t="str">
        <f>IF(D24="","",VLOOKUP(D24,'Списки участников'!$A:$S,3,FALSE))</f>
        <v>ГЛЕБОВ Игорь</v>
      </c>
      <c r="G24" s="145">
        <f t="shared" si="0"/>
        <v>41</v>
      </c>
      <c r="H24" s="163" t="s">
        <v>2781</v>
      </c>
      <c r="I24" s="163" t="str">
        <f t="shared" si="3"/>
        <v xml:space="preserve"> Х</v>
      </c>
      <c r="J24" s="1058"/>
      <c r="K24" s="1058"/>
      <c r="L24" s="1058"/>
      <c r="M24" s="1058"/>
      <c r="N24" s="1058"/>
      <c r="O24" s="1058"/>
      <c r="P24" s="1058"/>
      <c r="Q24" s="1058"/>
      <c r="R24" s="1055" t="str">
        <f t="shared" si="1"/>
        <v/>
      </c>
      <c r="S24" s="1047">
        <f t="shared" si="2"/>
        <v>0</v>
      </c>
    </row>
    <row r="25" spans="2:19" ht="15" x14ac:dyDescent="0.2">
      <c r="B25" s="156">
        <v>22</v>
      </c>
      <c r="C25" s="157">
        <f>IF(H6="","",IF(H6=E6,D6,C6))</f>
        <v>29</v>
      </c>
      <c r="D25" s="157">
        <f>IF(H7="","",IF(H7=E7,D7,C7))</f>
        <v>60</v>
      </c>
      <c r="E25" s="145" t="str">
        <f>IF(C25="","",VLOOKUP(C25,'Списки участников'!$A:$S,3,FALSE))</f>
        <v>МУХАМЕТЖАНОВ Сайяр</v>
      </c>
      <c r="F25" s="145" t="str">
        <f>IF(D25="","",VLOOKUP(D25,'Списки участников'!$A:$S,3,FALSE))</f>
        <v xml:space="preserve"> Х</v>
      </c>
      <c r="G25" s="145">
        <f t="shared" si="0"/>
        <v>29</v>
      </c>
      <c r="H25" s="163" t="s">
        <v>2791</v>
      </c>
      <c r="I25" s="163" t="str">
        <f t="shared" si="3"/>
        <v xml:space="preserve"> Х</v>
      </c>
      <c r="J25" s="1058"/>
      <c r="K25" s="1058"/>
      <c r="L25" s="1058"/>
      <c r="M25" s="1058"/>
      <c r="N25" s="1058"/>
      <c r="O25" s="1058"/>
      <c r="P25" s="1058"/>
      <c r="Q25" s="1058"/>
      <c r="R25" s="1055" t="str">
        <f t="shared" si="1"/>
        <v/>
      </c>
      <c r="S25" s="1047">
        <f t="shared" si="2"/>
        <v>0</v>
      </c>
    </row>
    <row r="26" spans="2:19" ht="15" x14ac:dyDescent="0.2">
      <c r="B26" s="156">
        <v>23</v>
      </c>
      <c r="C26" s="157">
        <f>IF(H8="","",IF(H8=E8,D8,C8))</f>
        <v>60</v>
      </c>
      <c r="D26" s="157">
        <f>IF(H9="","",IF(H9=E9,D9,C9))</f>
        <v>30</v>
      </c>
      <c r="E26" s="145" t="str">
        <f>IF(C26="","",VLOOKUP(C26,'Списки участников'!$A:$S,3,FALSE))</f>
        <v xml:space="preserve"> Х</v>
      </c>
      <c r="F26" s="145" t="str">
        <f>IF(D26="","",VLOOKUP(D26,'Списки участников'!$A:$S,3,FALSE))</f>
        <v>ВОЛКОВ Евгений</v>
      </c>
      <c r="G26" s="145">
        <f t="shared" si="0"/>
        <v>30</v>
      </c>
      <c r="H26" s="163" t="s">
        <v>2788</v>
      </c>
      <c r="I26" s="163" t="str">
        <f t="shared" si="3"/>
        <v xml:space="preserve"> Х</v>
      </c>
      <c r="J26" s="1058"/>
      <c r="K26" s="1058"/>
      <c r="L26" s="1058"/>
      <c r="M26" s="1058"/>
      <c r="N26" s="1058"/>
      <c r="O26" s="1058"/>
      <c r="P26" s="1058"/>
      <c r="Q26" s="1058"/>
      <c r="R26" s="1055" t="str">
        <f t="shared" si="1"/>
        <v/>
      </c>
      <c r="S26" s="1047">
        <f t="shared" si="2"/>
        <v>0</v>
      </c>
    </row>
    <row r="27" spans="2:19" ht="15" x14ac:dyDescent="0.2">
      <c r="B27" s="156">
        <v>24</v>
      </c>
      <c r="C27" s="157">
        <f>IF(H10="","",IF(H10=E10,D10,C10))</f>
        <v>31</v>
      </c>
      <c r="D27" s="157">
        <f>IF(H11="","",IF(H11=E11,D11,C11))</f>
        <v>60</v>
      </c>
      <c r="E27" s="145" t="str">
        <f>IF(C27="","",VLOOKUP(C27,'Списки участников'!$A:$S,3,FALSE))</f>
        <v>ПЕТУХОВ Николай</v>
      </c>
      <c r="F27" s="145" t="str">
        <f>IF(D27="","",VLOOKUP(D27,'Списки участников'!$A:$S,3,FALSE))</f>
        <v xml:space="preserve"> Х</v>
      </c>
      <c r="G27" s="145">
        <f t="shared" si="0"/>
        <v>31</v>
      </c>
      <c r="H27" s="163" t="s">
        <v>2789</v>
      </c>
      <c r="I27" s="163" t="str">
        <f t="shared" si="3"/>
        <v xml:space="preserve"> Х</v>
      </c>
      <c r="J27" s="1058"/>
      <c r="K27" s="1058"/>
      <c r="L27" s="1058"/>
      <c r="M27" s="1058"/>
      <c r="N27" s="1058"/>
      <c r="O27" s="1058"/>
      <c r="P27" s="1058"/>
      <c r="Q27" s="1058"/>
      <c r="R27" s="1055" t="str">
        <f t="shared" si="1"/>
        <v/>
      </c>
      <c r="S27" s="1047">
        <f t="shared" si="2"/>
        <v>0</v>
      </c>
    </row>
    <row r="28" spans="2:19" ht="15" x14ac:dyDescent="0.2">
      <c r="B28" s="156">
        <v>25</v>
      </c>
      <c r="C28" s="196">
        <f>IF(H24="","",IF(H24=E24,C24,D24))</f>
        <v>41</v>
      </c>
      <c r="D28" s="196">
        <f>IF(H25="","",IF(H25=E25,C25,D25))</f>
        <v>29</v>
      </c>
      <c r="E28" s="145" t="str">
        <f>IF(C28="","",VLOOKUP(C28,'Списки участников'!$A:$S,3,FALSE))</f>
        <v>ГЛЕБОВ Игорь</v>
      </c>
      <c r="F28" s="145" t="str">
        <f>IF(D28="","",VLOOKUP(D28,'Списки участников'!$A:$S,3,FALSE))</f>
        <v>МУХАМЕТЖАНОВ Сайяр</v>
      </c>
      <c r="G28" s="145">
        <f t="shared" si="0"/>
        <v>41</v>
      </c>
      <c r="H28" s="163" t="s">
        <v>2781</v>
      </c>
      <c r="I28" s="163" t="str">
        <f t="shared" si="3"/>
        <v>МУХАМЕТЖАНОВ Сайяр</v>
      </c>
      <c r="J28" s="1058">
        <v>1</v>
      </c>
      <c r="K28" s="1058"/>
      <c r="L28" s="1058"/>
      <c r="M28" s="1058"/>
      <c r="N28" s="1058"/>
      <c r="O28" s="1058"/>
      <c r="P28" s="1058"/>
      <c r="Q28" s="1058"/>
      <c r="R28" s="1055" t="str">
        <f t="shared" si="1"/>
        <v>3:1</v>
      </c>
      <c r="S28" s="1047">
        <f t="shared" si="2"/>
        <v>0</v>
      </c>
    </row>
    <row r="29" spans="2:19" ht="15" x14ac:dyDescent="0.2">
      <c r="B29" s="156">
        <v>26</v>
      </c>
      <c r="C29" s="196">
        <f>IF(H26="","",IF(H26=E26,C26,D26))</f>
        <v>30</v>
      </c>
      <c r="D29" s="196">
        <f>IF(H27="","",IF(H27=E27,C27,D27))</f>
        <v>31</v>
      </c>
      <c r="E29" s="145" t="str">
        <f>IF(C29="","",VLOOKUP(C29,'Списки участников'!$A:$S,3,FALSE))</f>
        <v>ВОЛКОВ Евгений</v>
      </c>
      <c r="F29" s="145" t="str">
        <f>IF(D29="","",VLOOKUP(D29,'Списки участников'!$A:$S,3,FALSE))</f>
        <v>ПЕТУХОВ Николай</v>
      </c>
      <c r="G29" s="145">
        <f t="shared" si="0"/>
        <v>30</v>
      </c>
      <c r="H29" s="163" t="s">
        <v>2788</v>
      </c>
      <c r="I29" s="163" t="str">
        <f t="shared" si="3"/>
        <v>ПЕТУХОВ Николай</v>
      </c>
      <c r="J29" s="1058" t="s">
        <v>2811</v>
      </c>
      <c r="K29" s="1058"/>
      <c r="L29" s="1058"/>
      <c r="M29" s="1058"/>
      <c r="N29" s="1058"/>
      <c r="O29" s="1058"/>
      <c r="P29" s="1058"/>
      <c r="Q29" s="1058"/>
      <c r="R29" s="1055" t="str">
        <f t="shared" si="1"/>
        <v>W:L</v>
      </c>
      <c r="S29" s="1047">
        <f t="shared" si="2"/>
        <v>0</v>
      </c>
    </row>
    <row r="30" spans="2:19" ht="15" x14ac:dyDescent="0.2">
      <c r="B30" s="156">
        <v>27</v>
      </c>
      <c r="C30" s="196">
        <f>IF(H28="","",IF(H28=E28,C28,D28))</f>
        <v>41</v>
      </c>
      <c r="D30" s="196">
        <f>IF(H29="","",IF(H29=E29,C29,D29))</f>
        <v>30</v>
      </c>
      <c r="E30" s="145" t="str">
        <f>IF(C30="","",VLOOKUP(C30,'Списки участников'!$A:$S,3,FALSE))</f>
        <v>ГЛЕБОВ Игорь</v>
      </c>
      <c r="F30" s="145" t="str">
        <f>IF(D30="","",VLOOKUP(D30,'Списки участников'!$A:$S,3,FALSE))</f>
        <v>ВОЛКОВ Евгений</v>
      </c>
      <c r="G30" s="145">
        <f t="shared" si="0"/>
        <v>41</v>
      </c>
      <c r="H30" s="163" t="s">
        <v>2781</v>
      </c>
      <c r="I30" s="163" t="str">
        <f t="shared" si="3"/>
        <v>ВОЛКОВ Евгений</v>
      </c>
      <c r="J30" s="1058">
        <v>0</v>
      </c>
      <c r="K30" s="1058"/>
      <c r="L30" s="1058"/>
      <c r="M30" s="1058"/>
      <c r="N30" s="1058"/>
      <c r="O30" s="1058"/>
      <c r="P30" s="1058"/>
      <c r="Q30" s="1058"/>
      <c r="R30" s="1055" t="str">
        <f t="shared" si="1"/>
        <v>3:0</v>
      </c>
      <c r="S30" s="1047">
        <f t="shared" si="2"/>
        <v>0</v>
      </c>
    </row>
    <row r="31" spans="2:19" ht="15" x14ac:dyDescent="0.2">
      <c r="B31" s="156">
        <v>28</v>
      </c>
      <c r="C31" s="157">
        <f>IF(H28="","",IF(H28=E28,D28,C28))</f>
        <v>29</v>
      </c>
      <c r="D31" s="157">
        <f>IF(H29="","",IF(H29=E29,D29,C29))</f>
        <v>31</v>
      </c>
      <c r="E31" s="145" t="str">
        <f>IF(C31="","",VLOOKUP(C31,'Списки участников'!$A:$S,3,FALSE))</f>
        <v>МУХАМЕТЖАНОВ Сайяр</v>
      </c>
      <c r="F31" s="145" t="str">
        <f>IF(D31="","",VLOOKUP(D31,'Списки участников'!$A:$S,3,FALSE))</f>
        <v>ПЕТУХОВ Николай</v>
      </c>
      <c r="G31" s="145" t="str">
        <f t="shared" si="0"/>
        <v/>
      </c>
      <c r="H31" s="163"/>
      <c r="I31" s="163" t="str">
        <f t="shared" si="3"/>
        <v/>
      </c>
      <c r="J31" s="1058"/>
      <c r="K31" s="1058"/>
      <c r="L31" s="1058"/>
      <c r="M31" s="1058"/>
      <c r="N31" s="1058"/>
      <c r="O31" s="1058"/>
      <c r="P31" s="1058"/>
      <c r="Q31" s="1058"/>
      <c r="R31" s="1055" t="str">
        <f t="shared" si="1"/>
        <v/>
      </c>
      <c r="S31" s="1047">
        <f t="shared" si="2"/>
        <v>0</v>
      </c>
    </row>
    <row r="32" spans="2:19" ht="15" x14ac:dyDescent="0.2">
      <c r="B32" s="156">
        <v>29</v>
      </c>
      <c r="C32" s="157">
        <f>IF(H24="","",IF(H24=E24,D24,C24))</f>
        <v>60</v>
      </c>
      <c r="D32" s="157">
        <f>IF(H25="","",IF(H25=E25,D25,C25))</f>
        <v>60</v>
      </c>
      <c r="E32" s="145" t="str">
        <f>IF(C32="","",VLOOKUP(C32,'Списки участников'!$A:$S,3,FALSE))</f>
        <v xml:space="preserve"> Х</v>
      </c>
      <c r="F32" s="145" t="str">
        <f>IF(D32="","",VLOOKUP(D32,'Списки участников'!$A:$S,3,FALSE))</f>
        <v xml:space="preserve"> Х</v>
      </c>
      <c r="G32" s="145" t="str">
        <f t="shared" si="0"/>
        <v/>
      </c>
      <c r="H32" s="163"/>
      <c r="I32" s="163" t="str">
        <f t="shared" si="3"/>
        <v/>
      </c>
      <c r="J32" s="1058"/>
      <c r="K32" s="1058"/>
      <c r="L32" s="1058"/>
      <c r="M32" s="1058"/>
      <c r="N32" s="1058"/>
      <c r="O32" s="1058"/>
      <c r="P32" s="1058"/>
      <c r="Q32" s="1058"/>
      <c r="R32" s="1055" t="str">
        <f t="shared" si="1"/>
        <v/>
      </c>
      <c r="S32" s="1047">
        <f t="shared" si="2"/>
        <v>0</v>
      </c>
    </row>
    <row r="33" spans="2:19" ht="15" x14ac:dyDescent="0.2">
      <c r="B33" s="156">
        <v>30</v>
      </c>
      <c r="C33" s="157">
        <f>IF(H26="","",IF(H26=E26,D26,C26))</f>
        <v>60</v>
      </c>
      <c r="D33" s="157">
        <f>IF(H27="","",IF(H27=E27,D27,C27))</f>
        <v>60</v>
      </c>
      <c r="E33" s="145" t="str">
        <f>IF(C33="","",VLOOKUP(C33,'Списки участников'!$A:$S,3,FALSE))</f>
        <v xml:space="preserve"> Х</v>
      </c>
      <c r="F33" s="145" t="str">
        <f>IF(D33="","",VLOOKUP(D33,'Списки участников'!$A:$S,3,FALSE))</f>
        <v xml:space="preserve"> Х</v>
      </c>
      <c r="G33" s="145" t="str">
        <f t="shared" si="0"/>
        <v/>
      </c>
      <c r="H33" s="163"/>
      <c r="I33" s="163" t="str">
        <f t="shared" si="3"/>
        <v/>
      </c>
      <c r="J33" s="1058"/>
      <c r="K33" s="1058"/>
      <c r="L33" s="1058"/>
      <c r="M33" s="1058"/>
      <c r="N33" s="1058"/>
      <c r="O33" s="1058"/>
      <c r="P33" s="1058"/>
      <c r="Q33" s="1058"/>
      <c r="R33" s="1055" t="str">
        <f t="shared" si="1"/>
        <v/>
      </c>
      <c r="S33" s="1047">
        <f t="shared" si="2"/>
        <v>0</v>
      </c>
    </row>
    <row r="34" spans="2:19" ht="15" x14ac:dyDescent="0.2">
      <c r="B34" s="156">
        <v>31</v>
      </c>
      <c r="C34" s="196" t="str">
        <f>IF(H32="","",IF(H32=E32,C32,D32))</f>
        <v/>
      </c>
      <c r="D34" s="196" t="str">
        <f>IF(H33="","",IF(H33=E33,C33,D33))</f>
        <v/>
      </c>
      <c r="E34" s="145" t="str">
        <f>IF(C34="","",VLOOKUP(C34,'Списки участников'!$A:$S,3,FALSE))</f>
        <v/>
      </c>
      <c r="F34" s="145" t="str">
        <f>IF(D34="","",VLOOKUP(D34,'Списки участников'!$A:$S,3,FALSE))</f>
        <v/>
      </c>
      <c r="G34" s="145" t="str">
        <f t="shared" si="0"/>
        <v/>
      </c>
      <c r="H34" s="163"/>
      <c r="I34" s="163" t="str">
        <f t="shared" si="3"/>
        <v/>
      </c>
      <c r="J34" s="1058"/>
      <c r="K34" s="1058"/>
      <c r="L34" s="1058"/>
      <c r="M34" s="1058"/>
      <c r="N34" s="1058"/>
      <c r="O34" s="1058"/>
      <c r="P34" s="1058"/>
      <c r="Q34" s="1058"/>
      <c r="R34" s="1055" t="str">
        <f t="shared" si="1"/>
        <v/>
      </c>
      <c r="S34" s="1047">
        <f t="shared" si="2"/>
        <v>0</v>
      </c>
    </row>
    <row r="35" spans="2:19" ht="15" x14ac:dyDescent="0.2">
      <c r="B35" s="156">
        <v>32</v>
      </c>
      <c r="C35" s="157" t="str">
        <f>IF(H32="","",IF(H32=E32,D32,C32))</f>
        <v/>
      </c>
      <c r="D35" s="157" t="str">
        <f>IF(H33="","",IF(H33=E33,D33,C33))</f>
        <v/>
      </c>
      <c r="E35" s="145" t="str">
        <f>IF(C35="","",VLOOKUP(C35,'Списки участников'!$A:$S,3,FALSE))</f>
        <v/>
      </c>
      <c r="F35" s="145" t="str">
        <f>IF(D35="","",VLOOKUP(D35,'Списки участников'!$A:$S,3,FALSE))</f>
        <v/>
      </c>
      <c r="G35" s="145" t="str">
        <f t="shared" si="0"/>
        <v/>
      </c>
      <c r="H35" s="163"/>
      <c r="I35" s="163" t="str">
        <f t="shared" si="3"/>
        <v/>
      </c>
      <c r="J35" s="1058"/>
      <c r="K35" s="1058"/>
      <c r="L35" s="1058"/>
      <c r="M35" s="1058"/>
      <c r="N35" s="1058"/>
      <c r="O35" s="1058"/>
      <c r="P35" s="1058"/>
      <c r="Q35" s="1058"/>
      <c r="R35" s="1055" t="str">
        <f t="shared" si="1"/>
        <v/>
      </c>
      <c r="S35" s="1047">
        <f t="shared" si="2"/>
        <v>0</v>
      </c>
    </row>
  </sheetData>
  <mergeCells count="10">
    <mergeCell ref="I2:I3"/>
    <mergeCell ref="J2:J3"/>
    <mergeCell ref="K2:Q2"/>
    <mergeCell ref="R2:R3"/>
    <mergeCell ref="B2:B3"/>
    <mergeCell ref="C2:C3"/>
    <mergeCell ref="D2:D3"/>
    <mergeCell ref="E2:E3"/>
    <mergeCell ref="F2:F3"/>
    <mergeCell ref="H2:H3"/>
  </mergeCells>
  <dataValidations count="3">
    <dataValidation type="list" allowBlank="1" showInputMessage="1" showErrorMessage="1" sqref="J4:J35">
      <formula1>$A$2:$A$6</formula1>
    </dataValidation>
    <dataValidation type="list" allowBlank="1" showInputMessage="1" showErrorMessage="1" sqref="H4:H35">
      <formula1>E4:F4</formula1>
    </dataValidation>
    <dataValidation type="list" allowBlank="1" showInputMessage="1" showErrorMessage="1" sqref="K5:Q35">
      <formula1>$A$2:$A$5</formula1>
    </dataValidation>
  </dataValidation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83"/>
  <sheetViews>
    <sheetView topLeftCell="B49" workbookViewId="0">
      <selection activeCell="W69" sqref="W69"/>
    </sheetView>
  </sheetViews>
  <sheetFormatPr defaultRowHeight="12.75" outlineLevelCol="1" x14ac:dyDescent="0.2"/>
  <cols>
    <col min="1" max="1" width="9" style="91" hidden="1" customWidth="1" outlineLevel="1"/>
    <col min="2" max="2" width="5.5" style="91" customWidth="1" collapsed="1"/>
    <col min="3" max="4" width="6.5" style="91" hidden="1" customWidth="1" outlineLevel="1"/>
    <col min="5" max="5" width="24.1640625" style="91" customWidth="1" collapsed="1"/>
    <col min="6" max="6" width="24.1640625" style="91" customWidth="1"/>
    <col min="7" max="7" width="5.5" style="91" hidden="1" customWidth="1" outlineLevel="1"/>
    <col min="8" max="8" width="24.1640625" style="91" customWidth="1" collapsed="1"/>
    <col min="9" max="9" width="24.1640625" style="91" hidden="1" customWidth="1" outlineLevel="1"/>
    <col min="10" max="10" width="5.6640625" style="91" customWidth="1" collapsed="1"/>
    <col min="11" max="17" width="5.6640625" style="91" hidden="1" customWidth="1" outlineLevel="1"/>
    <col min="18" max="18" width="18.83203125" style="1047" customWidth="1" collapsed="1"/>
    <col min="19" max="19" width="5.1640625" style="91" customWidth="1"/>
    <col min="20" max="16384" width="9.33203125" style="91"/>
  </cols>
  <sheetData>
    <row r="1" spans="1:19" ht="13.5" thickBot="1" x14ac:dyDescent="0.25"/>
    <row r="2" spans="1:19" ht="12.75" customHeight="1" x14ac:dyDescent="0.2">
      <c r="A2" s="1047">
        <v>0</v>
      </c>
      <c r="B2" s="1155" t="s">
        <v>762</v>
      </c>
      <c r="C2" s="1157" t="s">
        <v>2807</v>
      </c>
      <c r="D2" s="1159" t="s">
        <v>2808</v>
      </c>
      <c r="E2" s="1161" t="s">
        <v>763</v>
      </c>
      <c r="F2" s="1163" t="s">
        <v>763</v>
      </c>
      <c r="G2" s="1014"/>
      <c r="H2" s="1163" t="s">
        <v>764</v>
      </c>
      <c r="I2" s="1146" t="s">
        <v>2809</v>
      </c>
      <c r="J2" s="1148"/>
      <c r="K2" s="1048"/>
      <c r="L2" s="1048"/>
      <c r="M2" s="1048"/>
      <c r="N2" s="1048"/>
      <c r="O2" s="1048"/>
      <c r="P2" s="1048"/>
      <c r="Q2" s="1048"/>
      <c r="R2" s="1153" t="s">
        <v>2810</v>
      </c>
    </row>
    <row r="3" spans="1:19" ht="13.5" thickBot="1" x14ac:dyDescent="0.25">
      <c r="A3" s="1047">
        <v>1</v>
      </c>
      <c r="B3" s="1156"/>
      <c r="C3" s="1158"/>
      <c r="D3" s="1160"/>
      <c r="E3" s="1162"/>
      <c r="F3" s="1164"/>
      <c r="G3" s="1015"/>
      <c r="H3" s="1164"/>
      <c r="I3" s="1147"/>
      <c r="J3" s="1165"/>
      <c r="K3" s="1048"/>
      <c r="L3" s="1048"/>
      <c r="M3" s="1048"/>
      <c r="N3" s="1048"/>
      <c r="O3" s="1048"/>
      <c r="P3" s="1048"/>
      <c r="Q3" s="1048"/>
      <c r="R3" s="1166"/>
    </row>
    <row r="4" spans="1:19" ht="15" x14ac:dyDescent="0.2">
      <c r="A4" s="1047">
        <v>2</v>
      </c>
      <c r="B4" s="344">
        <v>1</v>
      </c>
      <c r="C4" s="1049">
        <f>'Ф(32)'!B7</f>
        <v>1</v>
      </c>
      <c r="D4" s="1050">
        <f>'Ф(32)'!B9</f>
        <v>60</v>
      </c>
      <c r="E4" s="145" t="str">
        <f>IF(C4="","",VLOOKUP(C4,'Списки участников'!$A:$S,3,FALSE))</f>
        <v>НИКИФОРОВ Александр</v>
      </c>
      <c r="F4" s="145" t="str">
        <f>IF(D4="","",VLOOKUP(D4,'Списки участников'!$A:$S,3,FALSE))</f>
        <v xml:space="preserve"> Х</v>
      </c>
      <c r="G4" s="1051">
        <f>IF(H4="","",IF(H4=E4,C4,D4))</f>
        <v>1</v>
      </c>
      <c r="H4" s="1052" t="s">
        <v>2798</v>
      </c>
      <c r="I4" s="1016" t="str">
        <f>IF(H4="","",IF(H4=E4,F4,E4))</f>
        <v xml:space="preserve"> Х</v>
      </c>
      <c r="J4" s="1053"/>
      <c r="K4" s="1054"/>
      <c r="L4" s="1054"/>
      <c r="M4" s="1054"/>
      <c r="N4" s="1054"/>
      <c r="O4" s="1054"/>
      <c r="P4" s="1054"/>
      <c r="Q4" s="1054"/>
      <c r="R4" s="1055" t="str">
        <f>IF(J4="","",IF(J4="W",CONCATENATE(J4,":","L"),CONCATENATE(3,":",J4)))</f>
        <v/>
      </c>
      <c r="S4" s="1047">
        <f>IF(K4&gt;0,1,0)+IF(L4&gt;0,1,0)+IF(M4&gt;0,1,0)+IF(N4&gt;0,1,0)+IF(O4&gt;0,1,0)+IF(P4&gt;0,1,0)+IF(Q4&gt;0,1,0)</f>
        <v>0</v>
      </c>
    </row>
    <row r="5" spans="1:19" ht="15" x14ac:dyDescent="0.2">
      <c r="A5" s="1047">
        <v>3</v>
      </c>
      <c r="B5" s="348">
        <v>2</v>
      </c>
      <c r="C5" s="1056">
        <f>'Ф(32)'!B11</f>
        <v>39</v>
      </c>
      <c r="D5" s="1057">
        <f>'Ф(32)'!B13</f>
        <v>35</v>
      </c>
      <c r="E5" s="145" t="str">
        <f>IF(C5="","",VLOOKUP(C5,'Списки участников'!$A:$S,3,FALSE))</f>
        <v>ИСУПОВ Максим</v>
      </c>
      <c r="F5" s="145" t="str">
        <f>IF(D5="","",VLOOKUP(D5,'Списки участников'!$A:$S,3,FALSE))</f>
        <v>ГРИШИН Иван</v>
      </c>
      <c r="G5" s="1051">
        <f t="shared" ref="G5:G68" si="0">IF(H5="","",IF(H5=E5,C5,D5))</f>
        <v>39</v>
      </c>
      <c r="H5" s="163" t="s">
        <v>2770</v>
      </c>
      <c r="I5" s="163" t="str">
        <f>IF(H5="","",IF(H5=E5,F5,E5))</f>
        <v>ГРИШИН Иван</v>
      </c>
      <c r="J5" s="1058">
        <v>0</v>
      </c>
      <c r="K5" s="1058"/>
      <c r="L5" s="1058"/>
      <c r="M5" s="1058"/>
      <c r="N5" s="1058"/>
      <c r="O5" s="1058"/>
      <c r="P5" s="1058"/>
      <c r="Q5" s="1058"/>
      <c r="R5" s="1055" t="str">
        <f t="shared" ref="R5:R68" si="1">IF(J5="","",IF(J5="W",CONCATENATE(J5,":","L"),CONCATENATE(3,":",J5)))</f>
        <v>3:0</v>
      </c>
      <c r="S5" s="1047">
        <f t="shared" ref="S5:S68" si="2">IF(K5&gt;0,1,0)+IF(L5&gt;0,1,0)+IF(M5&gt;0,1,0)+IF(N5&gt;0,1,0)+IF(O5&gt;0,1,0)+IF(P5&gt;0,1,0)+IF(Q5&gt;0,1,0)</f>
        <v>0</v>
      </c>
    </row>
    <row r="6" spans="1:19" ht="15" x14ac:dyDescent="0.2">
      <c r="A6" s="1047" t="s">
        <v>2811</v>
      </c>
      <c r="B6" s="348">
        <v>3</v>
      </c>
      <c r="C6" s="1056">
        <f>'Ф(32)'!B15</f>
        <v>22</v>
      </c>
      <c r="D6" s="1057">
        <f>'Ф(32)'!B17</f>
        <v>26</v>
      </c>
      <c r="E6" s="145" t="str">
        <f>IF(C6="","",VLOOKUP(C6,'Списки участников'!$A:$S,3,FALSE))</f>
        <v>ГОГОЛЬ Александр</v>
      </c>
      <c r="F6" s="145" t="str">
        <f>IF(D6="","",VLOOKUP(D6,'Списки участников'!$A:$S,3,FALSE))</f>
        <v>ТЫЛЕЧКИН Валерий</v>
      </c>
      <c r="G6" s="1051">
        <f t="shared" si="0"/>
        <v>26</v>
      </c>
      <c r="H6" s="163" t="s">
        <v>2754</v>
      </c>
      <c r="I6" s="163" t="str">
        <f t="shared" ref="I6:I69" si="3">IF(H6="","",IF(H6=E6,F6,E6))</f>
        <v>ГОГОЛЬ Александр</v>
      </c>
      <c r="J6" s="1058">
        <v>0</v>
      </c>
      <c r="K6" s="1058"/>
      <c r="L6" s="1058"/>
      <c r="M6" s="1058"/>
      <c r="N6" s="1058"/>
      <c r="O6" s="1058"/>
      <c r="P6" s="1058"/>
      <c r="Q6" s="1058"/>
      <c r="R6" s="1055" t="str">
        <f t="shared" si="1"/>
        <v>3:0</v>
      </c>
      <c r="S6" s="1047">
        <f t="shared" si="2"/>
        <v>0</v>
      </c>
    </row>
    <row r="7" spans="1:19" ht="15" x14ac:dyDescent="0.2">
      <c r="B7" s="348">
        <v>4</v>
      </c>
      <c r="C7" s="1056">
        <f>'Ф(32)'!B19</f>
        <v>60</v>
      </c>
      <c r="D7" s="1057">
        <f>'Ф(32)'!B21</f>
        <v>34</v>
      </c>
      <c r="E7" s="145" t="str">
        <f>IF(C7="","",VLOOKUP(C7,'Списки участников'!$A:$S,3,FALSE))</f>
        <v xml:space="preserve"> Х</v>
      </c>
      <c r="F7" s="145" t="str">
        <f>IF(D7="","",VLOOKUP(D7,'Списки участников'!$A:$S,3,FALSE))</f>
        <v>ТИНЬКОВ Александр</v>
      </c>
      <c r="G7" s="1051">
        <f t="shared" si="0"/>
        <v>34</v>
      </c>
      <c r="H7" s="163" t="s">
        <v>2794</v>
      </c>
      <c r="I7" s="163" t="str">
        <f t="shared" si="3"/>
        <v xml:space="preserve"> Х</v>
      </c>
      <c r="J7" s="1058"/>
      <c r="K7" s="1058"/>
      <c r="L7" s="1058"/>
      <c r="M7" s="1058"/>
      <c r="N7" s="1058"/>
      <c r="O7" s="1058"/>
      <c r="P7" s="1058"/>
      <c r="Q7" s="1058"/>
      <c r="R7" s="1055" t="str">
        <f t="shared" si="1"/>
        <v/>
      </c>
      <c r="S7" s="1047">
        <f t="shared" si="2"/>
        <v>0</v>
      </c>
    </row>
    <row r="8" spans="1:19" ht="15" x14ac:dyDescent="0.2">
      <c r="B8" s="348">
        <v>5</v>
      </c>
      <c r="C8" s="1056">
        <f>'Ф(32)'!B23</f>
        <v>11</v>
      </c>
      <c r="D8" s="1057">
        <f>'Ф(32)'!B25</f>
        <v>60</v>
      </c>
      <c r="E8" s="145" t="str">
        <f>IF(C8="","",VLOOKUP(C8,'Списки участников'!$A:$S,3,FALSE))</f>
        <v>ФИНАГИН Кирилл</v>
      </c>
      <c r="F8" s="145" t="str">
        <f>IF(D8="","",VLOOKUP(D8,'Списки участников'!$A:$S,3,FALSE))</f>
        <v xml:space="preserve"> Х</v>
      </c>
      <c r="G8" s="1051">
        <f t="shared" si="0"/>
        <v>11</v>
      </c>
      <c r="H8" s="163" t="s">
        <v>2772</v>
      </c>
      <c r="I8" s="163" t="str">
        <f t="shared" si="3"/>
        <v xml:space="preserve"> Х</v>
      </c>
      <c r="J8" s="1058"/>
      <c r="K8" s="1058"/>
      <c r="L8" s="1058"/>
      <c r="M8" s="1058"/>
      <c r="N8" s="1058"/>
      <c r="O8" s="1058"/>
      <c r="P8" s="1058"/>
      <c r="Q8" s="1058"/>
      <c r="R8" s="1055" t="str">
        <f t="shared" si="1"/>
        <v/>
      </c>
      <c r="S8" s="1047">
        <f t="shared" si="2"/>
        <v>0</v>
      </c>
    </row>
    <row r="9" spans="1:19" ht="15" x14ac:dyDescent="0.2">
      <c r="B9" s="348">
        <v>6</v>
      </c>
      <c r="C9" s="1056">
        <f>'Ф(32)'!B27</f>
        <v>14</v>
      </c>
      <c r="D9" s="1057">
        <f>'Ф(32)'!B29</f>
        <v>6</v>
      </c>
      <c r="E9" s="145" t="str">
        <f>IF(C9="","",VLOOKUP(C9,'Списки участников'!$A:$S,3,FALSE))</f>
        <v>КОНОВ Сергей</v>
      </c>
      <c r="F9" s="145" t="str">
        <f>IF(D9="","",VLOOKUP(D9,'Списки участников'!$A:$S,3,FALSE))</f>
        <v>ЯШУНИН Андрей</v>
      </c>
      <c r="G9" s="1051">
        <f t="shared" si="0"/>
        <v>14</v>
      </c>
      <c r="H9" s="163" t="s">
        <v>2792</v>
      </c>
      <c r="I9" s="163" t="str">
        <f t="shared" si="3"/>
        <v>ЯШУНИН Андрей</v>
      </c>
      <c r="J9" s="1058">
        <v>0</v>
      </c>
      <c r="K9" s="1058"/>
      <c r="L9" s="1058"/>
      <c r="M9" s="1058"/>
      <c r="N9" s="1058"/>
      <c r="O9" s="1058"/>
      <c r="P9" s="1058"/>
      <c r="Q9" s="1058"/>
      <c r="R9" s="1055" t="str">
        <f t="shared" si="1"/>
        <v>3:0</v>
      </c>
      <c r="S9" s="1047">
        <f t="shared" si="2"/>
        <v>0</v>
      </c>
    </row>
    <row r="10" spans="1:19" ht="15" x14ac:dyDescent="0.2">
      <c r="B10" s="348">
        <v>7</v>
      </c>
      <c r="C10" s="1056">
        <f>'Ф(32)'!B31</f>
        <v>18</v>
      </c>
      <c r="D10" s="1057">
        <f>'Ф(32)'!B33</f>
        <v>45</v>
      </c>
      <c r="E10" s="145" t="str">
        <f>IF(C10="","",VLOOKUP(C10,'Списки участников'!$A:$S,3,FALSE))</f>
        <v>ВОЛКОВ Валерий</v>
      </c>
      <c r="F10" s="145" t="str">
        <f>IF(D10="","",VLOOKUP(D10,'Списки участников'!$A:$S,3,FALSE))</f>
        <v>ПЧЕЛИН Сергей</v>
      </c>
      <c r="G10" s="1051">
        <f t="shared" si="0"/>
        <v>45</v>
      </c>
      <c r="H10" s="163" t="s">
        <v>2760</v>
      </c>
      <c r="I10" s="163" t="str">
        <f t="shared" si="3"/>
        <v>ВОЛКОВ Валерий</v>
      </c>
      <c r="J10" s="1058">
        <v>1</v>
      </c>
      <c r="K10" s="1058"/>
      <c r="L10" s="1058"/>
      <c r="M10" s="1058"/>
      <c r="N10" s="1058"/>
      <c r="O10" s="1058"/>
      <c r="P10" s="1058"/>
      <c r="Q10" s="1058"/>
      <c r="R10" s="1055" t="str">
        <f t="shared" si="1"/>
        <v>3:1</v>
      </c>
      <c r="S10" s="1047">
        <f t="shared" si="2"/>
        <v>0</v>
      </c>
    </row>
    <row r="11" spans="1:19" ht="15" x14ac:dyDescent="0.2">
      <c r="A11" s="164"/>
      <c r="B11" s="348">
        <v>8</v>
      </c>
      <c r="C11" s="1056">
        <f>'Ф(32)'!B35</f>
        <v>60</v>
      </c>
      <c r="D11" s="1057">
        <f>'Ф(32)'!B37</f>
        <v>19</v>
      </c>
      <c r="E11" s="145" t="str">
        <f>IF(C11="","",VLOOKUP(C11,'Списки участников'!$A:$S,3,FALSE))</f>
        <v xml:space="preserve"> Х</v>
      </c>
      <c r="F11" s="145" t="str">
        <f>IF(D11="","",VLOOKUP(D11,'Списки участников'!$A:$S,3,FALSE))</f>
        <v>МАРКЕЛОВ Игорь</v>
      </c>
      <c r="G11" s="1051">
        <f t="shared" si="0"/>
        <v>19</v>
      </c>
      <c r="H11" s="163" t="s">
        <v>2769</v>
      </c>
      <c r="I11" s="163" t="str">
        <f t="shared" si="3"/>
        <v xml:space="preserve"> Х</v>
      </c>
      <c r="J11" s="1058"/>
      <c r="K11" s="1058"/>
      <c r="L11" s="1058"/>
      <c r="M11" s="1058"/>
      <c r="N11" s="1058"/>
      <c r="O11" s="1058"/>
      <c r="P11" s="1058"/>
      <c r="Q11" s="1058"/>
      <c r="R11" s="1055" t="str">
        <f t="shared" si="1"/>
        <v/>
      </c>
      <c r="S11" s="1047">
        <f t="shared" si="2"/>
        <v>0</v>
      </c>
    </row>
    <row r="12" spans="1:19" ht="15" x14ac:dyDescent="0.2">
      <c r="B12" s="348">
        <v>9</v>
      </c>
      <c r="C12" s="1056">
        <f>'Ф(32)'!B39</f>
        <v>38</v>
      </c>
      <c r="D12" s="1057">
        <f>'Ф(32)'!B41</f>
        <v>60</v>
      </c>
      <c r="E12" s="145" t="str">
        <f>IF(C12="","",VLOOKUP(C12,'Списки участников'!$A:$S,3,FALSE))</f>
        <v>СИМУСЕВ Сергей</v>
      </c>
      <c r="F12" s="145" t="str">
        <f>IF(D12="","",VLOOKUP(D12,'Списки участников'!$A:$S,3,FALSE))</f>
        <v xml:space="preserve"> Х</v>
      </c>
      <c r="G12" s="1051">
        <f t="shared" si="0"/>
        <v>38</v>
      </c>
      <c r="H12" s="163" t="s">
        <v>2771</v>
      </c>
      <c r="I12" s="163" t="str">
        <f t="shared" si="3"/>
        <v xml:space="preserve"> Х</v>
      </c>
      <c r="J12" s="1058"/>
      <c r="K12" s="1058"/>
      <c r="L12" s="1058"/>
      <c r="M12" s="1058"/>
      <c r="N12" s="1058"/>
      <c r="O12" s="1058"/>
      <c r="P12" s="1058"/>
      <c r="Q12" s="1058"/>
      <c r="R12" s="1055" t="str">
        <f t="shared" si="1"/>
        <v/>
      </c>
      <c r="S12" s="1047">
        <f t="shared" si="2"/>
        <v>0</v>
      </c>
    </row>
    <row r="13" spans="1:19" ht="15" x14ac:dyDescent="0.2">
      <c r="B13" s="348">
        <v>10</v>
      </c>
      <c r="C13" s="1056">
        <f>'Ф(32)'!B43</f>
        <v>13</v>
      </c>
      <c r="D13" s="1057">
        <f>'Ф(32)'!B45</f>
        <v>25</v>
      </c>
      <c r="E13" s="145" t="str">
        <f>IF(C13="","",VLOOKUP(C13,'Списки участников'!$A:$S,3,FALSE))</f>
        <v>ВАХРОМОВ Андрей</v>
      </c>
      <c r="F13" s="145" t="str">
        <f>IF(D13="","",VLOOKUP(D13,'Списки участников'!$A:$S,3,FALSE))</f>
        <v>ФИЛЬЧУГОВ Сергей</v>
      </c>
      <c r="G13" s="1051">
        <f t="shared" si="0"/>
        <v>25</v>
      </c>
      <c r="H13" s="163" t="s">
        <v>2753</v>
      </c>
      <c r="I13" s="163" t="str">
        <f t="shared" si="3"/>
        <v>ВАХРОМОВ Андрей</v>
      </c>
      <c r="J13" s="1058">
        <v>1</v>
      </c>
      <c r="K13" s="1058"/>
      <c r="L13" s="1058"/>
      <c r="M13" s="1058"/>
      <c r="N13" s="1058"/>
      <c r="O13" s="1058"/>
      <c r="P13" s="1058"/>
      <c r="Q13" s="1058"/>
      <c r="R13" s="1055" t="str">
        <f t="shared" si="1"/>
        <v>3:1</v>
      </c>
      <c r="S13" s="1047">
        <f t="shared" si="2"/>
        <v>0</v>
      </c>
    </row>
    <row r="14" spans="1:19" ht="15" x14ac:dyDescent="0.2">
      <c r="B14" s="348">
        <v>11</v>
      </c>
      <c r="C14" s="1056">
        <f>'Ф(32)'!B47</f>
        <v>43</v>
      </c>
      <c r="D14" s="1057">
        <f>'Ф(32)'!B49</f>
        <v>46</v>
      </c>
      <c r="E14" s="145" t="str">
        <f>IF(C14="","",VLOOKUP(C14,'Списки участников'!$A:$S,3,FALSE))</f>
        <v>ЕСЬКИН Михаил</v>
      </c>
      <c r="F14" s="145" t="str">
        <f>IF(D14="","",VLOOKUP(D14,'Списки участников'!$A:$S,3,FALSE))</f>
        <v>МАТВЕЕВ Сергей</v>
      </c>
      <c r="G14" s="1051">
        <f t="shared" si="0"/>
        <v>46</v>
      </c>
      <c r="H14" s="163" t="s">
        <v>2776</v>
      </c>
      <c r="I14" s="163" t="str">
        <f t="shared" si="3"/>
        <v>ЕСЬКИН Михаил</v>
      </c>
      <c r="J14" s="1058">
        <v>2</v>
      </c>
      <c r="K14" s="1058"/>
      <c r="L14" s="1058"/>
      <c r="M14" s="1058"/>
      <c r="N14" s="1058"/>
      <c r="O14" s="1058"/>
      <c r="P14" s="1058"/>
      <c r="Q14" s="1058"/>
      <c r="R14" s="1055" t="str">
        <f t="shared" si="1"/>
        <v>3:2</v>
      </c>
      <c r="S14" s="1047">
        <f t="shared" si="2"/>
        <v>0</v>
      </c>
    </row>
    <row r="15" spans="1:19" ht="15" x14ac:dyDescent="0.2">
      <c r="B15" s="348">
        <v>12</v>
      </c>
      <c r="C15" s="1056">
        <f>'Ф(32)'!B51</f>
        <v>60</v>
      </c>
      <c r="D15" s="1057">
        <f>'Ф(32)'!B53</f>
        <v>33</v>
      </c>
      <c r="E15" s="145" t="str">
        <f>IF(C15="","",VLOOKUP(C15,'Списки участников'!$A:$S,3,FALSE))</f>
        <v xml:space="preserve"> Х</v>
      </c>
      <c r="F15" s="145" t="str">
        <f>IF(D15="","",VLOOKUP(D15,'Списки участников'!$A:$S,3,FALSE))</f>
        <v>ГАЛАНОВ Максим</v>
      </c>
      <c r="G15" s="1051">
        <f t="shared" si="0"/>
        <v>33</v>
      </c>
      <c r="H15" s="163" t="s">
        <v>2719</v>
      </c>
      <c r="I15" s="163" t="str">
        <f t="shared" si="3"/>
        <v xml:space="preserve"> Х</v>
      </c>
      <c r="J15" s="1058"/>
      <c r="K15" s="1058"/>
      <c r="L15" s="1058"/>
      <c r="M15" s="1058"/>
      <c r="N15" s="1058"/>
      <c r="O15" s="1058"/>
      <c r="P15" s="1058"/>
      <c r="Q15" s="1058"/>
      <c r="R15" s="1055" t="str">
        <f t="shared" si="1"/>
        <v/>
      </c>
      <c r="S15" s="1047">
        <f t="shared" si="2"/>
        <v>0</v>
      </c>
    </row>
    <row r="16" spans="1:19" ht="15" x14ac:dyDescent="0.2">
      <c r="B16" s="348">
        <v>13</v>
      </c>
      <c r="C16" s="1056">
        <f>'Ф(32)'!B55</f>
        <v>2</v>
      </c>
      <c r="D16" s="1057">
        <f>'Ф(32)'!B57</f>
        <v>60</v>
      </c>
      <c r="E16" s="145" t="str">
        <f>IF(C16="","",VLOOKUP(C16,'Списки участников'!$A:$S,3,FALSE))</f>
        <v>РОЙТМАН Дмитрий</v>
      </c>
      <c r="F16" s="145" t="str">
        <f>IF(D16="","",VLOOKUP(D16,'Списки участников'!$A:$S,3,FALSE))</f>
        <v xml:space="preserve"> Х</v>
      </c>
      <c r="G16" s="1051">
        <f t="shared" si="0"/>
        <v>2</v>
      </c>
      <c r="H16" s="163" t="s">
        <v>2773</v>
      </c>
      <c r="I16" s="163" t="str">
        <f t="shared" si="3"/>
        <v xml:space="preserve"> Х</v>
      </c>
      <c r="J16" s="1058"/>
      <c r="K16" s="1058"/>
      <c r="L16" s="1058"/>
      <c r="M16" s="1058"/>
      <c r="N16" s="1058"/>
      <c r="O16" s="1058"/>
      <c r="P16" s="1058"/>
      <c r="Q16" s="1058"/>
      <c r="R16" s="1055" t="str">
        <f t="shared" si="1"/>
        <v/>
      </c>
      <c r="S16" s="1047">
        <f t="shared" si="2"/>
        <v>0</v>
      </c>
    </row>
    <row r="17" spans="2:19" ht="15" x14ac:dyDescent="0.2">
      <c r="B17" s="348">
        <v>14</v>
      </c>
      <c r="C17" s="1056">
        <f>'Ф(32)'!B59</f>
        <v>25</v>
      </c>
      <c r="D17" s="1057">
        <f>'Ф(32)'!B61</f>
        <v>21</v>
      </c>
      <c r="E17" s="145" t="str">
        <f>IF(C17="","",VLOOKUP(C17,'Списки участников'!$A:$S,3,FALSE))</f>
        <v>ФИЛЬЧУГОВ Сергей</v>
      </c>
      <c r="F17" s="145" t="str">
        <f>IF(D17="","",VLOOKUP(D17,'Списки участников'!$A:$S,3,FALSE))</f>
        <v>КОПНОВ Павел</v>
      </c>
      <c r="G17" s="1051">
        <f t="shared" si="0"/>
        <v>25</v>
      </c>
      <c r="H17" s="163" t="s">
        <v>2753</v>
      </c>
      <c r="I17" s="163" t="str">
        <f t="shared" si="3"/>
        <v>КОПНОВ Павел</v>
      </c>
      <c r="J17" s="1058">
        <v>1</v>
      </c>
      <c r="K17" s="1058"/>
      <c r="L17" s="1058"/>
      <c r="M17" s="1058"/>
      <c r="N17" s="1058"/>
      <c r="O17" s="1058"/>
      <c r="P17" s="1058"/>
      <c r="Q17" s="1058"/>
      <c r="R17" s="1055" t="str">
        <f t="shared" si="1"/>
        <v>3:1</v>
      </c>
      <c r="S17" s="1047">
        <f t="shared" si="2"/>
        <v>0</v>
      </c>
    </row>
    <row r="18" spans="2:19" ht="15" x14ac:dyDescent="0.2">
      <c r="B18" s="348">
        <v>15</v>
      </c>
      <c r="C18" s="1056">
        <f>'Ф(32)'!B63</f>
        <v>42</v>
      </c>
      <c r="D18" s="1057">
        <f>'Ф(32)'!B65</f>
        <v>37</v>
      </c>
      <c r="E18" s="145" t="str">
        <f>IF(C18="","",VLOOKUP(C18,'Списки участников'!$A:$S,3,FALSE))</f>
        <v>ПАНИН Сергей</v>
      </c>
      <c r="F18" s="145" t="str">
        <f>IF(D18="","",VLOOKUP(D18,'Списки участников'!$A:$S,3,FALSE))</f>
        <v>РОДИНОВ Андрей</v>
      </c>
      <c r="G18" s="1051">
        <f t="shared" si="0"/>
        <v>37</v>
      </c>
      <c r="H18" s="163" t="s">
        <v>2786</v>
      </c>
      <c r="I18" s="163" t="str">
        <f t="shared" si="3"/>
        <v>ПАНИН Сергей</v>
      </c>
      <c r="J18" s="1058">
        <v>0</v>
      </c>
      <c r="K18" s="1058"/>
      <c r="L18" s="1058"/>
      <c r="M18" s="1058"/>
      <c r="N18" s="1058"/>
      <c r="O18" s="1058"/>
      <c r="P18" s="1058"/>
      <c r="Q18" s="1058"/>
      <c r="R18" s="1055" t="str">
        <f t="shared" si="1"/>
        <v>3:0</v>
      </c>
      <c r="S18" s="1047">
        <f t="shared" si="2"/>
        <v>0</v>
      </c>
    </row>
    <row r="19" spans="2:19" ht="15.75" thickBot="1" x14ac:dyDescent="0.25">
      <c r="B19" s="349">
        <v>16</v>
      </c>
      <c r="C19" s="1059">
        <f>'Ф(32)'!B67</f>
        <v>60</v>
      </c>
      <c r="D19" s="1060">
        <f>'Ф(32)'!B69</f>
        <v>17</v>
      </c>
      <c r="E19" s="145" t="str">
        <f>IF(C19="","",VLOOKUP(C19,'Списки участников'!$A:$S,3,FALSE))</f>
        <v xml:space="preserve"> Х</v>
      </c>
      <c r="F19" s="145" t="str">
        <f>IF(D19="","",VLOOKUP(D19,'Списки участников'!$A:$S,3,FALSE))</f>
        <v>ЕГОРОВ Игорь</v>
      </c>
      <c r="G19" s="1051">
        <f t="shared" si="0"/>
        <v>17</v>
      </c>
      <c r="H19" s="1061" t="s">
        <v>2750</v>
      </c>
      <c r="I19" s="163" t="str">
        <f t="shared" si="3"/>
        <v xml:space="preserve"> Х</v>
      </c>
      <c r="J19" s="1058"/>
      <c r="K19" s="1058"/>
      <c r="L19" s="1058"/>
      <c r="M19" s="1058"/>
      <c r="N19" s="1058"/>
      <c r="O19" s="1058"/>
      <c r="P19" s="1058"/>
      <c r="Q19" s="1058"/>
      <c r="R19" s="1055" t="str">
        <f t="shared" si="1"/>
        <v/>
      </c>
      <c r="S19" s="1047">
        <f t="shared" si="2"/>
        <v>0</v>
      </c>
    </row>
    <row r="20" spans="2:19" ht="15" x14ac:dyDescent="0.2">
      <c r="B20" s="1062">
        <v>17</v>
      </c>
      <c r="C20" s="195">
        <f>IF(H4="","",IF(H4=E4,C4,D4))</f>
        <v>1</v>
      </c>
      <c r="D20" s="195">
        <f>IF(H5="","",IF(H5=E5,C5,D5))</f>
        <v>39</v>
      </c>
      <c r="E20" s="145" t="str">
        <f>IF(C20="","",VLOOKUP(C20,'Списки участников'!$A:$S,3,FALSE))</f>
        <v>НИКИФОРОВ Александр</v>
      </c>
      <c r="F20" s="145" t="str">
        <f>IF(D20="","",VLOOKUP(D20,'Списки участников'!$A:$S,3,FALSE))</f>
        <v>ИСУПОВ Максим</v>
      </c>
      <c r="G20" s="1051">
        <f t="shared" si="0"/>
        <v>1</v>
      </c>
      <c r="H20" s="163" t="s">
        <v>2798</v>
      </c>
      <c r="I20" s="163" t="str">
        <f t="shared" si="3"/>
        <v>ИСУПОВ Максим</v>
      </c>
      <c r="J20" s="1058">
        <v>0</v>
      </c>
      <c r="K20" s="1058"/>
      <c r="L20" s="1058"/>
      <c r="M20" s="1058"/>
      <c r="N20" s="1058"/>
      <c r="O20" s="1058"/>
      <c r="P20" s="1058"/>
      <c r="Q20" s="1058"/>
      <c r="R20" s="1055" t="str">
        <f t="shared" si="1"/>
        <v>3:0</v>
      </c>
      <c r="S20" s="1047">
        <f t="shared" si="2"/>
        <v>0</v>
      </c>
    </row>
    <row r="21" spans="2:19" ht="15" x14ac:dyDescent="0.2">
      <c r="B21" s="348">
        <v>18</v>
      </c>
      <c r="C21" s="196">
        <f>IF(H6="","",IF(H6=E6,C6,D6))</f>
        <v>26</v>
      </c>
      <c r="D21" s="196">
        <f>IF(H7="","",IF(H7=E7,C7,D7))</f>
        <v>34</v>
      </c>
      <c r="E21" s="145" t="str">
        <f>IF(C21="","",VLOOKUP(C21,'Списки участников'!$A:$S,3,FALSE))</f>
        <v>ТЫЛЕЧКИН Валерий</v>
      </c>
      <c r="F21" s="145" t="str">
        <f>IF(D21="","",VLOOKUP(D21,'Списки участников'!$A:$S,3,FALSE))</f>
        <v>ТИНЬКОВ Александр</v>
      </c>
      <c r="G21" s="1051">
        <f t="shared" si="0"/>
        <v>34</v>
      </c>
      <c r="H21" s="163" t="s">
        <v>2794</v>
      </c>
      <c r="I21" s="163" t="str">
        <f t="shared" si="3"/>
        <v>ТЫЛЕЧКИН Валерий</v>
      </c>
      <c r="J21" s="1058">
        <v>0</v>
      </c>
      <c r="K21" s="1058"/>
      <c r="L21" s="1058"/>
      <c r="M21" s="1058"/>
      <c r="N21" s="1058"/>
      <c r="O21" s="1058"/>
      <c r="P21" s="1058"/>
      <c r="Q21" s="1058"/>
      <c r="R21" s="1055" t="str">
        <f t="shared" si="1"/>
        <v>3:0</v>
      </c>
      <c r="S21" s="1047">
        <f t="shared" si="2"/>
        <v>0</v>
      </c>
    </row>
    <row r="22" spans="2:19" ht="15" x14ac:dyDescent="0.2">
      <c r="B22" s="348">
        <v>19</v>
      </c>
      <c r="C22" s="196">
        <f>IF(H8="","",IF(H8=E8,C8,D8))</f>
        <v>11</v>
      </c>
      <c r="D22" s="196">
        <f>IF(H9="","",IF(H9=E9,C9,D9))</f>
        <v>14</v>
      </c>
      <c r="E22" s="145" t="str">
        <f>IF(C22="","",VLOOKUP(C22,'Списки участников'!$A:$S,3,FALSE))</f>
        <v>ФИНАГИН Кирилл</v>
      </c>
      <c r="F22" s="145" t="str">
        <f>IF(D22="","",VLOOKUP(D22,'Списки участников'!$A:$S,3,FALSE))</f>
        <v>КОНОВ Сергей</v>
      </c>
      <c r="G22" s="1051">
        <f t="shared" si="0"/>
        <v>11</v>
      </c>
      <c r="H22" s="163" t="s">
        <v>2772</v>
      </c>
      <c r="I22" s="163" t="str">
        <f t="shared" si="3"/>
        <v>КОНОВ Сергей</v>
      </c>
      <c r="J22" s="1058">
        <v>0</v>
      </c>
      <c r="K22" s="1058"/>
      <c r="L22" s="1058"/>
      <c r="M22" s="1058"/>
      <c r="N22" s="1058"/>
      <c r="O22" s="1058"/>
      <c r="P22" s="1058"/>
      <c r="Q22" s="1058"/>
      <c r="R22" s="1055" t="str">
        <f t="shared" si="1"/>
        <v>3:0</v>
      </c>
      <c r="S22" s="1047">
        <f t="shared" si="2"/>
        <v>0</v>
      </c>
    </row>
    <row r="23" spans="2:19" ht="15" x14ac:dyDescent="0.2">
      <c r="B23" s="348">
        <v>20</v>
      </c>
      <c r="C23" s="196">
        <f>IF(H10="","",IF(H10=E10,C10,D10))</f>
        <v>45</v>
      </c>
      <c r="D23" s="196">
        <f>IF(H11="","",IF(H11=E11,C11,D11))</f>
        <v>19</v>
      </c>
      <c r="E23" s="145" t="str">
        <f>IF(C23="","",VLOOKUP(C23,'Списки участников'!$A:$S,3,FALSE))</f>
        <v>ПЧЕЛИН Сергей</v>
      </c>
      <c r="F23" s="145" t="str">
        <f>IF(D23="","",VLOOKUP(D23,'Списки участников'!$A:$S,3,FALSE))</f>
        <v>МАРКЕЛОВ Игорь</v>
      </c>
      <c r="G23" s="1051">
        <f t="shared" si="0"/>
        <v>19</v>
      </c>
      <c r="H23" s="163" t="s">
        <v>2769</v>
      </c>
      <c r="I23" s="163" t="str">
        <f t="shared" si="3"/>
        <v>ПЧЕЛИН Сергей</v>
      </c>
      <c r="J23" s="1058">
        <v>1</v>
      </c>
      <c r="K23" s="1058"/>
      <c r="L23" s="1058"/>
      <c r="M23" s="1058"/>
      <c r="N23" s="1058"/>
      <c r="O23" s="1058"/>
      <c r="P23" s="1058"/>
      <c r="Q23" s="1058"/>
      <c r="R23" s="1055" t="str">
        <f t="shared" si="1"/>
        <v>3:1</v>
      </c>
      <c r="S23" s="1047">
        <f t="shared" si="2"/>
        <v>0</v>
      </c>
    </row>
    <row r="24" spans="2:19" ht="15" x14ac:dyDescent="0.2">
      <c r="B24" s="348">
        <v>21</v>
      </c>
      <c r="C24" s="196">
        <f>IF(H12="","",IF(H12=E12,C12,D12))</f>
        <v>38</v>
      </c>
      <c r="D24" s="196">
        <f>IF(H13="","",IF(H13=E13,C13,D13))</f>
        <v>25</v>
      </c>
      <c r="E24" s="145" t="str">
        <f>IF(C24="","",VLOOKUP(C24,'Списки участников'!$A:$S,3,FALSE))</f>
        <v>СИМУСЕВ Сергей</v>
      </c>
      <c r="F24" s="145" t="str">
        <f>IF(D24="","",VLOOKUP(D24,'Списки участников'!$A:$S,3,FALSE))</f>
        <v>ФИЛЬЧУГОВ Сергей</v>
      </c>
      <c r="G24" s="1051">
        <f t="shared" si="0"/>
        <v>38</v>
      </c>
      <c r="H24" s="163" t="s">
        <v>2771</v>
      </c>
      <c r="I24" s="163" t="str">
        <f t="shared" si="3"/>
        <v>ФИЛЬЧУГОВ Сергей</v>
      </c>
      <c r="J24" s="1058">
        <v>1</v>
      </c>
      <c r="K24" s="1058"/>
      <c r="L24" s="1058"/>
      <c r="M24" s="1058"/>
      <c r="N24" s="1058"/>
      <c r="O24" s="1058"/>
      <c r="P24" s="1058"/>
      <c r="Q24" s="1058"/>
      <c r="R24" s="1055" t="str">
        <f t="shared" si="1"/>
        <v>3:1</v>
      </c>
      <c r="S24" s="1047">
        <f t="shared" si="2"/>
        <v>0</v>
      </c>
    </row>
    <row r="25" spans="2:19" ht="15" x14ac:dyDescent="0.2">
      <c r="B25" s="348">
        <v>22</v>
      </c>
      <c r="C25" s="196">
        <f>IF(H14="","",IF(H14=E14,C14,D14))</f>
        <v>46</v>
      </c>
      <c r="D25" s="196">
        <f>IF(H15="","",IF(H15=E15,C15,D15))</f>
        <v>33</v>
      </c>
      <c r="E25" s="145" t="str">
        <f>IF(C25="","",VLOOKUP(C25,'Списки участников'!$A:$S,3,FALSE))</f>
        <v>МАТВЕЕВ Сергей</v>
      </c>
      <c r="F25" s="145" t="str">
        <f>IF(D25="","",VLOOKUP(D25,'Списки участников'!$A:$S,3,FALSE))</f>
        <v>ГАЛАНОВ Максим</v>
      </c>
      <c r="G25" s="1051">
        <f t="shared" si="0"/>
        <v>46</v>
      </c>
      <c r="H25" s="163" t="s">
        <v>2776</v>
      </c>
      <c r="I25" s="163" t="str">
        <f t="shared" si="3"/>
        <v>ГАЛАНОВ Максим</v>
      </c>
      <c r="J25" s="1058">
        <v>0</v>
      </c>
      <c r="K25" s="1058"/>
      <c r="L25" s="1058"/>
      <c r="M25" s="1058"/>
      <c r="N25" s="1058"/>
      <c r="O25" s="1058"/>
      <c r="P25" s="1058"/>
      <c r="Q25" s="1058"/>
      <c r="R25" s="1055" t="str">
        <f t="shared" si="1"/>
        <v>3:0</v>
      </c>
      <c r="S25" s="1047">
        <f t="shared" si="2"/>
        <v>0</v>
      </c>
    </row>
    <row r="26" spans="2:19" ht="15" x14ac:dyDescent="0.2">
      <c r="B26" s="348">
        <v>23</v>
      </c>
      <c r="C26" s="196">
        <f>IF(H16="","",IF(H16=E16,C16,D16))</f>
        <v>2</v>
      </c>
      <c r="D26" s="196">
        <f>IF(H17="","",IF(H17=E17,C17,D17))</f>
        <v>25</v>
      </c>
      <c r="E26" s="145" t="str">
        <f>IF(C26="","",VLOOKUP(C26,'Списки участников'!$A:$S,3,FALSE))</f>
        <v>РОЙТМАН Дмитрий</v>
      </c>
      <c r="F26" s="145" t="str">
        <f>IF(D26="","",VLOOKUP(D26,'Списки участников'!$A:$S,3,FALSE))</f>
        <v>ФИЛЬЧУГОВ Сергей</v>
      </c>
      <c r="G26" s="1051">
        <f t="shared" si="0"/>
        <v>2</v>
      </c>
      <c r="H26" s="163" t="s">
        <v>2773</v>
      </c>
      <c r="I26" s="163" t="str">
        <f t="shared" si="3"/>
        <v>ФИЛЬЧУГОВ Сергей</v>
      </c>
      <c r="J26" s="1058">
        <v>0</v>
      </c>
      <c r="K26" s="1058"/>
      <c r="L26" s="1058"/>
      <c r="M26" s="1058"/>
      <c r="N26" s="1058"/>
      <c r="O26" s="1058"/>
      <c r="P26" s="1058"/>
      <c r="Q26" s="1058"/>
      <c r="R26" s="1055" t="str">
        <f t="shared" si="1"/>
        <v>3:0</v>
      </c>
      <c r="S26" s="1047">
        <f t="shared" si="2"/>
        <v>0</v>
      </c>
    </row>
    <row r="27" spans="2:19" ht="15.75" thickBot="1" x14ac:dyDescent="0.25">
      <c r="B27" s="349">
        <v>24</v>
      </c>
      <c r="C27" s="382">
        <f>IF(H18="","",IF(H18=E18,C18,D18))</f>
        <v>37</v>
      </c>
      <c r="D27" s="334">
        <f>IF(H19="","",IF(H19=E19,C19,D19))</f>
        <v>17</v>
      </c>
      <c r="E27" s="145" t="str">
        <f>IF(C27="","",VLOOKUP(C27,'Списки участников'!$A:$S,3,FALSE))</f>
        <v>РОДИНОВ Андрей</v>
      </c>
      <c r="F27" s="145" t="str">
        <f>IF(D27="","",VLOOKUP(D27,'Списки участников'!$A:$S,3,FALSE))</f>
        <v>ЕГОРОВ Игорь</v>
      </c>
      <c r="G27" s="1051">
        <f t="shared" si="0"/>
        <v>37</v>
      </c>
      <c r="H27" s="1061" t="s">
        <v>2786</v>
      </c>
      <c r="I27" s="163" t="str">
        <f t="shared" si="3"/>
        <v>ЕГОРОВ Игорь</v>
      </c>
      <c r="J27" s="1058">
        <v>1</v>
      </c>
      <c r="K27" s="1058"/>
      <c r="L27" s="1058"/>
      <c r="M27" s="1058"/>
      <c r="N27" s="1058"/>
      <c r="O27" s="1058"/>
      <c r="P27" s="1058"/>
      <c r="Q27" s="1058"/>
      <c r="R27" s="1055" t="str">
        <f t="shared" si="1"/>
        <v>3:1</v>
      </c>
      <c r="S27" s="1047">
        <f t="shared" si="2"/>
        <v>0</v>
      </c>
    </row>
    <row r="28" spans="2:19" ht="15" x14ac:dyDescent="0.2">
      <c r="B28" s="1062">
        <v>25</v>
      </c>
      <c r="C28" s="195">
        <f>IF(H20="","",IF(H20=E20,C20,D20))</f>
        <v>1</v>
      </c>
      <c r="D28" s="195">
        <f>IF(H21="","",IF(H21=E21,C21,D21))</f>
        <v>34</v>
      </c>
      <c r="E28" s="145" t="str">
        <f>IF(C28="","",VLOOKUP(C28,'Списки участников'!$A:$S,3,FALSE))</f>
        <v>НИКИФОРОВ Александр</v>
      </c>
      <c r="F28" s="145" t="str">
        <f>IF(D28="","",VLOOKUP(D28,'Списки участников'!$A:$S,3,FALSE))</f>
        <v>ТИНЬКОВ Александр</v>
      </c>
      <c r="G28" s="1051">
        <f t="shared" si="0"/>
        <v>1</v>
      </c>
      <c r="H28" s="1018" t="s">
        <v>2798</v>
      </c>
      <c r="I28" s="163" t="str">
        <f t="shared" si="3"/>
        <v>ТИНЬКОВ Александр</v>
      </c>
      <c r="J28" s="1058">
        <v>0</v>
      </c>
      <c r="K28" s="1058"/>
      <c r="L28" s="1058"/>
      <c r="M28" s="1058"/>
      <c r="N28" s="1058"/>
      <c r="O28" s="1058"/>
      <c r="P28" s="1058"/>
      <c r="Q28" s="1058"/>
      <c r="R28" s="1055" t="str">
        <f t="shared" si="1"/>
        <v>3:0</v>
      </c>
      <c r="S28" s="1047">
        <f t="shared" si="2"/>
        <v>0</v>
      </c>
    </row>
    <row r="29" spans="2:19" ht="15" x14ac:dyDescent="0.2">
      <c r="B29" s="348">
        <v>26</v>
      </c>
      <c r="C29" s="196">
        <f>IF(H22="","",IF(H22=E22,C22,D22))</f>
        <v>11</v>
      </c>
      <c r="D29" s="196">
        <f>IF(H23="","",IF(H23=E23,C23,D23))</f>
        <v>19</v>
      </c>
      <c r="E29" s="145" t="str">
        <f>IF(C29="","",VLOOKUP(C29,'Списки участников'!$A:$S,3,FALSE))</f>
        <v>ФИНАГИН Кирилл</v>
      </c>
      <c r="F29" s="145" t="str">
        <f>IF(D29="","",VLOOKUP(D29,'Списки участников'!$A:$S,3,FALSE))</f>
        <v>МАРКЕЛОВ Игорь</v>
      </c>
      <c r="G29" s="1051">
        <f t="shared" si="0"/>
        <v>19</v>
      </c>
      <c r="H29" s="163" t="s">
        <v>2769</v>
      </c>
      <c r="I29" s="163" t="str">
        <f t="shared" si="3"/>
        <v>ФИНАГИН Кирилл</v>
      </c>
      <c r="J29" s="1058">
        <v>0</v>
      </c>
      <c r="K29" s="1058"/>
      <c r="L29" s="1058"/>
      <c r="M29" s="1058"/>
      <c r="N29" s="1058"/>
      <c r="O29" s="1058"/>
      <c r="P29" s="1058"/>
      <c r="Q29" s="1058"/>
      <c r="R29" s="1055" t="str">
        <f t="shared" si="1"/>
        <v>3:0</v>
      </c>
      <c r="S29" s="1047">
        <f t="shared" si="2"/>
        <v>0</v>
      </c>
    </row>
    <row r="30" spans="2:19" ht="15" x14ac:dyDescent="0.2">
      <c r="B30" s="348">
        <v>27</v>
      </c>
      <c r="C30" s="196">
        <f>IF(H24="","",IF(H24=E24,C24,D24))</f>
        <v>38</v>
      </c>
      <c r="D30" s="196">
        <f>IF(H25="","",IF(H25=E25,C25,D25))</f>
        <v>46</v>
      </c>
      <c r="E30" s="145" t="str">
        <f>IF(C30="","",VLOOKUP(C30,'Списки участников'!$A:$S,3,FALSE))</f>
        <v>СИМУСЕВ Сергей</v>
      </c>
      <c r="F30" s="145" t="str">
        <f>IF(D30="","",VLOOKUP(D30,'Списки участников'!$A:$S,3,FALSE))</f>
        <v>МАТВЕЕВ Сергей</v>
      </c>
      <c r="G30" s="1051">
        <f t="shared" si="0"/>
        <v>38</v>
      </c>
      <c r="H30" s="1018" t="s">
        <v>2771</v>
      </c>
      <c r="I30" s="163" t="str">
        <f t="shared" si="3"/>
        <v>МАТВЕЕВ Сергей</v>
      </c>
      <c r="J30" s="1058">
        <v>0</v>
      </c>
      <c r="K30" s="1058"/>
      <c r="L30" s="1058"/>
      <c r="M30" s="1058"/>
      <c r="N30" s="1058"/>
      <c r="O30" s="1058"/>
      <c r="P30" s="1058"/>
      <c r="Q30" s="1058"/>
      <c r="R30" s="1055" t="str">
        <f t="shared" si="1"/>
        <v>3:0</v>
      </c>
      <c r="S30" s="1047">
        <f t="shared" si="2"/>
        <v>0</v>
      </c>
    </row>
    <row r="31" spans="2:19" ht="15.75" thickBot="1" x14ac:dyDescent="0.25">
      <c r="B31" s="349">
        <v>28</v>
      </c>
      <c r="C31" s="334">
        <f>IF(H26="","",IF(H26=E26,C26,D26))</f>
        <v>2</v>
      </c>
      <c r="D31" s="334">
        <f>IF(H27="","",IF(H27=E27,C27,D27))</f>
        <v>37</v>
      </c>
      <c r="E31" s="145" t="str">
        <f>IF(C31="","",VLOOKUP(C31,'Списки участников'!$A:$S,3,FALSE))</f>
        <v>РОЙТМАН Дмитрий</v>
      </c>
      <c r="F31" s="145" t="str">
        <f>IF(D31="","",VLOOKUP(D31,'Списки участников'!$A:$S,3,FALSE))</f>
        <v>РОДИНОВ Андрей</v>
      </c>
      <c r="G31" s="1051">
        <f t="shared" si="0"/>
        <v>37</v>
      </c>
      <c r="H31" s="1061" t="s">
        <v>2786</v>
      </c>
      <c r="I31" s="163" t="str">
        <f t="shared" si="3"/>
        <v>РОЙТМАН Дмитрий</v>
      </c>
      <c r="J31" s="1058">
        <v>0</v>
      </c>
      <c r="K31" s="1058"/>
      <c r="L31" s="1058"/>
      <c r="M31" s="1058"/>
      <c r="N31" s="1058"/>
      <c r="O31" s="1058"/>
      <c r="P31" s="1058"/>
      <c r="Q31" s="1058"/>
      <c r="R31" s="1055" t="str">
        <f t="shared" si="1"/>
        <v>3:0</v>
      </c>
      <c r="S31" s="1047">
        <f t="shared" si="2"/>
        <v>0</v>
      </c>
    </row>
    <row r="32" spans="2:19" ht="15" x14ac:dyDescent="0.2">
      <c r="B32" s="1062">
        <v>29</v>
      </c>
      <c r="C32" s="195">
        <f>IF(H28="","",IF(H28=E28,C28,D28))</f>
        <v>1</v>
      </c>
      <c r="D32" s="195">
        <f>IF(H29="","",IF(H29=E29,C29,D29))</f>
        <v>19</v>
      </c>
      <c r="E32" s="145" t="str">
        <f>IF(C32="","",VLOOKUP(C32,'Списки участников'!$A:$S,3,FALSE))</f>
        <v>НИКИФОРОВ Александр</v>
      </c>
      <c r="F32" s="145" t="str">
        <f>IF(D32="","",VLOOKUP(D32,'Списки участников'!$A:$S,3,FALSE))</f>
        <v>МАРКЕЛОВ Игорь</v>
      </c>
      <c r="G32" s="1051">
        <f t="shared" si="0"/>
        <v>1</v>
      </c>
      <c r="H32" s="155" t="s">
        <v>2798</v>
      </c>
      <c r="I32" s="163" t="str">
        <f t="shared" si="3"/>
        <v>МАРКЕЛОВ Игорь</v>
      </c>
      <c r="J32" s="1058">
        <v>0</v>
      </c>
      <c r="K32" s="1058"/>
      <c r="L32" s="1058"/>
      <c r="M32" s="1058"/>
      <c r="N32" s="1058"/>
      <c r="O32" s="1058"/>
      <c r="P32" s="1058"/>
      <c r="Q32" s="1058"/>
      <c r="R32" s="1055" t="str">
        <f t="shared" si="1"/>
        <v>3:0</v>
      </c>
      <c r="S32" s="1047">
        <f t="shared" si="2"/>
        <v>0</v>
      </c>
    </row>
    <row r="33" spans="2:19" ht="15.75" thickBot="1" x14ac:dyDescent="0.25">
      <c r="B33" s="349">
        <v>30</v>
      </c>
      <c r="C33" s="334">
        <f>IF(H30="","",IF(H30=E30,C30,D30))</f>
        <v>38</v>
      </c>
      <c r="D33" s="334">
        <f>IF(H31="","",IF(H31=E31,C31,D31))</f>
        <v>37</v>
      </c>
      <c r="E33" s="145" t="str">
        <f>IF(C33="","",VLOOKUP(C33,'Списки участников'!$A:$S,3,FALSE))</f>
        <v>СИМУСЕВ Сергей</v>
      </c>
      <c r="F33" s="145" t="str">
        <f>IF(D33="","",VLOOKUP(D33,'Списки участников'!$A:$S,3,FALSE))</f>
        <v>РОДИНОВ Андрей</v>
      </c>
      <c r="G33" s="1051">
        <f t="shared" si="0"/>
        <v>37</v>
      </c>
      <c r="H33" s="1061" t="s">
        <v>2786</v>
      </c>
      <c r="I33" s="163" t="str">
        <f t="shared" si="3"/>
        <v>СИМУСЕВ Сергей</v>
      </c>
      <c r="J33" s="1058">
        <v>0</v>
      </c>
      <c r="K33" s="1058"/>
      <c r="L33" s="1058"/>
      <c r="M33" s="1058"/>
      <c r="N33" s="1058"/>
      <c r="O33" s="1058"/>
      <c r="P33" s="1058"/>
      <c r="Q33" s="1058"/>
      <c r="R33" s="1055" t="str">
        <f t="shared" si="1"/>
        <v>3:0</v>
      </c>
      <c r="S33" s="1047">
        <f t="shared" si="2"/>
        <v>0</v>
      </c>
    </row>
    <row r="34" spans="2:19" ht="15.75" thickBot="1" x14ac:dyDescent="0.25">
      <c r="B34" s="374">
        <v>31</v>
      </c>
      <c r="C34" s="364">
        <f>IF(H32="","",IF(H32=E32,C32,D32))</f>
        <v>1</v>
      </c>
      <c r="D34" s="364">
        <f>IF(H33="","",IF(H33=E33,C33,D33))</f>
        <v>37</v>
      </c>
      <c r="E34" s="145" t="str">
        <f>IF(C34="","",VLOOKUP(C34,'Списки участников'!$A:$S,3,FALSE))</f>
        <v>НИКИФОРОВ Александр</v>
      </c>
      <c r="F34" s="145" t="str">
        <f>IF(D34="","",VLOOKUP(D34,'Списки участников'!$A:$S,3,FALSE))</f>
        <v>РОДИНОВ Андрей</v>
      </c>
      <c r="G34" s="1051">
        <f t="shared" si="0"/>
        <v>1</v>
      </c>
      <c r="H34" s="1063" t="s">
        <v>2798</v>
      </c>
      <c r="I34" s="163" t="str">
        <f t="shared" si="3"/>
        <v>РОДИНОВ Андрей</v>
      </c>
      <c r="J34" s="1058">
        <v>0</v>
      </c>
      <c r="K34" s="1058"/>
      <c r="L34" s="1058"/>
      <c r="M34" s="1058"/>
      <c r="N34" s="1058"/>
      <c r="O34" s="1058"/>
      <c r="P34" s="1058"/>
      <c r="Q34" s="1058"/>
      <c r="R34" s="1055" t="str">
        <f t="shared" si="1"/>
        <v>3:0</v>
      </c>
      <c r="S34" s="1047">
        <f t="shared" si="2"/>
        <v>0</v>
      </c>
    </row>
    <row r="35" spans="2:19" ht="15.75" thickBot="1" x14ac:dyDescent="0.25">
      <c r="B35" s="349">
        <v>32</v>
      </c>
      <c r="C35" s="149">
        <f>IF(H32="","",IF(H32=E32,D32,C32))</f>
        <v>19</v>
      </c>
      <c r="D35" s="149">
        <f>IF(H33="","",IF(H33=E33,D33,C33))</f>
        <v>38</v>
      </c>
      <c r="E35" s="145" t="str">
        <f>IF(C35="","",VLOOKUP(C35,'Списки участников'!$A:$S,3,FALSE))</f>
        <v>МАРКЕЛОВ Игорь</v>
      </c>
      <c r="F35" s="145" t="str">
        <f>IF(D35="","",VLOOKUP(D35,'Списки участников'!$A:$S,3,FALSE))</f>
        <v>СИМУСЕВ Сергей</v>
      </c>
      <c r="G35" s="1051">
        <f t="shared" si="0"/>
        <v>38</v>
      </c>
      <c r="H35" s="1016" t="s">
        <v>2771</v>
      </c>
      <c r="I35" s="163" t="str">
        <f t="shared" si="3"/>
        <v>МАРКЕЛОВ Игорь</v>
      </c>
      <c r="J35" s="1058">
        <v>1</v>
      </c>
      <c r="K35" s="1058"/>
      <c r="L35" s="1058"/>
      <c r="M35" s="1058"/>
      <c r="N35" s="1058"/>
      <c r="O35" s="1058"/>
      <c r="P35" s="1058"/>
      <c r="Q35" s="1058"/>
      <c r="R35" s="1055" t="str">
        <f t="shared" si="1"/>
        <v>3:1</v>
      </c>
      <c r="S35" s="1047">
        <f t="shared" si="2"/>
        <v>0</v>
      </c>
    </row>
    <row r="36" spans="2:19" ht="15.75" thickBot="1" x14ac:dyDescent="0.25">
      <c r="B36" s="374">
        <v>33</v>
      </c>
      <c r="C36" s="149">
        <f>IF(H28="","",IF(H28=E28,D28,C28))</f>
        <v>34</v>
      </c>
      <c r="D36" s="149">
        <f>IF(H29="","",IF(H29=E29,D29,C29))</f>
        <v>11</v>
      </c>
      <c r="E36" s="145" t="str">
        <f>IF(C36="","",VLOOKUP(C36,'Списки участников'!$A:$S,3,FALSE))</f>
        <v>ТИНЬКОВ Александр</v>
      </c>
      <c r="F36" s="145" t="str">
        <f>IF(D36="","",VLOOKUP(D36,'Списки участников'!$A:$S,3,FALSE))</f>
        <v>ФИНАГИН Кирилл</v>
      </c>
      <c r="G36" s="1051">
        <f t="shared" si="0"/>
        <v>11</v>
      </c>
      <c r="H36" s="163" t="s">
        <v>2772</v>
      </c>
      <c r="I36" s="163" t="str">
        <f t="shared" si="3"/>
        <v>ТИНЬКОВ Александр</v>
      </c>
      <c r="J36" s="1058">
        <v>1</v>
      </c>
      <c r="K36" s="1058"/>
      <c r="L36" s="1058"/>
      <c r="M36" s="1058"/>
      <c r="N36" s="1058"/>
      <c r="O36" s="1058"/>
      <c r="P36" s="1058"/>
      <c r="Q36" s="1058"/>
      <c r="R36" s="1055" t="str">
        <f t="shared" si="1"/>
        <v>3:1</v>
      </c>
      <c r="S36" s="1047">
        <f t="shared" si="2"/>
        <v>0</v>
      </c>
    </row>
    <row r="37" spans="2:19" ht="15.75" thickBot="1" x14ac:dyDescent="0.25">
      <c r="B37" s="349">
        <v>34</v>
      </c>
      <c r="C37" s="149">
        <f>IF(H30="","",IF(H30=E30,D30,C30))</f>
        <v>46</v>
      </c>
      <c r="D37" s="149">
        <f>IF(H31="","",IF(H31=E31,D31,C31))</f>
        <v>2</v>
      </c>
      <c r="E37" s="145" t="str">
        <f>IF(C37="","",VLOOKUP(C37,'Списки участников'!$A:$S,3,FALSE))</f>
        <v>МАТВЕЕВ Сергей</v>
      </c>
      <c r="F37" s="145" t="str">
        <f>IF(D37="","",VLOOKUP(D37,'Списки участников'!$A:$S,3,FALSE))</f>
        <v>РОЙТМАН Дмитрий</v>
      </c>
      <c r="G37" s="1051">
        <f t="shared" si="0"/>
        <v>2</v>
      </c>
      <c r="H37" s="163" t="s">
        <v>2773</v>
      </c>
      <c r="I37" s="163" t="str">
        <f t="shared" si="3"/>
        <v>МАТВЕЕВ Сергей</v>
      </c>
      <c r="J37" s="1058">
        <v>1</v>
      </c>
      <c r="K37" s="1058"/>
      <c r="L37" s="1058"/>
      <c r="M37" s="1058"/>
      <c r="N37" s="1058"/>
      <c r="O37" s="1058"/>
      <c r="P37" s="1058"/>
      <c r="Q37" s="1058"/>
      <c r="R37" s="1055" t="str">
        <f t="shared" si="1"/>
        <v>3:1</v>
      </c>
      <c r="S37" s="1047">
        <f t="shared" si="2"/>
        <v>0</v>
      </c>
    </row>
    <row r="38" spans="2:19" ht="15.75" thickBot="1" x14ac:dyDescent="0.25">
      <c r="B38" s="374">
        <v>35</v>
      </c>
      <c r="C38" s="364">
        <f>IF(H36="","",IF(H36=E36,C36,D36))</f>
        <v>11</v>
      </c>
      <c r="D38" s="364">
        <f>IF(H37="","",IF(H37=E37,C37,D37))</f>
        <v>2</v>
      </c>
      <c r="E38" s="145" t="str">
        <f>IF(C38="","",VLOOKUP(C38,'Списки участников'!$A:$S,3,FALSE))</f>
        <v>ФИНАГИН Кирилл</v>
      </c>
      <c r="F38" s="145" t="str">
        <f>IF(D38="","",VLOOKUP(D38,'Списки участников'!$A:$S,3,FALSE))</f>
        <v>РОЙТМАН Дмитрий</v>
      </c>
      <c r="G38" s="1051">
        <f t="shared" si="0"/>
        <v>2</v>
      </c>
      <c r="H38" s="163" t="s">
        <v>2773</v>
      </c>
      <c r="I38" s="163" t="str">
        <f t="shared" si="3"/>
        <v>ФИНАГИН Кирилл</v>
      </c>
      <c r="J38" s="1058">
        <v>1</v>
      </c>
      <c r="K38" s="1058"/>
      <c r="L38" s="1058"/>
      <c r="M38" s="1058"/>
      <c r="N38" s="1058"/>
      <c r="O38" s="1058"/>
      <c r="P38" s="1058"/>
      <c r="Q38" s="1058"/>
      <c r="R38" s="1055" t="str">
        <f t="shared" si="1"/>
        <v>3:1</v>
      </c>
      <c r="S38" s="1047">
        <f t="shared" si="2"/>
        <v>0</v>
      </c>
    </row>
    <row r="39" spans="2:19" ht="15.75" thickBot="1" x14ac:dyDescent="0.25">
      <c r="B39" s="349">
        <v>36</v>
      </c>
      <c r="C39" s="149">
        <f>IF(H36="","",IF(H36=E36,D36,C36))</f>
        <v>34</v>
      </c>
      <c r="D39" s="149">
        <f>IF(H37="","",IF(H37=E37,D37,C37))</f>
        <v>46</v>
      </c>
      <c r="E39" s="145" t="str">
        <f>IF(C39="","",VLOOKUP(C39,'Списки участников'!$A:$S,3,FALSE))</f>
        <v>ТИНЬКОВ Александр</v>
      </c>
      <c r="F39" s="145" t="str">
        <f>IF(D39="","",VLOOKUP(D39,'Списки участников'!$A:$S,3,FALSE))</f>
        <v>МАТВЕЕВ Сергей</v>
      </c>
      <c r="G39" s="1051">
        <f t="shared" si="0"/>
        <v>34</v>
      </c>
      <c r="H39" s="163" t="s">
        <v>2794</v>
      </c>
      <c r="I39" s="163" t="str">
        <f t="shared" si="3"/>
        <v>МАТВЕЕВ Сергей</v>
      </c>
      <c r="J39" s="1058">
        <v>1</v>
      </c>
      <c r="K39" s="1058"/>
      <c r="L39" s="1058"/>
      <c r="M39" s="1058"/>
      <c r="N39" s="1058"/>
      <c r="O39" s="1058"/>
      <c r="P39" s="1058"/>
      <c r="Q39" s="1058"/>
      <c r="R39" s="1055" t="str">
        <f t="shared" si="1"/>
        <v>3:1</v>
      </c>
      <c r="S39" s="1047">
        <f t="shared" si="2"/>
        <v>0</v>
      </c>
    </row>
    <row r="40" spans="2:19" ht="15.75" thickBot="1" x14ac:dyDescent="0.25">
      <c r="B40" s="374">
        <v>37</v>
      </c>
      <c r="C40" s="149">
        <f>IF(H20="","",IF(H20=E20,D20,C20))</f>
        <v>39</v>
      </c>
      <c r="D40" s="149">
        <f>IF(H21="","",IF(H21=E21,D21,C21))</f>
        <v>26</v>
      </c>
      <c r="E40" s="145" t="str">
        <f>IF(C40="","",VLOOKUP(C40,'Списки участников'!$A:$S,3,FALSE))</f>
        <v>ИСУПОВ Максим</v>
      </c>
      <c r="F40" s="145" t="str">
        <f>IF(D40="","",VLOOKUP(D40,'Списки участников'!$A:$S,3,FALSE))</f>
        <v>ТЫЛЕЧКИН Валерий</v>
      </c>
      <c r="G40" s="1051">
        <f t="shared" si="0"/>
        <v>39</v>
      </c>
      <c r="H40" s="163" t="s">
        <v>2770</v>
      </c>
      <c r="I40" s="163" t="str">
        <f t="shared" si="3"/>
        <v>ТЫЛЕЧКИН Валерий</v>
      </c>
      <c r="J40" s="1058">
        <v>0</v>
      </c>
      <c r="K40" s="1058"/>
      <c r="L40" s="1058"/>
      <c r="M40" s="1058"/>
      <c r="N40" s="1058"/>
      <c r="O40" s="1058"/>
      <c r="P40" s="1058"/>
      <c r="Q40" s="1058"/>
      <c r="R40" s="1055" t="str">
        <f t="shared" si="1"/>
        <v>3:0</v>
      </c>
      <c r="S40" s="1047">
        <f t="shared" si="2"/>
        <v>0</v>
      </c>
    </row>
    <row r="41" spans="2:19" ht="15.75" thickBot="1" x14ac:dyDescent="0.25">
      <c r="B41" s="349">
        <v>38</v>
      </c>
      <c r="C41" s="149">
        <f>IF(H22="","",IF(H22=E22,D22,C22))</f>
        <v>14</v>
      </c>
      <c r="D41" s="149">
        <f>IF(H23="","",IF(H23=E23,D23,C23))</f>
        <v>45</v>
      </c>
      <c r="E41" s="145" t="str">
        <f>IF(C41="","",VLOOKUP(C41,'Списки участников'!$A:$S,3,FALSE))</f>
        <v>КОНОВ Сергей</v>
      </c>
      <c r="F41" s="145" t="str">
        <f>IF(D41="","",VLOOKUP(D41,'Списки участников'!$A:$S,3,FALSE))</f>
        <v>ПЧЕЛИН Сергей</v>
      </c>
      <c r="G41" s="1051">
        <f t="shared" si="0"/>
        <v>45</v>
      </c>
      <c r="H41" s="1017" t="s">
        <v>2760</v>
      </c>
      <c r="I41" s="163" t="str">
        <f t="shared" si="3"/>
        <v>КОНОВ Сергей</v>
      </c>
      <c r="J41" s="1058">
        <v>0</v>
      </c>
      <c r="K41" s="1058"/>
      <c r="L41" s="1058"/>
      <c r="M41" s="1058"/>
      <c r="N41" s="1058"/>
      <c r="O41" s="1058"/>
      <c r="P41" s="1058"/>
      <c r="Q41" s="1058"/>
      <c r="R41" s="1055" t="str">
        <f t="shared" si="1"/>
        <v>3:0</v>
      </c>
      <c r="S41" s="1047">
        <f t="shared" si="2"/>
        <v>0</v>
      </c>
    </row>
    <row r="42" spans="2:19" ht="15.75" thickBot="1" x14ac:dyDescent="0.25">
      <c r="B42" s="374">
        <v>39</v>
      </c>
      <c r="C42" s="149">
        <f>IF(H24="","",IF(H24=E24,D24,C24))</f>
        <v>25</v>
      </c>
      <c r="D42" s="149">
        <f>IF(H25="","",IF(H25=E25,D25,C25))</f>
        <v>33</v>
      </c>
      <c r="E42" s="145" t="str">
        <f>IF(C42="","",VLOOKUP(C42,'Списки участников'!$A:$S,3,FALSE))</f>
        <v>ФИЛЬЧУГОВ Сергей</v>
      </c>
      <c r="F42" s="145" t="str">
        <f>IF(D42="","",VLOOKUP(D42,'Списки участников'!$A:$S,3,FALSE))</f>
        <v>ГАЛАНОВ Максим</v>
      </c>
      <c r="G42" s="1051">
        <f t="shared" si="0"/>
        <v>25</v>
      </c>
      <c r="H42" s="1063" t="s">
        <v>2753</v>
      </c>
      <c r="I42" s="163" t="str">
        <f t="shared" si="3"/>
        <v>ГАЛАНОВ Максим</v>
      </c>
      <c r="J42" s="1058">
        <v>0</v>
      </c>
      <c r="K42" s="1058"/>
      <c r="L42" s="1058"/>
      <c r="M42" s="1058"/>
      <c r="N42" s="1058"/>
      <c r="O42" s="1058"/>
      <c r="P42" s="1058"/>
      <c r="Q42" s="1058"/>
      <c r="R42" s="1055" t="str">
        <f t="shared" si="1"/>
        <v>3:0</v>
      </c>
      <c r="S42" s="1047">
        <f t="shared" si="2"/>
        <v>0</v>
      </c>
    </row>
    <row r="43" spans="2:19" ht="15.75" thickBot="1" x14ac:dyDescent="0.25">
      <c r="B43" s="349">
        <v>40</v>
      </c>
      <c r="C43" s="149">
        <f>IF(H26="","",IF(H26=E26,D26,C26))</f>
        <v>25</v>
      </c>
      <c r="D43" s="149">
        <f>IF(H27="","",IF(H27=E27,D27,C27))</f>
        <v>17</v>
      </c>
      <c r="E43" s="145" t="str">
        <f>IF(C43="","",VLOOKUP(C43,'Списки участников'!$A:$S,3,FALSE))</f>
        <v>ФИЛЬЧУГОВ Сергей</v>
      </c>
      <c r="F43" s="145" t="str">
        <f>IF(D43="","",VLOOKUP(D43,'Списки участников'!$A:$S,3,FALSE))</f>
        <v>ЕГОРОВ Игорь</v>
      </c>
      <c r="G43" s="1051">
        <f t="shared" si="0"/>
        <v>17</v>
      </c>
      <c r="H43" s="1063" t="s">
        <v>2750</v>
      </c>
      <c r="I43" s="163" t="str">
        <f t="shared" si="3"/>
        <v>ФИЛЬЧУГОВ Сергей</v>
      </c>
      <c r="J43" s="1058">
        <v>0</v>
      </c>
      <c r="K43" s="1058"/>
      <c r="L43" s="1058"/>
      <c r="M43" s="1058"/>
      <c r="N43" s="1058"/>
      <c r="O43" s="1058"/>
      <c r="P43" s="1058"/>
      <c r="Q43" s="1058"/>
      <c r="R43" s="1055" t="str">
        <f t="shared" si="1"/>
        <v>3:0</v>
      </c>
      <c r="S43" s="1047">
        <f t="shared" si="2"/>
        <v>0</v>
      </c>
    </row>
    <row r="44" spans="2:19" ht="15.75" thickBot="1" x14ac:dyDescent="0.25">
      <c r="B44" s="374">
        <v>41</v>
      </c>
      <c r="C44" s="364">
        <f>IF(H40="","",IF(H40=E40,C40,D40))</f>
        <v>39</v>
      </c>
      <c r="D44" s="364">
        <f>IF(H41="","",IF(H41=E41,C41,D41))</f>
        <v>45</v>
      </c>
      <c r="E44" s="145" t="str">
        <f>IF(C44="","",VLOOKUP(C44,'Списки участников'!$A:$S,3,FALSE))</f>
        <v>ИСУПОВ Максим</v>
      </c>
      <c r="F44" s="145" t="str">
        <f>IF(D44="","",VLOOKUP(D44,'Списки участников'!$A:$S,3,FALSE))</f>
        <v>ПЧЕЛИН Сергей</v>
      </c>
      <c r="G44" s="1051">
        <f t="shared" si="0"/>
        <v>39</v>
      </c>
      <c r="H44" s="1063" t="s">
        <v>2770</v>
      </c>
      <c r="I44" s="163" t="str">
        <f t="shared" si="3"/>
        <v>ПЧЕЛИН Сергей</v>
      </c>
      <c r="J44" s="1058">
        <v>0</v>
      </c>
      <c r="K44" s="1058"/>
      <c r="L44" s="1058"/>
      <c r="M44" s="1058"/>
      <c r="N44" s="1058"/>
      <c r="O44" s="1058"/>
      <c r="P44" s="1058"/>
      <c r="Q44" s="1058"/>
      <c r="R44" s="1055" t="str">
        <f t="shared" si="1"/>
        <v>3:0</v>
      </c>
      <c r="S44" s="1047">
        <f t="shared" si="2"/>
        <v>0</v>
      </c>
    </row>
    <row r="45" spans="2:19" ht="15.75" thickBot="1" x14ac:dyDescent="0.25">
      <c r="B45" s="349">
        <v>42</v>
      </c>
      <c r="C45" s="364">
        <f>IF(H42="","",IF(H42=E42,C42,D42))</f>
        <v>25</v>
      </c>
      <c r="D45" s="364">
        <f>IF(H43="","",IF(H43=E43,C43,D43))</f>
        <v>17</v>
      </c>
      <c r="E45" s="145" t="str">
        <f>IF(C45="","",VLOOKUP(C45,'Списки участников'!$A:$S,3,FALSE))</f>
        <v>ФИЛЬЧУГОВ Сергей</v>
      </c>
      <c r="F45" s="145" t="str">
        <f>IF(D45="","",VLOOKUP(D45,'Списки участников'!$A:$S,3,FALSE))</f>
        <v>ЕГОРОВ Игорь</v>
      </c>
      <c r="G45" s="1051">
        <f t="shared" si="0"/>
        <v>17</v>
      </c>
      <c r="H45" s="1063" t="s">
        <v>2750</v>
      </c>
      <c r="I45" s="163" t="str">
        <f t="shared" si="3"/>
        <v>ФИЛЬЧУГОВ Сергей</v>
      </c>
      <c r="J45" s="1058">
        <v>0</v>
      </c>
      <c r="K45" s="1058"/>
      <c r="L45" s="1058"/>
      <c r="M45" s="1058"/>
      <c r="N45" s="1058"/>
      <c r="O45" s="1058"/>
      <c r="P45" s="1058"/>
      <c r="Q45" s="1058"/>
      <c r="R45" s="1055" t="str">
        <f t="shared" si="1"/>
        <v>3:0</v>
      </c>
      <c r="S45" s="1047">
        <f t="shared" si="2"/>
        <v>0</v>
      </c>
    </row>
    <row r="46" spans="2:19" ht="15.75" thickBot="1" x14ac:dyDescent="0.25">
      <c r="B46" s="374">
        <v>43</v>
      </c>
      <c r="C46" s="364">
        <f>IF(H44="","",IF(H44=E44,C44,D44))</f>
        <v>39</v>
      </c>
      <c r="D46" s="364">
        <f>IF(H45="","",IF(H45=E45,C45,D45))</f>
        <v>17</v>
      </c>
      <c r="E46" s="145" t="str">
        <f>IF(C46="","",VLOOKUP(C46,'Списки участников'!$A:$S,3,FALSE))</f>
        <v>ИСУПОВ Максим</v>
      </c>
      <c r="F46" s="145" t="str">
        <f>IF(D46="","",VLOOKUP(D46,'Списки участников'!$A:$S,3,FALSE))</f>
        <v>ЕГОРОВ Игорь</v>
      </c>
      <c r="G46" s="1051">
        <f t="shared" si="0"/>
        <v>39</v>
      </c>
      <c r="H46" s="1063" t="s">
        <v>2770</v>
      </c>
      <c r="I46" s="163" t="str">
        <f t="shared" si="3"/>
        <v>ЕГОРОВ Игорь</v>
      </c>
      <c r="J46" s="1058">
        <v>0</v>
      </c>
      <c r="K46" s="1058"/>
      <c r="L46" s="1058"/>
      <c r="M46" s="1058"/>
      <c r="N46" s="1058"/>
      <c r="O46" s="1058"/>
      <c r="P46" s="1058"/>
      <c r="Q46" s="1058"/>
      <c r="R46" s="1055" t="str">
        <f t="shared" si="1"/>
        <v>3:0</v>
      </c>
      <c r="S46" s="1047">
        <f t="shared" si="2"/>
        <v>0</v>
      </c>
    </row>
    <row r="47" spans="2:19" ht="15.75" thickBot="1" x14ac:dyDescent="0.25">
      <c r="B47" s="349">
        <v>44</v>
      </c>
      <c r="C47" s="149">
        <f>IF(H44="","",IF(H44=E44,D44,C44))</f>
        <v>45</v>
      </c>
      <c r="D47" s="149">
        <f>IF(H45="","",IF(H45=E45,D45,C45))</f>
        <v>25</v>
      </c>
      <c r="E47" s="145" t="str">
        <f>IF(C47="","",VLOOKUP(C47,'Списки участников'!$A:$S,3,FALSE))</f>
        <v>ПЧЕЛИН Сергей</v>
      </c>
      <c r="F47" s="145" t="str">
        <f>IF(D47="","",VLOOKUP(D47,'Списки участников'!$A:$S,3,FALSE))</f>
        <v>ФИЛЬЧУГОВ Сергей</v>
      </c>
      <c r="G47" s="1051">
        <f t="shared" si="0"/>
        <v>45</v>
      </c>
      <c r="H47" s="1063" t="s">
        <v>2760</v>
      </c>
      <c r="I47" s="163" t="str">
        <f t="shared" si="3"/>
        <v>ФИЛЬЧУГОВ Сергей</v>
      </c>
      <c r="J47" s="1058">
        <v>0</v>
      </c>
      <c r="K47" s="1058"/>
      <c r="L47" s="1058"/>
      <c r="M47" s="1058"/>
      <c r="N47" s="1058"/>
      <c r="O47" s="1058"/>
      <c r="P47" s="1058"/>
      <c r="Q47" s="1058"/>
      <c r="R47" s="1055" t="str">
        <f t="shared" si="1"/>
        <v>3:0</v>
      </c>
      <c r="S47" s="1047">
        <f t="shared" si="2"/>
        <v>0</v>
      </c>
    </row>
    <row r="48" spans="2:19" ht="15.75" thickBot="1" x14ac:dyDescent="0.25">
      <c r="B48" s="374">
        <v>45</v>
      </c>
      <c r="C48" s="149">
        <f>IF(H40="","",IF(H40=E40,D40,C40))</f>
        <v>26</v>
      </c>
      <c r="D48" s="149">
        <f>IF(H41="","",IF(H41=E41,D41,C41))</f>
        <v>14</v>
      </c>
      <c r="E48" s="145" t="str">
        <f>IF(C48="","",VLOOKUP(C48,'Списки участников'!$A:$S,3,FALSE))</f>
        <v>ТЫЛЕЧКИН Валерий</v>
      </c>
      <c r="F48" s="145" t="str">
        <f>IF(D48="","",VLOOKUP(D48,'Списки участников'!$A:$S,3,FALSE))</f>
        <v>КОНОВ Сергей</v>
      </c>
      <c r="G48" s="1051">
        <f t="shared" si="0"/>
        <v>14</v>
      </c>
      <c r="H48" s="1063" t="s">
        <v>2792</v>
      </c>
      <c r="I48" s="163" t="str">
        <f t="shared" si="3"/>
        <v>ТЫЛЕЧКИН Валерий</v>
      </c>
      <c r="J48" s="1058">
        <v>0</v>
      </c>
      <c r="K48" s="1058"/>
      <c r="L48" s="1058"/>
      <c r="M48" s="1058"/>
      <c r="N48" s="1058"/>
      <c r="O48" s="1058"/>
      <c r="P48" s="1058"/>
      <c r="Q48" s="1058"/>
      <c r="R48" s="1055" t="str">
        <f t="shared" si="1"/>
        <v>3:0</v>
      </c>
      <c r="S48" s="1047">
        <f t="shared" si="2"/>
        <v>0</v>
      </c>
    </row>
    <row r="49" spans="2:19" ht="15.75" thickBot="1" x14ac:dyDescent="0.25">
      <c r="B49" s="349">
        <v>46</v>
      </c>
      <c r="C49" s="149">
        <f>IF(H42="","",IF(H42=E42,D42,C42))</f>
        <v>33</v>
      </c>
      <c r="D49" s="149">
        <f>IF(H43="","",IF(H43=E43,D43,C43))</f>
        <v>25</v>
      </c>
      <c r="E49" s="145" t="str">
        <f>IF(C49="","",VLOOKUP(C49,'Списки участников'!$A:$S,3,FALSE))</f>
        <v>ГАЛАНОВ Максим</v>
      </c>
      <c r="F49" s="145" t="str">
        <f>IF(D49="","",VLOOKUP(D49,'Списки участников'!$A:$S,3,FALSE))</f>
        <v>ФИЛЬЧУГОВ Сергей</v>
      </c>
      <c r="G49" s="1051">
        <f t="shared" si="0"/>
        <v>33</v>
      </c>
      <c r="H49" s="1063" t="s">
        <v>2719</v>
      </c>
      <c r="I49" s="163" t="str">
        <f t="shared" si="3"/>
        <v>ФИЛЬЧУГОВ Сергей</v>
      </c>
      <c r="J49" s="1058">
        <v>0</v>
      </c>
      <c r="K49" s="1058"/>
      <c r="L49" s="1058"/>
      <c r="M49" s="1058"/>
      <c r="N49" s="1058"/>
      <c r="O49" s="1058"/>
      <c r="P49" s="1058"/>
      <c r="Q49" s="1058"/>
      <c r="R49" s="1055" t="str">
        <f t="shared" si="1"/>
        <v>3:0</v>
      </c>
      <c r="S49" s="1047">
        <f t="shared" si="2"/>
        <v>0</v>
      </c>
    </row>
    <row r="50" spans="2:19" ht="15.75" thickBot="1" x14ac:dyDescent="0.25">
      <c r="B50" s="374">
        <v>47</v>
      </c>
      <c r="C50" s="364">
        <f>IF(H48="","",IF(H48=E48,C48,D48))</f>
        <v>14</v>
      </c>
      <c r="D50" s="364">
        <f>IF(H49="","",IF(H49=E49,C49,D49))</f>
        <v>33</v>
      </c>
      <c r="E50" s="145" t="str">
        <f>IF(C50="","",VLOOKUP(C50,'Списки участников'!$A:$S,3,FALSE))</f>
        <v>КОНОВ Сергей</v>
      </c>
      <c r="F50" s="145" t="str">
        <f>IF(D50="","",VLOOKUP(D50,'Списки участников'!$A:$S,3,FALSE))</f>
        <v>ГАЛАНОВ Максим</v>
      </c>
      <c r="G50" s="1051">
        <f t="shared" si="0"/>
        <v>14</v>
      </c>
      <c r="H50" s="1063" t="s">
        <v>2792</v>
      </c>
      <c r="I50" s="163" t="str">
        <f t="shared" si="3"/>
        <v>ГАЛАНОВ Максим</v>
      </c>
      <c r="J50" s="1058">
        <v>1</v>
      </c>
      <c r="K50" s="1058"/>
      <c r="L50" s="1058"/>
      <c r="M50" s="1058"/>
      <c r="N50" s="1058"/>
      <c r="O50" s="1058"/>
      <c r="P50" s="1058"/>
      <c r="Q50" s="1058"/>
      <c r="R50" s="1055" t="str">
        <f t="shared" si="1"/>
        <v>3:1</v>
      </c>
      <c r="S50" s="1047">
        <f t="shared" si="2"/>
        <v>0</v>
      </c>
    </row>
    <row r="51" spans="2:19" ht="15.75" thickBot="1" x14ac:dyDescent="0.25">
      <c r="B51" s="349">
        <v>48</v>
      </c>
      <c r="C51" s="149">
        <f>IF(H48="","",IF(H48=E48,D48,C48))</f>
        <v>26</v>
      </c>
      <c r="D51" s="149">
        <f>IF(H49="","",IF(H49=E49,D49,C49))</f>
        <v>25</v>
      </c>
      <c r="E51" s="145" t="str">
        <f>IF(C51="","",VLOOKUP(C51,'Списки участников'!$A:$S,3,FALSE))</f>
        <v>ТЫЛЕЧКИН Валерий</v>
      </c>
      <c r="F51" s="145" t="str">
        <f>IF(D51="","",VLOOKUP(D51,'Списки участников'!$A:$S,3,FALSE))</f>
        <v>ФИЛЬЧУГОВ Сергей</v>
      </c>
      <c r="G51" s="1051">
        <f t="shared" si="0"/>
        <v>26</v>
      </c>
      <c r="H51" s="1063" t="s">
        <v>2754</v>
      </c>
      <c r="I51" s="163" t="str">
        <f t="shared" si="3"/>
        <v>ФИЛЬЧУГОВ Сергей</v>
      </c>
      <c r="J51" s="1058">
        <v>1</v>
      </c>
      <c r="K51" s="1058"/>
      <c r="L51" s="1058"/>
      <c r="M51" s="1058"/>
      <c r="N51" s="1058"/>
      <c r="O51" s="1058"/>
      <c r="P51" s="1058"/>
      <c r="Q51" s="1058"/>
      <c r="R51" s="1055" t="str">
        <f t="shared" si="1"/>
        <v>3:1</v>
      </c>
      <c r="S51" s="1047">
        <f t="shared" si="2"/>
        <v>0</v>
      </c>
    </row>
    <row r="52" spans="2:19" ht="15.75" thickBot="1" x14ac:dyDescent="0.25">
      <c r="B52" s="374">
        <v>49</v>
      </c>
      <c r="C52" s="149">
        <f>IF(H4="","",IF(H4=E4,D4,C4))</f>
        <v>60</v>
      </c>
      <c r="D52" s="149">
        <f>IF(H5="","",IF(H5=E5,D5,C5))</f>
        <v>35</v>
      </c>
      <c r="E52" s="145" t="str">
        <f>IF(C52="","",VLOOKUP(C52,'Списки участников'!$A:$S,3,FALSE))</f>
        <v xml:space="preserve"> Х</v>
      </c>
      <c r="F52" s="145" t="str">
        <f>IF(D52="","",VLOOKUP(D52,'Списки участников'!$A:$S,3,FALSE))</f>
        <v>ГРИШИН Иван</v>
      </c>
      <c r="G52" s="1051">
        <f t="shared" si="0"/>
        <v>35</v>
      </c>
      <c r="H52" s="1063" t="s">
        <v>2720</v>
      </c>
      <c r="I52" s="163" t="str">
        <f t="shared" si="3"/>
        <v xml:space="preserve"> Х</v>
      </c>
      <c r="J52" s="1058"/>
      <c r="K52" s="1058"/>
      <c r="L52" s="1058"/>
      <c r="M52" s="1058"/>
      <c r="N52" s="1058"/>
      <c r="O52" s="1058"/>
      <c r="P52" s="1058"/>
      <c r="Q52" s="1058"/>
      <c r="R52" s="1055" t="str">
        <f t="shared" si="1"/>
        <v/>
      </c>
      <c r="S52" s="1047">
        <f t="shared" si="2"/>
        <v>0</v>
      </c>
    </row>
    <row r="53" spans="2:19" ht="15.75" thickBot="1" x14ac:dyDescent="0.25">
      <c r="B53" s="349">
        <v>50</v>
      </c>
      <c r="C53" s="149">
        <f>IF(H6="","",IF(H6=E6,D6,C6))</f>
        <v>22</v>
      </c>
      <c r="D53" s="149">
        <f>IF(H7="","",IF(H7=E7,D7,C7))</f>
        <v>60</v>
      </c>
      <c r="E53" s="145" t="str">
        <f>IF(C53="","",VLOOKUP(C53,'Списки участников'!$A:$S,3,FALSE))</f>
        <v>ГОГОЛЬ Александр</v>
      </c>
      <c r="F53" s="145" t="str">
        <f>IF(D53="","",VLOOKUP(D53,'Списки участников'!$A:$S,3,FALSE))</f>
        <v xml:space="preserve"> Х</v>
      </c>
      <c r="G53" s="1051">
        <f t="shared" si="0"/>
        <v>22</v>
      </c>
      <c r="H53" s="1063" t="s">
        <v>2718</v>
      </c>
      <c r="I53" s="163" t="str">
        <f t="shared" si="3"/>
        <v xml:space="preserve"> Х</v>
      </c>
      <c r="J53" s="1058"/>
      <c r="K53" s="1058"/>
      <c r="L53" s="1058"/>
      <c r="M53" s="1058"/>
      <c r="N53" s="1058"/>
      <c r="O53" s="1058"/>
      <c r="P53" s="1058"/>
      <c r="Q53" s="1058"/>
      <c r="R53" s="1055" t="str">
        <f t="shared" si="1"/>
        <v/>
      </c>
      <c r="S53" s="1047">
        <f t="shared" si="2"/>
        <v>0</v>
      </c>
    </row>
    <row r="54" spans="2:19" ht="15.75" thickBot="1" x14ac:dyDescent="0.25">
      <c r="B54" s="374">
        <v>51</v>
      </c>
      <c r="C54" s="149">
        <f>IF(H8="","",IF(H8=E8,D8,C8))</f>
        <v>60</v>
      </c>
      <c r="D54" s="149">
        <f>IF(H9="","",IF(H9=E9,D9,C9))</f>
        <v>6</v>
      </c>
      <c r="E54" s="145" t="str">
        <f>IF(C54="","",VLOOKUP(C54,'Списки участников'!$A:$S,3,FALSE))</f>
        <v xml:space="preserve"> Х</v>
      </c>
      <c r="F54" s="145" t="str">
        <f>IF(D54="","",VLOOKUP(D54,'Списки участников'!$A:$S,3,FALSE))</f>
        <v>ЯШУНИН Андрей</v>
      </c>
      <c r="G54" s="1051">
        <f t="shared" si="0"/>
        <v>6</v>
      </c>
      <c r="H54" s="1063" t="s">
        <v>2744</v>
      </c>
      <c r="I54" s="163" t="str">
        <f t="shared" si="3"/>
        <v xml:space="preserve"> Х</v>
      </c>
      <c r="J54" s="1058"/>
      <c r="K54" s="1058"/>
      <c r="L54" s="1058"/>
      <c r="M54" s="1058"/>
      <c r="N54" s="1058"/>
      <c r="O54" s="1058"/>
      <c r="P54" s="1058"/>
      <c r="Q54" s="1058"/>
      <c r="R54" s="1055" t="str">
        <f t="shared" si="1"/>
        <v/>
      </c>
      <c r="S54" s="1047">
        <f t="shared" si="2"/>
        <v>0</v>
      </c>
    </row>
    <row r="55" spans="2:19" ht="15.75" thickBot="1" x14ac:dyDescent="0.25">
      <c r="B55" s="349">
        <v>52</v>
      </c>
      <c r="C55" s="149">
        <f>IF(H10="","",IF(H10=E10,D10,C10))</f>
        <v>18</v>
      </c>
      <c r="D55" s="149">
        <f>IF(H11="","",IF(H11=E11,D11,C11))</f>
        <v>60</v>
      </c>
      <c r="E55" s="145" t="str">
        <f>IF(C55="","",VLOOKUP(C55,'Списки участников'!$A:$S,3,FALSE))</f>
        <v>ВОЛКОВ Валерий</v>
      </c>
      <c r="F55" s="145" t="str">
        <f>IF(D55="","",VLOOKUP(D55,'Списки участников'!$A:$S,3,FALSE))</f>
        <v xml:space="preserve"> Х</v>
      </c>
      <c r="G55" s="1051">
        <f t="shared" si="0"/>
        <v>18</v>
      </c>
      <c r="H55" s="1063" t="s">
        <v>2734</v>
      </c>
      <c r="I55" s="163" t="str">
        <f t="shared" si="3"/>
        <v xml:space="preserve"> Х</v>
      </c>
      <c r="J55" s="1058"/>
      <c r="K55" s="1058"/>
      <c r="L55" s="1058"/>
      <c r="M55" s="1058"/>
      <c r="N55" s="1058"/>
      <c r="O55" s="1058"/>
      <c r="P55" s="1058"/>
      <c r="Q55" s="1058"/>
      <c r="R55" s="1055" t="str">
        <f t="shared" si="1"/>
        <v/>
      </c>
      <c r="S55" s="1047">
        <f t="shared" si="2"/>
        <v>0</v>
      </c>
    </row>
    <row r="56" spans="2:19" ht="15.75" thickBot="1" x14ac:dyDescent="0.25">
      <c r="B56" s="374">
        <v>53</v>
      </c>
      <c r="C56" s="149">
        <f>IF(H12="","",IF(H12=E12,D12,C12))</f>
        <v>60</v>
      </c>
      <c r="D56" s="149">
        <f>IF(H13="","",IF(H13=E13,D13,C13))</f>
        <v>13</v>
      </c>
      <c r="E56" s="145" t="str">
        <f>IF(C56="","",VLOOKUP(C56,'Списки участников'!$A:$S,3,FALSE))</f>
        <v xml:space="preserve"> Х</v>
      </c>
      <c r="F56" s="145" t="str">
        <f>IF(D56="","",VLOOKUP(D56,'Списки участников'!$A:$S,3,FALSE))</f>
        <v>ВАХРОМОВ Андрей</v>
      </c>
      <c r="G56" s="1051">
        <f t="shared" si="0"/>
        <v>13</v>
      </c>
      <c r="H56" s="1063" t="s">
        <v>2732</v>
      </c>
      <c r="I56" s="163" t="str">
        <f t="shared" si="3"/>
        <v xml:space="preserve"> Х</v>
      </c>
      <c r="J56" s="1058"/>
      <c r="K56" s="1058"/>
      <c r="L56" s="1058"/>
      <c r="M56" s="1058"/>
      <c r="N56" s="1058"/>
      <c r="O56" s="1058"/>
      <c r="P56" s="1058"/>
      <c r="Q56" s="1058"/>
      <c r="R56" s="1055" t="str">
        <f t="shared" si="1"/>
        <v/>
      </c>
      <c r="S56" s="1047">
        <f t="shared" si="2"/>
        <v>0</v>
      </c>
    </row>
    <row r="57" spans="2:19" ht="15.75" thickBot="1" x14ac:dyDescent="0.25">
      <c r="B57" s="349">
        <v>54</v>
      </c>
      <c r="C57" s="149">
        <f>IF(H14="","",IF(H14=E14,D14,C14))</f>
        <v>43</v>
      </c>
      <c r="D57" s="149">
        <f>IF(H15="","",IF(H15=E15,D15,C15))</f>
        <v>60</v>
      </c>
      <c r="E57" s="145" t="str">
        <f>IF(C57="","",VLOOKUP(C57,'Списки участников'!$A:$S,3,FALSE))</f>
        <v>ЕСЬКИН Михаил</v>
      </c>
      <c r="F57" s="145" t="str">
        <f>IF(D57="","",VLOOKUP(D57,'Списки участников'!$A:$S,3,FALSE))</f>
        <v xml:space="preserve"> Х</v>
      </c>
      <c r="G57" s="1051">
        <f t="shared" si="0"/>
        <v>43</v>
      </c>
      <c r="H57" s="1063" t="s">
        <v>2783</v>
      </c>
      <c r="I57" s="163" t="str">
        <f t="shared" si="3"/>
        <v xml:space="preserve"> Х</v>
      </c>
      <c r="J57" s="1058"/>
      <c r="K57" s="1058"/>
      <c r="L57" s="1058"/>
      <c r="M57" s="1058"/>
      <c r="N57" s="1058"/>
      <c r="O57" s="1058"/>
      <c r="P57" s="1058"/>
      <c r="Q57" s="1058"/>
      <c r="R57" s="1055" t="str">
        <f t="shared" si="1"/>
        <v/>
      </c>
      <c r="S57" s="1047">
        <f t="shared" si="2"/>
        <v>0</v>
      </c>
    </row>
    <row r="58" spans="2:19" ht="15.75" thickBot="1" x14ac:dyDescent="0.25">
      <c r="B58" s="374">
        <v>55</v>
      </c>
      <c r="C58" s="149">
        <f>IF(H16="","",IF(H16=E16,D16,C16))</f>
        <v>60</v>
      </c>
      <c r="D58" s="149">
        <f>IF(H17="","",IF(H17=E17,D17,C17))</f>
        <v>21</v>
      </c>
      <c r="E58" s="145" t="str">
        <f>IF(C58="","",VLOOKUP(C58,'Списки участников'!$A:$S,3,FALSE))</f>
        <v xml:space="preserve"> Х</v>
      </c>
      <c r="F58" s="145" t="str">
        <f>IF(D58="","",VLOOKUP(D58,'Списки участников'!$A:$S,3,FALSE))</f>
        <v>КОПНОВ Павел</v>
      </c>
      <c r="G58" s="1051">
        <f t="shared" si="0"/>
        <v>21</v>
      </c>
      <c r="H58" s="1063" t="s">
        <v>2723</v>
      </c>
      <c r="I58" s="163" t="str">
        <f t="shared" si="3"/>
        <v xml:space="preserve"> Х</v>
      </c>
      <c r="J58" s="1058"/>
      <c r="K58" s="1058"/>
      <c r="L58" s="1058"/>
      <c r="M58" s="1058"/>
      <c r="N58" s="1058"/>
      <c r="O58" s="1058"/>
      <c r="P58" s="1058"/>
      <c r="Q58" s="1058"/>
      <c r="R58" s="1055" t="str">
        <f t="shared" si="1"/>
        <v/>
      </c>
      <c r="S58" s="1047">
        <f t="shared" si="2"/>
        <v>0</v>
      </c>
    </row>
    <row r="59" spans="2:19" ht="15.75" thickBot="1" x14ac:dyDescent="0.25">
      <c r="B59" s="349">
        <v>56</v>
      </c>
      <c r="C59" s="149">
        <f>IF(H18="","",IF(H18=E18,D18,C18))</f>
        <v>42</v>
      </c>
      <c r="D59" s="149">
        <f>IF(H19="","",IF(H19=E19,D19,C19))</f>
        <v>60</v>
      </c>
      <c r="E59" s="145" t="str">
        <f>IF(C59="","",VLOOKUP(C59,'Списки участников'!$A:$S,3,FALSE))</f>
        <v>ПАНИН Сергей</v>
      </c>
      <c r="F59" s="145" t="str">
        <f>IF(D59="","",VLOOKUP(D59,'Списки участников'!$A:$S,3,FALSE))</f>
        <v xml:space="preserve"> Х</v>
      </c>
      <c r="G59" s="1051">
        <f t="shared" si="0"/>
        <v>42</v>
      </c>
      <c r="H59" s="1063" t="s">
        <v>2782</v>
      </c>
      <c r="I59" s="163" t="str">
        <f t="shared" si="3"/>
        <v xml:space="preserve"> Х</v>
      </c>
      <c r="J59" s="1058"/>
      <c r="K59" s="1058"/>
      <c r="L59" s="1058"/>
      <c r="M59" s="1058"/>
      <c r="N59" s="1058"/>
      <c r="O59" s="1058"/>
      <c r="P59" s="1058"/>
      <c r="Q59" s="1058"/>
      <c r="R59" s="1055" t="str">
        <f t="shared" si="1"/>
        <v/>
      </c>
      <c r="S59" s="1047">
        <f t="shared" si="2"/>
        <v>0</v>
      </c>
    </row>
    <row r="60" spans="2:19" ht="15.75" thickBot="1" x14ac:dyDescent="0.25">
      <c r="B60" s="374">
        <v>57</v>
      </c>
      <c r="C60" s="364">
        <f>IF(H52="","",IF(H52=E52,C52,D52))</f>
        <v>35</v>
      </c>
      <c r="D60" s="364">
        <f>IF(H53="","",IF(H53=E53,C53,D53))</f>
        <v>22</v>
      </c>
      <c r="E60" s="145" t="str">
        <f>IF(C60="","",VLOOKUP(C60,'Списки участников'!$A:$S,3,FALSE))</f>
        <v>ГРИШИН Иван</v>
      </c>
      <c r="F60" s="145" t="str">
        <f>IF(D60="","",VLOOKUP(D60,'Списки участников'!$A:$S,3,FALSE))</f>
        <v>ГОГОЛЬ Александр</v>
      </c>
      <c r="G60" s="1051">
        <f t="shared" si="0"/>
        <v>35</v>
      </c>
      <c r="H60" s="1063" t="s">
        <v>2720</v>
      </c>
      <c r="I60" s="163" t="str">
        <f t="shared" si="3"/>
        <v>ГОГОЛЬ Александр</v>
      </c>
      <c r="J60" s="1058">
        <v>0</v>
      </c>
      <c r="K60" s="1058"/>
      <c r="L60" s="1058"/>
      <c r="M60" s="1058"/>
      <c r="N60" s="1058"/>
      <c r="O60" s="1058"/>
      <c r="P60" s="1058"/>
      <c r="Q60" s="1058"/>
      <c r="R60" s="1055" t="str">
        <f t="shared" si="1"/>
        <v>3:0</v>
      </c>
      <c r="S60" s="1047">
        <f t="shared" si="2"/>
        <v>0</v>
      </c>
    </row>
    <row r="61" spans="2:19" ht="15.75" thickBot="1" x14ac:dyDescent="0.25">
      <c r="B61" s="349">
        <v>58</v>
      </c>
      <c r="C61" s="364">
        <f>IF(H54="","",IF(H54=E54,C54,D54))</f>
        <v>6</v>
      </c>
      <c r="D61" s="364">
        <f>IF(H55="","",IF(H55=E55,C55,D55))</f>
        <v>18</v>
      </c>
      <c r="E61" s="145" t="str">
        <f>IF(C61="","",VLOOKUP(C61,'Списки участников'!$A:$S,3,FALSE))</f>
        <v>ЯШУНИН Андрей</v>
      </c>
      <c r="F61" s="145" t="str">
        <f>IF(D61="","",VLOOKUP(D61,'Списки участников'!$A:$S,3,FALSE))</f>
        <v>ВОЛКОВ Валерий</v>
      </c>
      <c r="G61" s="1051">
        <f t="shared" si="0"/>
        <v>6</v>
      </c>
      <c r="H61" s="1063" t="s">
        <v>2744</v>
      </c>
      <c r="I61" s="163" t="str">
        <f t="shared" si="3"/>
        <v>ВОЛКОВ Валерий</v>
      </c>
      <c r="J61" s="1058">
        <v>0</v>
      </c>
      <c r="K61" s="1058"/>
      <c r="L61" s="1058"/>
      <c r="M61" s="1058"/>
      <c r="N61" s="1058"/>
      <c r="O61" s="1058"/>
      <c r="P61" s="1058"/>
      <c r="Q61" s="1058"/>
      <c r="R61" s="1055" t="str">
        <f t="shared" si="1"/>
        <v>3:0</v>
      </c>
      <c r="S61" s="1047">
        <f t="shared" si="2"/>
        <v>0</v>
      </c>
    </row>
    <row r="62" spans="2:19" ht="15.75" thickBot="1" x14ac:dyDescent="0.25">
      <c r="B62" s="374">
        <v>59</v>
      </c>
      <c r="C62" s="364">
        <f>IF(H56="","",IF(H56=E56,C56,D56))</f>
        <v>13</v>
      </c>
      <c r="D62" s="364">
        <f>IF(H57="","",IF(H57=E57,C57,D57))</f>
        <v>43</v>
      </c>
      <c r="E62" s="145" t="str">
        <f>IF(C62="","",VLOOKUP(C62,'Списки участников'!$A:$S,3,FALSE))</f>
        <v>ВАХРОМОВ Андрей</v>
      </c>
      <c r="F62" s="145" t="str">
        <f>IF(D62="","",VLOOKUP(D62,'Списки участников'!$A:$S,3,FALSE))</f>
        <v>ЕСЬКИН Михаил</v>
      </c>
      <c r="G62" s="1051">
        <f t="shared" si="0"/>
        <v>13</v>
      </c>
      <c r="H62" s="1063" t="s">
        <v>2732</v>
      </c>
      <c r="I62" s="163" t="str">
        <f t="shared" si="3"/>
        <v>ЕСЬКИН Михаил</v>
      </c>
      <c r="J62" s="1058">
        <v>0</v>
      </c>
      <c r="K62" s="1058"/>
      <c r="L62" s="1058"/>
      <c r="M62" s="1058"/>
      <c r="N62" s="1058"/>
      <c r="O62" s="1058"/>
      <c r="P62" s="1058"/>
      <c r="Q62" s="1058"/>
      <c r="R62" s="1055" t="str">
        <f t="shared" si="1"/>
        <v>3:0</v>
      </c>
      <c r="S62" s="1047">
        <f t="shared" si="2"/>
        <v>0</v>
      </c>
    </row>
    <row r="63" spans="2:19" ht="15.75" thickBot="1" x14ac:dyDescent="0.25">
      <c r="B63" s="349">
        <v>60</v>
      </c>
      <c r="C63" s="378">
        <f>IF(H58="","",IF(H58=E58,C58,D58))</f>
        <v>21</v>
      </c>
      <c r="D63" s="378">
        <f>IF(H59="","",IF(H59=E59,C59,D59))</f>
        <v>42</v>
      </c>
      <c r="E63" s="145" t="str">
        <f>IF(C63="","",VLOOKUP(C63,'Списки участников'!$A:$S,3,FALSE))</f>
        <v>КОПНОВ Павел</v>
      </c>
      <c r="F63" s="145" t="str">
        <f>IF(D63="","",VLOOKUP(D63,'Списки участников'!$A:$S,3,FALSE))</f>
        <v>ПАНИН Сергей</v>
      </c>
      <c r="G63" s="1051">
        <f t="shared" si="0"/>
        <v>21</v>
      </c>
      <c r="H63" s="1063" t="s">
        <v>2723</v>
      </c>
      <c r="I63" s="163" t="str">
        <f t="shared" si="3"/>
        <v>ПАНИН Сергей</v>
      </c>
      <c r="J63" s="1058">
        <v>0</v>
      </c>
      <c r="K63" s="1058"/>
      <c r="L63" s="1058"/>
      <c r="M63" s="1058"/>
      <c r="N63" s="1058"/>
      <c r="O63" s="1058"/>
      <c r="P63" s="1058"/>
      <c r="Q63" s="1058"/>
      <c r="R63" s="1055" t="str">
        <f t="shared" si="1"/>
        <v>3:0</v>
      </c>
      <c r="S63" s="1047">
        <f t="shared" si="2"/>
        <v>0</v>
      </c>
    </row>
    <row r="64" spans="2:19" ht="15.75" thickBot="1" x14ac:dyDescent="0.25">
      <c r="B64" s="374">
        <v>61</v>
      </c>
      <c r="C64" s="378">
        <f>IF(H60="","",IF(H60=E60,C60,D60))</f>
        <v>35</v>
      </c>
      <c r="D64" s="378">
        <f>IF(H61="","",IF(H61=E61,C61,D61))</f>
        <v>6</v>
      </c>
      <c r="E64" s="145" t="str">
        <f>IF(C64="","",VLOOKUP(C64,'Списки участников'!$A:$S,3,FALSE))</f>
        <v>ГРИШИН Иван</v>
      </c>
      <c r="F64" s="145" t="str">
        <f>IF(D64="","",VLOOKUP(D64,'Списки участников'!$A:$S,3,FALSE))</f>
        <v>ЯШУНИН Андрей</v>
      </c>
      <c r="G64" s="1051">
        <f t="shared" si="0"/>
        <v>35</v>
      </c>
      <c r="H64" s="1063" t="s">
        <v>2720</v>
      </c>
      <c r="I64" s="163" t="str">
        <f t="shared" si="3"/>
        <v>ЯШУНИН Андрей</v>
      </c>
      <c r="J64" s="1058">
        <v>0</v>
      </c>
      <c r="K64" s="1058"/>
      <c r="L64" s="1058"/>
      <c r="M64" s="1058"/>
      <c r="N64" s="1058"/>
      <c r="O64" s="1058"/>
      <c r="P64" s="1058"/>
      <c r="Q64" s="1058"/>
      <c r="R64" s="1055" t="str">
        <f t="shared" si="1"/>
        <v>3:0</v>
      </c>
      <c r="S64" s="1047">
        <f t="shared" si="2"/>
        <v>0</v>
      </c>
    </row>
    <row r="65" spans="2:19" ht="15.75" thickBot="1" x14ac:dyDescent="0.25">
      <c r="B65" s="349">
        <v>62</v>
      </c>
      <c r="C65" s="378">
        <f>IF(H62="","",IF(H62=E62,C62,D62))</f>
        <v>13</v>
      </c>
      <c r="D65" s="378">
        <f>IF(H63="","",IF(H63=E63,C63,D63))</f>
        <v>21</v>
      </c>
      <c r="E65" s="145" t="str">
        <f>IF(C65="","",VLOOKUP(C65,'Списки участников'!$A:$S,3,FALSE))</f>
        <v>ВАХРОМОВ Андрей</v>
      </c>
      <c r="F65" s="145" t="str">
        <f>IF(D65="","",VLOOKUP(D65,'Списки участников'!$A:$S,3,FALSE))</f>
        <v>КОПНОВ Павел</v>
      </c>
      <c r="G65" s="1051">
        <f t="shared" si="0"/>
        <v>13</v>
      </c>
      <c r="H65" s="1063" t="s">
        <v>2732</v>
      </c>
      <c r="I65" s="163" t="str">
        <f t="shared" si="3"/>
        <v>КОПНОВ Павел</v>
      </c>
      <c r="J65" s="1058">
        <v>0</v>
      </c>
      <c r="K65" s="1058"/>
      <c r="L65" s="1058"/>
      <c r="M65" s="1058"/>
      <c r="N65" s="1058"/>
      <c r="O65" s="1058"/>
      <c r="P65" s="1058"/>
      <c r="Q65" s="1058"/>
      <c r="R65" s="1055" t="str">
        <f t="shared" si="1"/>
        <v>3:0</v>
      </c>
      <c r="S65" s="1047">
        <f t="shared" si="2"/>
        <v>0</v>
      </c>
    </row>
    <row r="66" spans="2:19" ht="15.75" thickBot="1" x14ac:dyDescent="0.25">
      <c r="B66" s="374">
        <v>63</v>
      </c>
      <c r="C66" s="378">
        <f>IF(H64="","",IF(H64=E64,C64,D64))</f>
        <v>35</v>
      </c>
      <c r="D66" s="378">
        <f>IF(H65="","",IF(H65=E65,C65,D65))</f>
        <v>13</v>
      </c>
      <c r="E66" s="145" t="str">
        <f>IF(C66="","",VLOOKUP(C66,'Списки участников'!$A:$S,3,FALSE))</f>
        <v>ГРИШИН Иван</v>
      </c>
      <c r="F66" s="145" t="str">
        <f>IF(D66="","",VLOOKUP(D66,'Списки участников'!$A:$S,3,FALSE))</f>
        <v>ВАХРОМОВ Андрей</v>
      </c>
      <c r="G66" s="1051">
        <f t="shared" si="0"/>
        <v>13</v>
      </c>
      <c r="H66" s="1063" t="s">
        <v>2732</v>
      </c>
      <c r="I66" s="163" t="str">
        <f t="shared" si="3"/>
        <v>ГРИШИН Иван</v>
      </c>
      <c r="J66" s="1058">
        <v>0</v>
      </c>
      <c r="K66" s="1058"/>
      <c r="L66" s="1058"/>
      <c r="M66" s="1058"/>
      <c r="N66" s="1058"/>
      <c r="O66" s="1058"/>
      <c r="P66" s="1058"/>
      <c r="Q66" s="1058"/>
      <c r="R66" s="1055" t="str">
        <f t="shared" si="1"/>
        <v>3:0</v>
      </c>
      <c r="S66" s="1047">
        <f t="shared" si="2"/>
        <v>0</v>
      </c>
    </row>
    <row r="67" spans="2:19" ht="15.75" thickBot="1" x14ac:dyDescent="0.25">
      <c r="B67" s="349">
        <v>64</v>
      </c>
      <c r="C67" s="149">
        <f>IF(H64="","",IF(H64=E64,D64,C64))</f>
        <v>6</v>
      </c>
      <c r="D67" s="149">
        <f>IF(H65="","",IF(H65=E65,D65,C65))</f>
        <v>21</v>
      </c>
      <c r="E67" s="145" t="str">
        <f>IF(C67="","",VLOOKUP(C67,'Списки участников'!$A:$S,3,FALSE))</f>
        <v>ЯШУНИН Андрей</v>
      </c>
      <c r="F67" s="145" t="str">
        <f>IF(D67="","",VLOOKUP(D67,'Списки участников'!$A:$S,3,FALSE))</f>
        <v>КОПНОВ Павел</v>
      </c>
      <c r="G67" s="1051">
        <f t="shared" si="0"/>
        <v>6</v>
      </c>
      <c r="H67" s="1063" t="s">
        <v>2744</v>
      </c>
      <c r="I67" s="163" t="str">
        <f t="shared" si="3"/>
        <v>КОПНОВ Павел</v>
      </c>
      <c r="J67" s="1058">
        <v>0</v>
      </c>
      <c r="K67" s="1058"/>
      <c r="L67" s="1058"/>
      <c r="M67" s="1058"/>
      <c r="N67" s="1058"/>
      <c r="O67" s="1058"/>
      <c r="P67" s="1058"/>
      <c r="Q67" s="1058"/>
      <c r="R67" s="1055" t="str">
        <f t="shared" si="1"/>
        <v>3:0</v>
      </c>
      <c r="S67" s="1047">
        <f t="shared" si="2"/>
        <v>0</v>
      </c>
    </row>
    <row r="68" spans="2:19" ht="15.75" thickBot="1" x14ac:dyDescent="0.25">
      <c r="B68" s="374">
        <v>65</v>
      </c>
      <c r="C68" s="149">
        <f>IF(H60="","",IF(H60=E60,D60,C60))</f>
        <v>22</v>
      </c>
      <c r="D68" s="149">
        <f>IF(H61="","",IF(H61=E61,D61,C61))</f>
        <v>18</v>
      </c>
      <c r="E68" s="145" t="str">
        <f>IF(C68="","",VLOOKUP(C68,'Списки участников'!$A:$S,3,FALSE))</f>
        <v>ГОГОЛЬ Александр</v>
      </c>
      <c r="F68" s="145" t="str">
        <f>IF(D68="","",VLOOKUP(D68,'Списки участников'!$A:$S,3,FALSE))</f>
        <v>ВОЛКОВ Валерий</v>
      </c>
      <c r="G68" s="1051">
        <f t="shared" si="0"/>
        <v>22</v>
      </c>
      <c r="H68" s="1063" t="s">
        <v>2718</v>
      </c>
      <c r="I68" s="163" t="str">
        <f t="shared" si="3"/>
        <v>ВОЛКОВ Валерий</v>
      </c>
      <c r="J68" s="1058">
        <v>0</v>
      </c>
      <c r="K68" s="1058"/>
      <c r="L68" s="1058"/>
      <c r="M68" s="1058"/>
      <c r="N68" s="1058"/>
      <c r="O68" s="1058"/>
      <c r="P68" s="1058"/>
      <c r="Q68" s="1058"/>
      <c r="R68" s="1055" t="str">
        <f t="shared" si="1"/>
        <v>3:0</v>
      </c>
      <c r="S68" s="1047">
        <f t="shared" si="2"/>
        <v>0</v>
      </c>
    </row>
    <row r="69" spans="2:19" ht="15.75" thickBot="1" x14ac:dyDescent="0.25">
      <c r="B69" s="349">
        <v>66</v>
      </c>
      <c r="C69" s="149">
        <f>IF(H62="","",IF(H62=E62,D62,C62))</f>
        <v>43</v>
      </c>
      <c r="D69" s="149">
        <f>IF(H63="","",IF(H63=E63,D63,C63))</f>
        <v>42</v>
      </c>
      <c r="E69" s="145" t="str">
        <f>IF(C69="","",VLOOKUP(C69,'Списки участников'!$A:$S,3,FALSE))</f>
        <v>ЕСЬКИН Михаил</v>
      </c>
      <c r="F69" s="145" t="str">
        <f>IF(D69="","",VLOOKUP(D69,'Списки участников'!$A:$S,3,FALSE))</f>
        <v>ПАНИН Сергей</v>
      </c>
      <c r="G69" s="1051">
        <f t="shared" ref="G69:G83" si="4">IF(H69="","",IF(H69=E69,C69,D69))</f>
        <v>42</v>
      </c>
      <c r="H69" s="1063" t="s">
        <v>2782</v>
      </c>
      <c r="I69" s="163" t="str">
        <f t="shared" si="3"/>
        <v>ЕСЬКИН Михаил</v>
      </c>
      <c r="J69" s="1058">
        <v>0</v>
      </c>
      <c r="K69" s="1058"/>
      <c r="L69" s="1058"/>
      <c r="M69" s="1058"/>
      <c r="N69" s="1058"/>
      <c r="O69" s="1058"/>
      <c r="P69" s="1058"/>
      <c r="Q69" s="1058"/>
      <c r="R69" s="1055" t="str">
        <f t="shared" ref="R69:R83" si="5">IF(J69="","",IF(J69="W",CONCATENATE(J69,":","L"),CONCATENATE(3,":",J69)))</f>
        <v>3:0</v>
      </c>
      <c r="S69" s="1047">
        <f t="shared" ref="S69:S83" si="6">IF(K69&gt;0,1,0)+IF(L69&gt;0,1,0)+IF(M69&gt;0,1,0)+IF(N69&gt;0,1,0)+IF(O69&gt;0,1,0)+IF(P69&gt;0,1,0)+IF(Q69&gt;0,1,0)</f>
        <v>0</v>
      </c>
    </row>
    <row r="70" spans="2:19" ht="15.75" thickBot="1" x14ac:dyDescent="0.25">
      <c r="B70" s="374">
        <v>67</v>
      </c>
      <c r="C70" s="364">
        <f>IF(H68="","",IF(H68=E68,C68,D68))</f>
        <v>22</v>
      </c>
      <c r="D70" s="364">
        <f>IF(H69="","",IF(H69=E69,C69,D69))</f>
        <v>42</v>
      </c>
      <c r="E70" s="145" t="str">
        <f>IF(C70="","",VLOOKUP(C70,'Списки участников'!$A:$S,3,FALSE))</f>
        <v>ГОГОЛЬ Александр</v>
      </c>
      <c r="F70" s="145" t="str">
        <f>IF(D70="","",VLOOKUP(D70,'Списки участников'!$A:$S,3,FALSE))</f>
        <v>ПАНИН Сергей</v>
      </c>
      <c r="G70" s="1051">
        <f t="shared" si="4"/>
        <v>22</v>
      </c>
      <c r="H70" s="1063" t="s">
        <v>2718</v>
      </c>
      <c r="I70" s="163" t="str">
        <f t="shared" ref="I70:I83" si="7">IF(H70="","",IF(H70=E70,F70,E70))</f>
        <v>ПАНИН Сергей</v>
      </c>
      <c r="J70" s="1058">
        <v>0</v>
      </c>
      <c r="K70" s="1058"/>
      <c r="L70" s="1058"/>
      <c r="M70" s="1058"/>
      <c r="N70" s="1058"/>
      <c r="O70" s="1058"/>
      <c r="P70" s="1058"/>
      <c r="Q70" s="1058"/>
      <c r="R70" s="1055" t="str">
        <f t="shared" si="5"/>
        <v>3:0</v>
      </c>
      <c r="S70" s="1047">
        <f t="shared" si="6"/>
        <v>0</v>
      </c>
    </row>
    <row r="71" spans="2:19" ht="15.75" thickBot="1" x14ac:dyDescent="0.25">
      <c r="B71" s="349">
        <v>68</v>
      </c>
      <c r="C71" s="149">
        <f>IF(H68="","",IF(H68=E68,D68,C68))</f>
        <v>18</v>
      </c>
      <c r="D71" s="149">
        <f>IF(H69="","",IF(H69=E69,D69,C69))</f>
        <v>43</v>
      </c>
      <c r="E71" s="145" t="str">
        <f>IF(C71="","",VLOOKUP(C71,'Списки участников'!$A:$S,3,FALSE))</f>
        <v>ВОЛКОВ Валерий</v>
      </c>
      <c r="F71" s="145" t="str">
        <f>IF(D71="","",VLOOKUP(D71,'Списки участников'!$A:$S,3,FALSE))</f>
        <v>ЕСЬКИН Михаил</v>
      </c>
      <c r="G71" s="1051">
        <f t="shared" si="4"/>
        <v>18</v>
      </c>
      <c r="H71" s="1063" t="s">
        <v>2734</v>
      </c>
      <c r="I71" s="163" t="str">
        <f t="shared" si="7"/>
        <v>ЕСЬКИН Михаил</v>
      </c>
      <c r="J71" s="1058">
        <v>0</v>
      </c>
      <c r="K71" s="1058"/>
      <c r="L71" s="1058"/>
      <c r="M71" s="1058"/>
      <c r="N71" s="1058"/>
      <c r="O71" s="1058"/>
      <c r="P71" s="1058"/>
      <c r="Q71" s="1058"/>
      <c r="R71" s="1055" t="str">
        <f t="shared" si="5"/>
        <v>3:0</v>
      </c>
      <c r="S71" s="1047">
        <f t="shared" si="6"/>
        <v>0</v>
      </c>
    </row>
    <row r="72" spans="2:19" ht="15.75" thickBot="1" x14ac:dyDescent="0.25">
      <c r="B72" s="374">
        <v>69</v>
      </c>
      <c r="C72" s="149">
        <f>IF(H52="","",IF(H52=E52,D52,C52))</f>
        <v>60</v>
      </c>
      <c r="D72" s="149">
        <f>IF(H53="","",IF(H53=E53,D53,C53))</f>
        <v>60</v>
      </c>
      <c r="E72" s="145" t="str">
        <f>IF(C72="","",VLOOKUP(C72,'Списки участников'!$A:$S,3,FALSE))</f>
        <v xml:space="preserve"> Х</v>
      </c>
      <c r="F72" s="145" t="str">
        <f>IF(D72="","",VLOOKUP(D72,'Списки участников'!$A:$S,3,FALSE))</f>
        <v xml:space="preserve"> Х</v>
      </c>
      <c r="G72" s="1051" t="str">
        <f t="shared" si="4"/>
        <v/>
      </c>
      <c r="H72" s="1063"/>
      <c r="I72" s="163" t="str">
        <f t="shared" si="7"/>
        <v/>
      </c>
      <c r="J72" s="1058"/>
      <c r="K72" s="1058"/>
      <c r="L72" s="1058"/>
      <c r="M72" s="1058"/>
      <c r="N72" s="1058"/>
      <c r="O72" s="1058"/>
      <c r="P72" s="1058"/>
      <c r="Q72" s="1058"/>
      <c r="R72" s="1055" t="str">
        <f t="shared" si="5"/>
        <v/>
      </c>
      <c r="S72" s="1047">
        <f t="shared" si="6"/>
        <v>0</v>
      </c>
    </row>
    <row r="73" spans="2:19" ht="15.75" thickBot="1" x14ac:dyDescent="0.25">
      <c r="B73" s="349">
        <v>70</v>
      </c>
      <c r="C73" s="149">
        <f>IF(H54="","",IF(H54=E54,D54,C54))</f>
        <v>60</v>
      </c>
      <c r="D73" s="149">
        <f>IF(H55="","",IF(H55=E55,D55,C55))</f>
        <v>60</v>
      </c>
      <c r="E73" s="145" t="str">
        <f>IF(C73="","",VLOOKUP(C73,'Списки участников'!$A:$S,3,FALSE))</f>
        <v xml:space="preserve"> Х</v>
      </c>
      <c r="F73" s="145" t="str">
        <f>IF(D73="","",VLOOKUP(D73,'Списки участников'!$A:$S,3,FALSE))</f>
        <v xml:space="preserve"> Х</v>
      </c>
      <c r="G73" s="1051" t="str">
        <f t="shared" si="4"/>
        <v/>
      </c>
      <c r="H73" s="1063"/>
      <c r="I73" s="163" t="str">
        <f t="shared" si="7"/>
        <v/>
      </c>
      <c r="J73" s="1058"/>
      <c r="K73" s="1058"/>
      <c r="L73" s="1058"/>
      <c r="M73" s="1058"/>
      <c r="N73" s="1058"/>
      <c r="O73" s="1058"/>
      <c r="P73" s="1058"/>
      <c r="Q73" s="1058"/>
      <c r="R73" s="1055" t="str">
        <f t="shared" si="5"/>
        <v/>
      </c>
      <c r="S73" s="1047">
        <f t="shared" si="6"/>
        <v>0</v>
      </c>
    </row>
    <row r="74" spans="2:19" ht="15.75" thickBot="1" x14ac:dyDescent="0.25">
      <c r="B74" s="374">
        <v>71</v>
      </c>
      <c r="C74" s="149">
        <f>IF(H56="","",IF(H56=E56,D56,C56))</f>
        <v>60</v>
      </c>
      <c r="D74" s="149">
        <f>IF(H57="","",IF(H57=E57,D57,C57))</f>
        <v>60</v>
      </c>
      <c r="E74" s="145" t="str">
        <f>IF(C74="","",VLOOKUP(C74,'Списки участников'!$A:$S,3,FALSE))</f>
        <v xml:space="preserve"> Х</v>
      </c>
      <c r="F74" s="145" t="str">
        <f>IF(D74="","",VLOOKUP(D74,'Списки участников'!$A:$S,3,FALSE))</f>
        <v xml:space="preserve"> Х</v>
      </c>
      <c r="G74" s="1051" t="str">
        <f t="shared" si="4"/>
        <v/>
      </c>
      <c r="H74" s="1063"/>
      <c r="I74" s="163" t="str">
        <f t="shared" si="7"/>
        <v/>
      </c>
      <c r="J74" s="1058"/>
      <c r="K74" s="1058"/>
      <c r="L74" s="1058"/>
      <c r="M74" s="1058"/>
      <c r="N74" s="1058"/>
      <c r="O74" s="1058"/>
      <c r="P74" s="1058"/>
      <c r="Q74" s="1058"/>
      <c r="R74" s="1055" t="str">
        <f t="shared" si="5"/>
        <v/>
      </c>
      <c r="S74" s="1047">
        <f t="shared" si="6"/>
        <v>0</v>
      </c>
    </row>
    <row r="75" spans="2:19" ht="15.75" thickBot="1" x14ac:dyDescent="0.25">
      <c r="B75" s="349">
        <v>72</v>
      </c>
      <c r="C75" s="149">
        <f>IF(H58="","",IF(H58=E58,D58,C58))</f>
        <v>60</v>
      </c>
      <c r="D75" s="149">
        <f>IF(H59="","",IF(H59=E59,D59,C59))</f>
        <v>60</v>
      </c>
      <c r="E75" s="145" t="str">
        <f>IF(C75="","",VLOOKUP(C75,'Списки участников'!$A:$S,3,FALSE))</f>
        <v xml:space="preserve"> Х</v>
      </c>
      <c r="F75" s="145" t="str">
        <f>IF(D75="","",VLOOKUP(D75,'Списки участников'!$A:$S,3,FALSE))</f>
        <v xml:space="preserve"> Х</v>
      </c>
      <c r="G75" s="1051" t="str">
        <f t="shared" si="4"/>
        <v/>
      </c>
      <c r="H75" s="1063"/>
      <c r="I75" s="163" t="str">
        <f t="shared" si="7"/>
        <v/>
      </c>
      <c r="J75" s="1058"/>
      <c r="K75" s="1058"/>
      <c r="L75" s="1058"/>
      <c r="M75" s="1058"/>
      <c r="N75" s="1058"/>
      <c r="O75" s="1058"/>
      <c r="P75" s="1058"/>
      <c r="Q75" s="1058"/>
      <c r="R75" s="1055" t="str">
        <f t="shared" si="5"/>
        <v/>
      </c>
      <c r="S75" s="1047">
        <f t="shared" si="6"/>
        <v>0</v>
      </c>
    </row>
    <row r="76" spans="2:19" ht="15.75" thickBot="1" x14ac:dyDescent="0.25">
      <c r="B76" s="374">
        <v>73</v>
      </c>
      <c r="C76" s="364" t="str">
        <f>IF(H72="","",IF(H72=E72,C72,D72))</f>
        <v/>
      </c>
      <c r="D76" s="364" t="str">
        <f>IF(H73="","",IF(H73=E73,C73,D73))</f>
        <v/>
      </c>
      <c r="E76" s="145" t="str">
        <f>IF(C76="","",VLOOKUP(C76,'Списки участников'!$A:$S,3,FALSE))</f>
        <v/>
      </c>
      <c r="F76" s="145" t="str">
        <f>IF(D76="","",VLOOKUP(D76,'Списки участников'!$A:$S,3,FALSE))</f>
        <v/>
      </c>
      <c r="G76" s="1051" t="str">
        <f t="shared" si="4"/>
        <v/>
      </c>
      <c r="H76" s="1063"/>
      <c r="I76" s="163" t="str">
        <f t="shared" si="7"/>
        <v/>
      </c>
      <c r="J76" s="1058"/>
      <c r="K76" s="1058"/>
      <c r="L76" s="1058"/>
      <c r="M76" s="1058"/>
      <c r="N76" s="1058"/>
      <c r="O76" s="1058"/>
      <c r="P76" s="1058"/>
      <c r="Q76" s="1058"/>
      <c r="R76" s="1055" t="str">
        <f t="shared" si="5"/>
        <v/>
      </c>
      <c r="S76" s="1047">
        <f t="shared" si="6"/>
        <v>0</v>
      </c>
    </row>
    <row r="77" spans="2:19" ht="15.75" thickBot="1" x14ac:dyDescent="0.25">
      <c r="B77" s="349">
        <v>74</v>
      </c>
      <c r="C77" s="364" t="str">
        <f>IF(H74="","",IF(H74=E74,C74,D74))</f>
        <v/>
      </c>
      <c r="D77" s="364" t="str">
        <f>IF(H75="","",IF(H75=E75,C75,D75))</f>
        <v/>
      </c>
      <c r="E77" s="145" t="str">
        <f>IF(C77="","",VLOOKUP(C77,'Списки участников'!$A:$S,3,FALSE))</f>
        <v/>
      </c>
      <c r="F77" s="145" t="str">
        <f>IF(D77="","",VLOOKUP(D77,'Списки участников'!$A:$S,3,FALSE))</f>
        <v/>
      </c>
      <c r="G77" s="1051" t="str">
        <f t="shared" si="4"/>
        <v/>
      </c>
      <c r="H77" s="1063"/>
      <c r="I77" s="163" t="str">
        <f t="shared" si="7"/>
        <v/>
      </c>
      <c r="J77" s="1058"/>
      <c r="K77" s="1058"/>
      <c r="L77" s="1058"/>
      <c r="M77" s="1058"/>
      <c r="N77" s="1058"/>
      <c r="O77" s="1058"/>
      <c r="P77" s="1058"/>
      <c r="Q77" s="1058"/>
      <c r="R77" s="1055" t="str">
        <f t="shared" si="5"/>
        <v/>
      </c>
      <c r="S77" s="1047">
        <f t="shared" si="6"/>
        <v>0</v>
      </c>
    </row>
    <row r="78" spans="2:19" ht="15.75" thickBot="1" x14ac:dyDescent="0.25">
      <c r="B78" s="374">
        <v>75</v>
      </c>
      <c r="C78" s="364" t="str">
        <f>IF(H76="","",IF(H76=E76,C76,D76))</f>
        <v/>
      </c>
      <c r="D78" s="364" t="str">
        <f>IF(H77="","",IF(H77=E77,C77,D77))</f>
        <v/>
      </c>
      <c r="E78" s="145" t="str">
        <f>IF(C78="","",VLOOKUP(C78,'Списки участников'!$A:$S,3,FALSE))</f>
        <v/>
      </c>
      <c r="F78" s="145" t="str">
        <f>IF(D78="","",VLOOKUP(D78,'Списки участников'!$A:$S,3,FALSE))</f>
        <v/>
      </c>
      <c r="G78" s="1051" t="str">
        <f t="shared" si="4"/>
        <v/>
      </c>
      <c r="H78" s="1063"/>
      <c r="I78" s="163" t="str">
        <f t="shared" si="7"/>
        <v/>
      </c>
      <c r="J78" s="1058"/>
      <c r="K78" s="1058"/>
      <c r="L78" s="1058"/>
      <c r="M78" s="1058"/>
      <c r="N78" s="1058"/>
      <c r="O78" s="1058"/>
      <c r="P78" s="1058"/>
      <c r="Q78" s="1058"/>
      <c r="R78" s="1055" t="str">
        <f t="shared" si="5"/>
        <v/>
      </c>
      <c r="S78" s="1047">
        <f t="shared" si="6"/>
        <v>0</v>
      </c>
    </row>
    <row r="79" spans="2:19" ht="15.75" thickBot="1" x14ac:dyDescent="0.25">
      <c r="B79" s="349">
        <v>76</v>
      </c>
      <c r="C79" s="149" t="str">
        <f>IF(H76="","",IF(H76=E76,D76,C76))</f>
        <v/>
      </c>
      <c r="D79" s="149" t="str">
        <f>IF(H77="","",IF(H77=E77,D77,C77))</f>
        <v/>
      </c>
      <c r="E79" s="145" t="str">
        <f>IF(C79="","",VLOOKUP(C79,'Списки участников'!$A:$S,3,FALSE))</f>
        <v/>
      </c>
      <c r="F79" s="145" t="str">
        <f>IF(D79="","",VLOOKUP(D79,'Списки участников'!$A:$S,3,FALSE))</f>
        <v/>
      </c>
      <c r="G79" s="1051" t="str">
        <f t="shared" si="4"/>
        <v/>
      </c>
      <c r="H79" s="1063"/>
      <c r="I79" s="163" t="str">
        <f t="shared" si="7"/>
        <v/>
      </c>
      <c r="J79" s="1058"/>
      <c r="K79" s="1058"/>
      <c r="L79" s="1058"/>
      <c r="M79" s="1058"/>
      <c r="N79" s="1058"/>
      <c r="O79" s="1058"/>
      <c r="P79" s="1058"/>
      <c r="Q79" s="1058"/>
      <c r="R79" s="1055" t="str">
        <f t="shared" si="5"/>
        <v/>
      </c>
      <c r="S79" s="1047">
        <f t="shared" si="6"/>
        <v>0</v>
      </c>
    </row>
    <row r="80" spans="2:19" ht="15.75" thickBot="1" x14ac:dyDescent="0.25">
      <c r="B80" s="374">
        <v>77</v>
      </c>
      <c r="C80" s="149" t="str">
        <f>IF(H72="","",IF(H72=E72,D72,C72))</f>
        <v/>
      </c>
      <c r="D80" s="149" t="str">
        <f>IF(H73="","",IF(H73=E73,D73,C73))</f>
        <v/>
      </c>
      <c r="E80" s="145" t="str">
        <f>IF(C80="","",VLOOKUP(C80,'Списки участников'!$A:$S,3,FALSE))</f>
        <v/>
      </c>
      <c r="F80" s="145" t="str">
        <f>IF(D80="","",VLOOKUP(D80,'Списки участников'!$A:$S,3,FALSE))</f>
        <v/>
      </c>
      <c r="G80" s="1051" t="str">
        <f t="shared" si="4"/>
        <v/>
      </c>
      <c r="H80" s="1063"/>
      <c r="I80" s="163" t="str">
        <f t="shared" si="7"/>
        <v/>
      </c>
      <c r="J80" s="1058"/>
      <c r="K80" s="1058"/>
      <c r="L80" s="1058"/>
      <c r="M80" s="1058"/>
      <c r="N80" s="1058"/>
      <c r="O80" s="1058"/>
      <c r="P80" s="1058"/>
      <c r="Q80" s="1058"/>
      <c r="R80" s="1055" t="str">
        <f t="shared" si="5"/>
        <v/>
      </c>
      <c r="S80" s="1047">
        <f t="shared" si="6"/>
        <v>0</v>
      </c>
    </row>
    <row r="81" spans="2:19" ht="15.75" thickBot="1" x14ac:dyDescent="0.25">
      <c r="B81" s="349">
        <v>78</v>
      </c>
      <c r="C81" s="149" t="str">
        <f>IF(H74="","",IF(H74=E74,D74,C74))</f>
        <v/>
      </c>
      <c r="D81" s="149" t="str">
        <f>IF(H75="","",IF(H75=E75,D75,C75))</f>
        <v/>
      </c>
      <c r="E81" s="145" t="str">
        <f>IF(C81="","",VLOOKUP(C81,'Списки участников'!$A:$S,3,FALSE))</f>
        <v/>
      </c>
      <c r="F81" s="145" t="str">
        <f>IF(D81="","",VLOOKUP(D81,'Списки участников'!$A:$S,3,FALSE))</f>
        <v/>
      </c>
      <c r="G81" s="1051" t="str">
        <f t="shared" si="4"/>
        <v/>
      </c>
      <c r="H81" s="1063"/>
      <c r="I81" s="163" t="str">
        <f t="shared" si="7"/>
        <v/>
      </c>
      <c r="J81" s="1058"/>
      <c r="K81" s="1058"/>
      <c r="L81" s="1058"/>
      <c r="M81" s="1058"/>
      <c r="N81" s="1058"/>
      <c r="O81" s="1058"/>
      <c r="P81" s="1058"/>
      <c r="Q81" s="1058"/>
      <c r="R81" s="1055" t="str">
        <f t="shared" si="5"/>
        <v/>
      </c>
      <c r="S81" s="1047">
        <f t="shared" si="6"/>
        <v>0</v>
      </c>
    </row>
    <row r="82" spans="2:19" ht="15.75" thickBot="1" x14ac:dyDescent="0.25">
      <c r="B82" s="374">
        <v>79</v>
      </c>
      <c r="C82" s="364" t="str">
        <f>IF(H80="","",IF(H80=E80,C80,D80))</f>
        <v/>
      </c>
      <c r="D82" s="364" t="str">
        <f>IF(H81="","",IF(H81=E81,C81,D81))</f>
        <v/>
      </c>
      <c r="E82" s="145" t="str">
        <f>IF(C82="","",VLOOKUP(C82,'Списки участников'!$A:$S,3,FALSE))</f>
        <v/>
      </c>
      <c r="F82" s="145" t="str">
        <f>IF(D82="","",VLOOKUP(D82,'Списки участников'!$A:$S,3,FALSE))</f>
        <v/>
      </c>
      <c r="G82" s="1051" t="str">
        <f t="shared" si="4"/>
        <v/>
      </c>
      <c r="H82" s="1063"/>
      <c r="I82" s="163" t="str">
        <f t="shared" si="7"/>
        <v/>
      </c>
      <c r="J82" s="1058"/>
      <c r="K82" s="1058"/>
      <c r="L82" s="1058"/>
      <c r="M82" s="1058"/>
      <c r="N82" s="1058"/>
      <c r="O82" s="1058"/>
      <c r="P82" s="1058"/>
      <c r="Q82" s="1058"/>
      <c r="R82" s="1055" t="str">
        <f t="shared" si="5"/>
        <v/>
      </c>
      <c r="S82" s="1047">
        <f t="shared" si="6"/>
        <v>0</v>
      </c>
    </row>
    <row r="83" spans="2:19" ht="15.75" thickBot="1" x14ac:dyDescent="0.25">
      <c r="B83" s="349">
        <v>80</v>
      </c>
      <c r="C83" s="149" t="str">
        <f>IF(H80="","",IF(H80=E80,D80,C80))</f>
        <v/>
      </c>
      <c r="D83" s="149" t="str">
        <f>IF(H81="","",IF(H81=E81,D81,C81))</f>
        <v/>
      </c>
      <c r="E83" s="145" t="str">
        <f>IF(C83="","",VLOOKUP(C83,'Списки участников'!$A:$S,3,FALSE))</f>
        <v/>
      </c>
      <c r="F83" s="145" t="str">
        <f>IF(D83="","",VLOOKUP(D83,'Списки участников'!$A:$S,3,FALSE))</f>
        <v/>
      </c>
      <c r="G83" s="1051" t="str">
        <f t="shared" si="4"/>
        <v/>
      </c>
      <c r="H83" s="1063"/>
      <c r="I83" s="163" t="str">
        <f t="shared" si="7"/>
        <v/>
      </c>
      <c r="J83" s="1058"/>
      <c r="K83" s="1058"/>
      <c r="L83" s="1058"/>
      <c r="M83" s="1058"/>
      <c r="N83" s="1058"/>
      <c r="O83" s="1058"/>
      <c r="P83" s="1058"/>
      <c r="Q83" s="1058"/>
      <c r="R83" s="1055" t="str">
        <f t="shared" si="5"/>
        <v/>
      </c>
      <c r="S83" s="1047">
        <f t="shared" si="6"/>
        <v>0</v>
      </c>
    </row>
  </sheetData>
  <mergeCells count="9">
    <mergeCell ref="I2:I3"/>
    <mergeCell ref="J2:J3"/>
    <mergeCell ref="R2:R3"/>
    <mergeCell ref="B2:B3"/>
    <mergeCell ref="C2:C3"/>
    <mergeCell ref="D2:D3"/>
    <mergeCell ref="E2:E3"/>
    <mergeCell ref="F2:F3"/>
    <mergeCell ref="H2:H3"/>
  </mergeCells>
  <dataValidations count="3">
    <dataValidation type="list" allowBlank="1" showInputMessage="1" showErrorMessage="1" sqref="J4:J83">
      <formula1>$A$2:$A$6</formula1>
    </dataValidation>
    <dataValidation type="list" allowBlank="1" showInputMessage="1" showErrorMessage="1" sqref="H4:H83">
      <formula1>E4:F4</formula1>
    </dataValidation>
    <dataValidation type="list" allowBlank="1" showInputMessage="1" showErrorMessage="1" sqref="K5:Q83">
      <formula1>$A$2:$A$5</formula1>
    </dataValidation>
  </dataValidation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  <pageSetUpPr fitToPage="1"/>
  </sheetPr>
  <dimension ref="A1:AJ84"/>
  <sheetViews>
    <sheetView tabSelected="1" view="pageBreakPreview" topLeftCell="A49" zoomScale="120" zoomScaleNormal="100" zoomScaleSheetLayoutView="120" workbookViewId="0">
      <selection activeCell="AG83" sqref="AG83"/>
    </sheetView>
  </sheetViews>
  <sheetFormatPr defaultRowHeight="12.75" outlineLevelCol="1" x14ac:dyDescent="0.2"/>
  <cols>
    <col min="1" max="1" width="5.6640625" style="91" customWidth="1"/>
    <col min="2" max="2" width="5" style="91" hidden="1" customWidth="1" outlineLevel="1"/>
    <col min="3" max="3" width="30" style="91" customWidth="1" collapsed="1"/>
    <col min="4" max="21" width="2.83203125" style="91" customWidth="1"/>
    <col min="22" max="30" width="2.83203125" style="91" hidden="1" customWidth="1"/>
    <col min="31" max="32" width="3.5" style="91" customWidth="1"/>
    <col min="33" max="33" width="9.5" style="91" customWidth="1"/>
    <col min="34" max="34" width="7.83203125" style="91" customWidth="1"/>
    <col min="35" max="51" width="3.5" style="91" customWidth="1"/>
    <col min="52" max="16384" width="9.33203125" style="91"/>
  </cols>
  <sheetData>
    <row r="1" spans="1:34" ht="82.5" customHeight="1" x14ac:dyDescent="0.25">
      <c r="C1" s="1167" t="str">
        <f>'Списки участников'!A1</f>
        <v xml:space="preserve">X Спартакиада
среди предприятий Нижегородской области ФСК "Профсоюзов",
под девизом "Будь спортивным - будь успешным!"
</v>
      </c>
      <c r="D1" s="1167"/>
      <c r="E1" s="1167"/>
      <c r="F1" s="1167"/>
      <c r="G1" s="1167"/>
      <c r="H1" s="1167"/>
      <c r="I1" s="1167"/>
      <c r="J1" s="1167"/>
      <c r="K1" s="1167"/>
      <c r="L1" s="1167"/>
      <c r="M1" s="1167"/>
      <c r="N1" s="1167"/>
      <c r="O1" s="1167"/>
      <c r="P1" s="1167"/>
      <c r="Q1" s="1167"/>
      <c r="R1" s="1167"/>
      <c r="S1" s="1167"/>
      <c r="T1" s="1167"/>
      <c r="U1" s="1167"/>
      <c r="V1" s="1167"/>
      <c r="W1" s="1167"/>
      <c r="X1" s="1167"/>
      <c r="Y1" s="1167"/>
      <c r="Z1" s="1167"/>
      <c r="AA1" s="1167"/>
      <c r="AB1" s="1167"/>
      <c r="AC1" s="1167"/>
      <c r="AD1" s="1167"/>
      <c r="AE1" s="1167"/>
      <c r="AF1" s="1167"/>
      <c r="AG1" s="1167"/>
    </row>
    <row r="2" spans="1:34" ht="15.75" x14ac:dyDescent="0.25">
      <c r="C2" s="438" t="str">
        <f>'Списки участников'!C3</f>
        <v>22 октября 2016 г.</v>
      </c>
      <c r="D2" s="1093"/>
      <c r="E2" s="1093"/>
      <c r="F2" s="1093"/>
      <c r="G2" s="1093"/>
      <c r="H2" s="1093"/>
      <c r="I2" s="1093"/>
      <c r="J2" s="1093"/>
      <c r="K2" s="1093"/>
      <c r="L2" s="1093"/>
      <c r="M2" s="1093"/>
      <c r="N2" s="1093"/>
      <c r="O2" s="1093"/>
      <c r="P2" s="1093"/>
      <c r="Q2" s="1093"/>
      <c r="R2" s="1093"/>
      <c r="S2" s="1093"/>
      <c r="T2" s="1093"/>
      <c r="U2" s="1093"/>
      <c r="V2" s="1093"/>
      <c r="W2" s="1093"/>
      <c r="X2" s="1093"/>
      <c r="Y2" s="1093"/>
      <c r="Z2" s="1093"/>
      <c r="AA2" s="1093"/>
      <c r="AB2" s="1168" t="str">
        <f>'Списки участников'!F3</f>
        <v xml:space="preserve">                                               г. Н. Новгород</v>
      </c>
      <c r="AC2" s="1168"/>
      <c r="AD2" s="1168"/>
      <c r="AE2" s="1168"/>
      <c r="AF2" s="1168"/>
      <c r="AG2" s="1168"/>
    </row>
    <row r="3" spans="1:34" ht="15.75" x14ac:dyDescent="0.25">
      <c r="A3" s="128"/>
      <c r="B3" s="128"/>
      <c r="C3" s="787"/>
      <c r="D3" s="128"/>
      <c r="E3" s="128"/>
      <c r="F3" s="128"/>
      <c r="G3" s="1169" t="s">
        <v>954</v>
      </c>
      <c r="H3" s="1169"/>
      <c r="I3" s="1169"/>
      <c r="J3" s="1169"/>
      <c r="K3" s="1169"/>
      <c r="L3" s="1169"/>
      <c r="M3" s="1169"/>
      <c r="N3" s="1169"/>
      <c r="O3" s="1169"/>
      <c r="P3" s="1169"/>
      <c r="Q3" s="1169"/>
      <c r="R3" s="1169"/>
      <c r="S3" s="1169"/>
      <c r="T3" s="1169"/>
      <c r="U3" s="1169"/>
      <c r="V3" s="1169"/>
      <c r="W3" s="1169"/>
      <c r="X3" s="1169"/>
      <c r="Y3" s="1169"/>
      <c r="Z3" s="1169"/>
      <c r="AA3" s="1169"/>
      <c r="AB3" s="128"/>
      <c r="AC3" s="128"/>
      <c r="AD3" s="128"/>
      <c r="AE3" s="128"/>
      <c r="AF3" s="128"/>
      <c r="AG3" s="128"/>
      <c r="AH3" s="128"/>
    </row>
    <row r="4" spans="1:34" ht="12" customHeight="1" x14ac:dyDescent="0.2">
      <c r="A4" s="129" t="s">
        <v>3</v>
      </c>
      <c r="B4" s="130"/>
      <c r="C4" s="131" t="s">
        <v>757</v>
      </c>
      <c r="D4" s="1170">
        <v>1</v>
      </c>
      <c r="E4" s="1171"/>
      <c r="F4" s="1172"/>
      <c r="G4" s="1170">
        <v>2</v>
      </c>
      <c r="H4" s="1171"/>
      <c r="I4" s="1172"/>
      <c r="J4" s="1170">
        <v>3</v>
      </c>
      <c r="K4" s="1171"/>
      <c r="L4" s="1172"/>
      <c r="M4" s="1170">
        <v>4</v>
      </c>
      <c r="N4" s="1171"/>
      <c r="O4" s="1172"/>
      <c r="P4" s="1170">
        <v>5</v>
      </c>
      <c r="Q4" s="1171"/>
      <c r="R4" s="1172"/>
      <c r="S4" s="1170">
        <v>6</v>
      </c>
      <c r="T4" s="1171"/>
      <c r="U4" s="1172"/>
      <c r="V4" s="1170">
        <v>7</v>
      </c>
      <c r="W4" s="1171"/>
      <c r="X4" s="1172"/>
      <c r="Y4" s="1170">
        <v>8</v>
      </c>
      <c r="Z4" s="1171"/>
      <c r="AA4" s="1172"/>
      <c r="AB4" s="1170">
        <v>9</v>
      </c>
      <c r="AC4" s="1171"/>
      <c r="AD4" s="1172"/>
      <c r="AE4" s="1173" t="s">
        <v>758</v>
      </c>
      <c r="AF4" s="1174"/>
      <c r="AG4" s="439" t="s">
        <v>759</v>
      </c>
      <c r="AH4" s="440" t="s">
        <v>100</v>
      </c>
    </row>
    <row r="5" spans="1:34" ht="12" customHeight="1" x14ac:dyDescent="0.2">
      <c r="A5" s="1175">
        <v>1</v>
      </c>
      <c r="B5" s="1177">
        <v>12</v>
      </c>
      <c r="C5" s="441" t="str">
        <f>IF(B5="","",VLOOKUP(B5,'Списки участников'!A:H,3,FALSE))</f>
        <v>АКИМОВА Марина</v>
      </c>
      <c r="D5" s="1179"/>
      <c r="E5" s="1179"/>
      <c r="F5" s="1180"/>
      <c r="G5" s="1183">
        <v>2</v>
      </c>
      <c r="H5" s="1184"/>
      <c r="I5" s="1185"/>
      <c r="J5" s="1183">
        <v>2</v>
      </c>
      <c r="K5" s="1184"/>
      <c r="L5" s="1185"/>
      <c r="M5" s="1183">
        <v>2</v>
      </c>
      <c r="N5" s="1184"/>
      <c r="O5" s="1185"/>
      <c r="P5" s="1183">
        <v>1</v>
      </c>
      <c r="Q5" s="1184"/>
      <c r="R5" s="1185"/>
      <c r="S5" s="1183">
        <v>2</v>
      </c>
      <c r="T5" s="1184"/>
      <c r="U5" s="1185"/>
      <c r="V5" s="1183"/>
      <c r="W5" s="1184"/>
      <c r="X5" s="1185"/>
      <c r="Y5" s="1183"/>
      <c r="Z5" s="1184"/>
      <c r="AA5" s="1185"/>
      <c r="AB5" s="1183"/>
      <c r="AC5" s="1184"/>
      <c r="AD5" s="1185"/>
      <c r="AE5" s="1196">
        <f>IF(B5="","",SUM(G5,J5,M5,P5,S5,V5,Y5,AB5,))</f>
        <v>9</v>
      </c>
      <c r="AF5" s="1197"/>
      <c r="AG5" s="1187"/>
      <c r="AH5" s="1186">
        <v>2</v>
      </c>
    </row>
    <row r="6" spans="1:34" ht="12" customHeight="1" x14ac:dyDescent="0.2">
      <c r="A6" s="1176"/>
      <c r="B6" s="1178"/>
      <c r="C6" s="442" t="str">
        <f>IF(B5="","",VLOOKUP(B5,'Списки участников'!A:H,6,FALSE))</f>
        <v>ОАО "НИАЭП"</v>
      </c>
      <c r="D6" s="1181"/>
      <c r="E6" s="1181"/>
      <c r="F6" s="1182"/>
      <c r="G6" s="443">
        <v>2</v>
      </c>
      <c r="H6" s="444" t="str">
        <f>IF(G5="","",":")</f>
        <v>:</v>
      </c>
      <c r="I6" s="445">
        <v>0</v>
      </c>
      <c r="J6" s="443">
        <v>2</v>
      </c>
      <c r="K6" s="444" t="str">
        <f>IF(J5="","",":")</f>
        <v>:</v>
      </c>
      <c r="L6" s="445">
        <v>0</v>
      </c>
      <c r="M6" s="443">
        <v>2</v>
      </c>
      <c r="N6" s="444" t="str">
        <f>IF(M6="","",":")</f>
        <v>:</v>
      </c>
      <c r="O6" s="445">
        <v>0</v>
      </c>
      <c r="P6" s="443">
        <v>1</v>
      </c>
      <c r="Q6" s="444" t="str">
        <f>IF(P6="","",":")</f>
        <v>:</v>
      </c>
      <c r="R6" s="445">
        <v>2</v>
      </c>
      <c r="S6" s="443">
        <v>2</v>
      </c>
      <c r="T6" s="444" t="str">
        <f>IF(S6="","",":")</f>
        <v>:</v>
      </c>
      <c r="U6" s="445">
        <v>0</v>
      </c>
      <c r="V6" s="443"/>
      <c r="W6" s="444" t="str">
        <f>IF(V6="","",":")</f>
        <v/>
      </c>
      <c r="X6" s="445"/>
      <c r="Y6" s="443"/>
      <c r="Z6" s="444" t="str">
        <f>IF(Y6="","",":")</f>
        <v/>
      </c>
      <c r="AA6" s="445"/>
      <c r="AB6" s="443"/>
      <c r="AC6" s="444" t="str">
        <f>IF(AB6="","",":")</f>
        <v/>
      </c>
      <c r="AD6" s="445"/>
      <c r="AE6" s="1198"/>
      <c r="AF6" s="1199"/>
      <c r="AG6" s="1188"/>
      <c r="AH6" s="1186"/>
    </row>
    <row r="7" spans="1:34" ht="12" customHeight="1" x14ac:dyDescent="0.2">
      <c r="A7" s="1175">
        <v>2</v>
      </c>
      <c r="B7" s="1177">
        <v>8</v>
      </c>
      <c r="C7" s="441" t="str">
        <f>IF(B7="","",VLOOKUP(B7,'Списки участников'!A:H,3,FALSE))</f>
        <v>ЧЕРТОВА Ольга</v>
      </c>
      <c r="D7" s="1189">
        <f>IF(G5="","",IF(G6="W",0,IF(G5=2,1,IF(G5=1,2,IF(G5=0,2)))))</f>
        <v>1</v>
      </c>
      <c r="E7" s="1190"/>
      <c r="F7" s="1191"/>
      <c r="G7" s="1192"/>
      <c r="H7" s="1193"/>
      <c r="I7" s="1194"/>
      <c r="J7" s="1183">
        <v>1</v>
      </c>
      <c r="K7" s="1184"/>
      <c r="L7" s="1185"/>
      <c r="M7" s="1183">
        <v>1</v>
      </c>
      <c r="N7" s="1184"/>
      <c r="O7" s="1185"/>
      <c r="P7" s="1183">
        <v>2</v>
      </c>
      <c r="Q7" s="1184"/>
      <c r="R7" s="1185"/>
      <c r="S7" s="1183">
        <v>1</v>
      </c>
      <c r="T7" s="1184"/>
      <c r="U7" s="1185"/>
      <c r="V7" s="1183"/>
      <c r="W7" s="1184"/>
      <c r="X7" s="1185"/>
      <c r="Y7" s="1183"/>
      <c r="Z7" s="1184"/>
      <c r="AA7" s="1185"/>
      <c r="AB7" s="1183"/>
      <c r="AC7" s="1184"/>
      <c r="AD7" s="1185"/>
      <c r="AE7" s="1196">
        <f>IF(B7="","",SUM(D7,J7,M7,P7,S7,V7,Y7,AB7,))</f>
        <v>6</v>
      </c>
      <c r="AF7" s="1197"/>
      <c r="AG7" s="1187"/>
      <c r="AH7" s="1186">
        <v>6</v>
      </c>
    </row>
    <row r="8" spans="1:34" ht="12" customHeight="1" x14ac:dyDescent="0.2">
      <c r="A8" s="1176"/>
      <c r="B8" s="1178"/>
      <c r="C8" s="442" t="str">
        <f>IF(B7="","",VLOOKUP(B7,'Списки участников'!A:H,6,FALSE))</f>
        <v>ОАО АНПП "ТЕМП-АВИА"</v>
      </c>
      <c r="D8" s="446">
        <f>IF(G6="","",IF(I6="l","W",I6))</f>
        <v>0</v>
      </c>
      <c r="E8" s="447" t="str">
        <f>IF(G5="","",":")</f>
        <v>:</v>
      </c>
      <c r="F8" s="448">
        <f>IF(I6="","",IF(G6="W","L",G6))</f>
        <v>2</v>
      </c>
      <c r="G8" s="1195"/>
      <c r="H8" s="1181"/>
      <c r="I8" s="1182"/>
      <c r="J8" s="443">
        <v>0</v>
      </c>
      <c r="K8" s="444" t="str">
        <f>IF(J7="","",":")</f>
        <v>:</v>
      </c>
      <c r="L8" s="445">
        <v>2</v>
      </c>
      <c r="M8" s="443">
        <v>0</v>
      </c>
      <c r="N8" s="444" t="str">
        <f>IF(M7="","",":")</f>
        <v>:</v>
      </c>
      <c r="O8" s="445">
        <v>2</v>
      </c>
      <c r="P8" s="443">
        <v>2</v>
      </c>
      <c r="Q8" s="444" t="str">
        <f>IF(P7="","",":")</f>
        <v>:</v>
      </c>
      <c r="R8" s="445">
        <v>0</v>
      </c>
      <c r="S8" s="443">
        <v>0</v>
      </c>
      <c r="T8" s="444" t="str">
        <f>IF(S8="","",":")</f>
        <v>:</v>
      </c>
      <c r="U8" s="445">
        <v>2</v>
      </c>
      <c r="V8" s="443"/>
      <c r="W8" s="444" t="str">
        <f>IF(V8="","",":")</f>
        <v/>
      </c>
      <c r="X8" s="445"/>
      <c r="Y8" s="443"/>
      <c r="Z8" s="444" t="str">
        <f>IF(Y8="","",":")</f>
        <v/>
      </c>
      <c r="AA8" s="445"/>
      <c r="AB8" s="443"/>
      <c r="AC8" s="444" t="str">
        <f>IF(AB8="","",":")</f>
        <v/>
      </c>
      <c r="AD8" s="445"/>
      <c r="AE8" s="1198"/>
      <c r="AF8" s="1199"/>
      <c r="AG8" s="1188"/>
      <c r="AH8" s="1186"/>
    </row>
    <row r="9" spans="1:34" ht="12" customHeight="1" x14ac:dyDescent="0.2">
      <c r="A9" s="1175">
        <v>3</v>
      </c>
      <c r="B9" s="1177">
        <v>4</v>
      </c>
      <c r="C9" s="441" t="str">
        <f>IF(B9="","",VLOOKUP(B9,'Списки участников'!A:H,3,FALSE))</f>
        <v>АЛЕКСЕЕВА Елена</v>
      </c>
      <c r="D9" s="1189">
        <f>IF(J5="","",IF(J6="W",0,IF(J5=2,1,IF(J5=1,2,IF(J5=0,2)))))</f>
        <v>1</v>
      </c>
      <c r="E9" s="1190"/>
      <c r="F9" s="1191"/>
      <c r="G9" s="1183">
        <f>IF(J7="","",IF(J8="W",0,IF(J7=2,1,IF(J7=1,2,IF(J7=0,2)))))</f>
        <v>2</v>
      </c>
      <c r="H9" s="1184"/>
      <c r="I9" s="1185"/>
      <c r="J9" s="1192"/>
      <c r="K9" s="1193"/>
      <c r="L9" s="1194"/>
      <c r="M9" s="1183">
        <v>1</v>
      </c>
      <c r="N9" s="1184"/>
      <c r="O9" s="1185"/>
      <c r="P9" s="1183">
        <v>1</v>
      </c>
      <c r="Q9" s="1184"/>
      <c r="R9" s="1185"/>
      <c r="S9" s="1183">
        <v>1</v>
      </c>
      <c r="T9" s="1184"/>
      <c r="U9" s="1185"/>
      <c r="V9" s="1183"/>
      <c r="W9" s="1184"/>
      <c r="X9" s="1185"/>
      <c r="Y9" s="1183"/>
      <c r="Z9" s="1184"/>
      <c r="AA9" s="1185"/>
      <c r="AB9" s="1183"/>
      <c r="AC9" s="1184"/>
      <c r="AD9" s="1185"/>
      <c r="AE9" s="1196">
        <f>IF(B9="","",SUM(D9,G9,M9,P9,S9,V9,Y9,AB9,))</f>
        <v>6</v>
      </c>
      <c r="AF9" s="1197"/>
      <c r="AG9" s="1200"/>
      <c r="AH9" s="1186">
        <f>IF(B9="","",RANK(AE9,ГР1О))</f>
        <v>5</v>
      </c>
    </row>
    <row r="10" spans="1:34" ht="12" customHeight="1" x14ac:dyDescent="0.2">
      <c r="A10" s="1176"/>
      <c r="B10" s="1178"/>
      <c r="C10" s="442" t="str">
        <f>IF(B9="","",VLOOKUP(B9,'Списки участников'!A:H,6,FALSE))</f>
        <v>АО ФНПЦ НИИРТ</v>
      </c>
      <c r="D10" s="449">
        <f>IF(J6="","",IF(L6="l","W",L6))</f>
        <v>0</v>
      </c>
      <c r="E10" s="444" t="str">
        <f>IF(K6="","",":")</f>
        <v>:</v>
      </c>
      <c r="F10" s="450">
        <f>IF(L6="","",IF(J6="W","L",J6))</f>
        <v>2</v>
      </c>
      <c r="G10" s="449">
        <f>IF(J8="","",IF(L8="l","W",L8))</f>
        <v>2</v>
      </c>
      <c r="H10" s="444" t="str">
        <f>IF(K8="","",":")</f>
        <v>:</v>
      </c>
      <c r="I10" s="450">
        <f>IF(L8="","",IF(J8="W","L",J8))</f>
        <v>0</v>
      </c>
      <c r="J10" s="1195"/>
      <c r="K10" s="1181"/>
      <c r="L10" s="1182"/>
      <c r="M10" s="443">
        <v>0</v>
      </c>
      <c r="N10" s="444" t="str">
        <f>IF(M9="","",":")</f>
        <v>:</v>
      </c>
      <c r="O10" s="445">
        <v>2</v>
      </c>
      <c r="P10" s="443">
        <v>0</v>
      </c>
      <c r="Q10" s="444" t="str">
        <f>IF(P9="","",":")</f>
        <v>:</v>
      </c>
      <c r="R10" s="445">
        <v>2</v>
      </c>
      <c r="S10" s="443">
        <v>0</v>
      </c>
      <c r="T10" s="444" t="str">
        <f>IF(S9="","",":")</f>
        <v>:</v>
      </c>
      <c r="U10" s="445">
        <v>2</v>
      </c>
      <c r="V10" s="443"/>
      <c r="W10" s="444" t="str">
        <f>IF(V10="","",":")</f>
        <v/>
      </c>
      <c r="X10" s="445"/>
      <c r="Y10" s="443"/>
      <c r="Z10" s="444" t="str">
        <f>IF(Y10="","",":")</f>
        <v/>
      </c>
      <c r="AA10" s="445"/>
      <c r="AB10" s="443"/>
      <c r="AC10" s="444" t="str">
        <f>IF(AB10="","",":")</f>
        <v/>
      </c>
      <c r="AD10" s="445"/>
      <c r="AE10" s="1198"/>
      <c r="AF10" s="1199"/>
      <c r="AG10" s="1201"/>
      <c r="AH10" s="1186"/>
    </row>
    <row r="11" spans="1:34" ht="12" customHeight="1" x14ac:dyDescent="0.2">
      <c r="A11" s="1175">
        <v>4</v>
      </c>
      <c r="B11" s="1177">
        <v>24</v>
      </c>
      <c r="C11" s="441" t="str">
        <f>IF(B11="","",VLOOKUP(B11,'Списки участников'!A:H,3,FALSE))</f>
        <v>КРЫЛОВА Ольга</v>
      </c>
      <c r="D11" s="1183">
        <f>IF(M5="","",IF(M6="W",0,IF(M5=2,1,IF(M5=1,2,IF(M5=0,2)))))</f>
        <v>1</v>
      </c>
      <c r="E11" s="1184"/>
      <c r="F11" s="1185"/>
      <c r="G11" s="1183">
        <f>IF(M7="","",IF(M8="W",0,IF(M7=2,1,IF(M7=1,2,IF(M7=0,2)))))</f>
        <v>2</v>
      </c>
      <c r="H11" s="1184"/>
      <c r="I11" s="1185"/>
      <c r="J11" s="1183">
        <f>IF(M9="","",IF(M10="W",0,IF(M9=2,1,IF(M9=1,2,IF(M9=0,2)))))</f>
        <v>2</v>
      </c>
      <c r="K11" s="1184"/>
      <c r="L11" s="1185"/>
      <c r="M11" s="1193"/>
      <c r="N11" s="1193"/>
      <c r="O11" s="1193"/>
      <c r="P11" s="1183">
        <v>1</v>
      </c>
      <c r="Q11" s="1184"/>
      <c r="R11" s="1185"/>
      <c r="S11" s="1183">
        <v>1</v>
      </c>
      <c r="T11" s="1184"/>
      <c r="U11" s="1185"/>
      <c r="V11" s="1183"/>
      <c r="W11" s="1184"/>
      <c r="X11" s="1185"/>
      <c r="Y11" s="1183"/>
      <c r="Z11" s="1184"/>
      <c r="AA11" s="1185"/>
      <c r="AB11" s="1183"/>
      <c r="AC11" s="1184"/>
      <c r="AD11" s="1185"/>
      <c r="AE11" s="1196">
        <f>IF(B11="","",SUM(D11,J11,G11,P11,S11,V11,Y11,AB11,))</f>
        <v>7</v>
      </c>
      <c r="AF11" s="1197"/>
      <c r="AG11" s="1200"/>
      <c r="AH11" s="1186">
        <f>IF(B11="","",RANK(AE11,ГР1О))</f>
        <v>4</v>
      </c>
    </row>
    <row r="12" spans="1:34" ht="12" customHeight="1" x14ac:dyDescent="0.2">
      <c r="A12" s="1176"/>
      <c r="B12" s="1178"/>
      <c r="C12" s="442" t="str">
        <f>IF(B11="","",VLOOKUP(B11,'Списки участников'!A:H,6,FALSE))</f>
        <v>НИИИС</v>
      </c>
      <c r="D12" s="449">
        <f>IF(M6="","",IF(O6="l","W",O6))</f>
        <v>0</v>
      </c>
      <c r="E12" s="444" t="str">
        <f>IF(N6="","",":")</f>
        <v>:</v>
      </c>
      <c r="F12" s="450">
        <f>IF(O6="","",IF(M6="W","L",M6))</f>
        <v>2</v>
      </c>
      <c r="G12" s="449">
        <f>IF(M8="","",IF(O8="l","W",O8))</f>
        <v>2</v>
      </c>
      <c r="H12" s="444" t="str">
        <f>IF(N8="","",":")</f>
        <v>:</v>
      </c>
      <c r="I12" s="450">
        <f>IF(O8="","",IF(M8="W","L",M8))</f>
        <v>0</v>
      </c>
      <c r="J12" s="449">
        <f>IF(M10="","",IF(O10="l","W",O10))</f>
        <v>2</v>
      </c>
      <c r="K12" s="444" t="str">
        <f>IF(N10="","",":")</f>
        <v>:</v>
      </c>
      <c r="L12" s="450">
        <f>IF(O10="","",IF(M10="W","L",M10))</f>
        <v>0</v>
      </c>
      <c r="M12" s="1202"/>
      <c r="N12" s="1202"/>
      <c r="O12" s="1202"/>
      <c r="P12" s="443">
        <v>0</v>
      </c>
      <c r="Q12" s="444" t="str">
        <f>IF(P11="","",":")</f>
        <v>:</v>
      </c>
      <c r="R12" s="445">
        <v>2</v>
      </c>
      <c r="S12" s="443">
        <v>0</v>
      </c>
      <c r="T12" s="444" t="str">
        <f>IF(S11="","",":")</f>
        <v>:</v>
      </c>
      <c r="U12" s="445">
        <v>2</v>
      </c>
      <c r="V12" s="443"/>
      <c r="W12" s="444" t="str">
        <f>IF(V11="","",":")</f>
        <v/>
      </c>
      <c r="X12" s="445"/>
      <c r="Y12" s="443"/>
      <c r="Z12" s="444" t="str">
        <f>IF(Y12="","",":")</f>
        <v/>
      </c>
      <c r="AA12" s="445"/>
      <c r="AB12" s="443"/>
      <c r="AC12" s="444" t="str">
        <f>IF(AB12="","",":")</f>
        <v/>
      </c>
      <c r="AD12" s="445"/>
      <c r="AE12" s="1198"/>
      <c r="AF12" s="1199"/>
      <c r="AG12" s="1201"/>
      <c r="AH12" s="1186"/>
    </row>
    <row r="13" spans="1:34" ht="12" customHeight="1" x14ac:dyDescent="0.2">
      <c r="A13" s="1175">
        <v>5</v>
      </c>
      <c r="B13" s="1177">
        <v>36</v>
      </c>
      <c r="C13" s="441" t="str">
        <f>IF(B13="","",VLOOKUP(B13,'Списки участников'!A:H,3,FALSE))</f>
        <v>ТКАЧЕНКО Светлана</v>
      </c>
      <c r="D13" s="1183">
        <f>IF(P5="","",IF(P6="W",0,IF(P5=2,1,IF(P5=1,2,IF(P5=0,2)))))</f>
        <v>2</v>
      </c>
      <c r="E13" s="1184"/>
      <c r="F13" s="1185"/>
      <c r="G13" s="1183">
        <f>IF(P7="","",IF(P8="W",0,IF(P7=2,1,IF(P7=1,2,IF(P7=0,2)))))</f>
        <v>1</v>
      </c>
      <c r="H13" s="1184"/>
      <c r="I13" s="1185"/>
      <c r="J13" s="1183">
        <f>IF(P9="","",IF(P10="W",0,IF(P9=2,1,IF(P9=1,2,IF(P9=0,2)))))</f>
        <v>2</v>
      </c>
      <c r="K13" s="1184"/>
      <c r="L13" s="1185"/>
      <c r="M13" s="1183">
        <f>IF(P11="","",IF(P12="W",0,IF(P11=2,1,IF(P11=1,2,IF(P11=0,2)))))</f>
        <v>2</v>
      </c>
      <c r="N13" s="1184"/>
      <c r="O13" s="1185"/>
      <c r="P13" s="1192"/>
      <c r="Q13" s="1193"/>
      <c r="R13" s="1194"/>
      <c r="S13" s="1183">
        <v>2</v>
      </c>
      <c r="T13" s="1184"/>
      <c r="U13" s="1185"/>
      <c r="V13" s="1183"/>
      <c r="W13" s="1184"/>
      <c r="X13" s="1185"/>
      <c r="Y13" s="1183"/>
      <c r="Z13" s="1184"/>
      <c r="AA13" s="1185"/>
      <c r="AB13" s="1183"/>
      <c r="AC13" s="1184"/>
      <c r="AD13" s="1185"/>
      <c r="AE13" s="1196">
        <f>IF(B13="","",SUM(D13,J13,M13,G13,S13,V13,Y13,AB13,))</f>
        <v>9</v>
      </c>
      <c r="AF13" s="1197"/>
      <c r="AG13" s="1200"/>
      <c r="AH13" s="1186">
        <f>IF(B13="","",RANK(AE13,ГР1О))</f>
        <v>1</v>
      </c>
    </row>
    <row r="14" spans="1:34" ht="12" customHeight="1" x14ac:dyDescent="0.2">
      <c r="A14" s="1176"/>
      <c r="B14" s="1178"/>
      <c r="C14" s="442" t="str">
        <f>IF(B13="","",VLOOKUP(B13,'Списки участников'!A:H,6,FALSE))</f>
        <v>АО "ОКБМ"</v>
      </c>
      <c r="D14" s="449">
        <f>IF(P6="","",IF(R6="l","W",R6))</f>
        <v>2</v>
      </c>
      <c r="E14" s="444" t="str">
        <f>IF(Q6="","",":")</f>
        <v>:</v>
      </c>
      <c r="F14" s="450">
        <f>IF(R6="","",IF(P6="W","L",P6))</f>
        <v>1</v>
      </c>
      <c r="G14" s="449">
        <f>IF(P8="","",IF(R8="l","W",R8))</f>
        <v>0</v>
      </c>
      <c r="H14" s="444" t="str">
        <f>IF(Q8="","",":")</f>
        <v>:</v>
      </c>
      <c r="I14" s="450">
        <f>IF(R8="","",IF(P8="W","L",P8))</f>
        <v>2</v>
      </c>
      <c r="J14" s="449">
        <f>IF(P10="","",IF(R10="l","W",R10))</f>
        <v>2</v>
      </c>
      <c r="K14" s="444" t="str">
        <f>IF(Q10="","",":")</f>
        <v>:</v>
      </c>
      <c r="L14" s="450">
        <f>IF(R10="","",IF(P10="W","L",P10))</f>
        <v>0</v>
      </c>
      <c r="M14" s="449">
        <f>IF(P12="","",IF(R12="l","W",R12))</f>
        <v>2</v>
      </c>
      <c r="N14" s="444" t="str">
        <f>IF(Q12="","",":")</f>
        <v>:</v>
      </c>
      <c r="O14" s="450">
        <f>IF(R12="","",IF(P12="W","L",P12))</f>
        <v>0</v>
      </c>
      <c r="P14" s="1195"/>
      <c r="Q14" s="1181"/>
      <c r="R14" s="1182"/>
      <c r="S14" s="443">
        <v>2</v>
      </c>
      <c r="T14" s="444" t="str">
        <f>IF(S13="","",":")</f>
        <v>:</v>
      </c>
      <c r="U14" s="445">
        <v>0</v>
      </c>
      <c r="V14" s="443"/>
      <c r="W14" s="444" t="str">
        <f>IF(V13="","",":")</f>
        <v/>
      </c>
      <c r="X14" s="445"/>
      <c r="Y14" s="443"/>
      <c r="Z14" s="444" t="str">
        <f>IF(Y13="","",":")</f>
        <v/>
      </c>
      <c r="AA14" s="445"/>
      <c r="AB14" s="443"/>
      <c r="AC14" s="444" t="str">
        <f>IF(AB14="","",":")</f>
        <v/>
      </c>
      <c r="AD14" s="445"/>
      <c r="AE14" s="1198"/>
      <c r="AF14" s="1199"/>
      <c r="AG14" s="1201"/>
      <c r="AH14" s="1186"/>
    </row>
    <row r="15" spans="1:34" ht="12" customHeight="1" x14ac:dyDescent="0.2">
      <c r="A15" s="1175">
        <v>6</v>
      </c>
      <c r="B15" s="1177">
        <v>48</v>
      </c>
      <c r="C15" s="441" t="str">
        <f>IF(B15="","",VLOOKUP(B15,'Списки участников'!A:H,3,FALSE))</f>
        <v>КАЗАРИНА Светлана</v>
      </c>
      <c r="D15" s="1183">
        <f>IF(S5="","",IF(S6="W",0,IF(S5=2,1,IF(S5=1,2,IF(S5=0,2)))))</f>
        <v>1</v>
      </c>
      <c r="E15" s="1184"/>
      <c r="F15" s="1185"/>
      <c r="G15" s="1183">
        <f>IF(S7="","",IF(S8="W",0,IF(S7=2,1,IF(S7=1,2,IF(S7=0,2)))))</f>
        <v>2</v>
      </c>
      <c r="H15" s="1184"/>
      <c r="I15" s="1185"/>
      <c r="J15" s="1183">
        <f>IF(S9="","",IF(S10="W",0,IF(S9=2,1,IF(S9=1,2,IF(S9=0,2)))))</f>
        <v>2</v>
      </c>
      <c r="K15" s="1184"/>
      <c r="L15" s="1185"/>
      <c r="M15" s="1183">
        <f>IF(S11="","",IF(S12="W",0,IF(S11=2,1,IF(S11=1,2,IF(S11=0,2)))))</f>
        <v>2</v>
      </c>
      <c r="N15" s="1184"/>
      <c r="O15" s="1185"/>
      <c r="P15" s="1183">
        <f>IF(S13="","",IF(S14="W",0,IF(S13=2,1,IF(S13=1,2,IF(S13=0,2)))))</f>
        <v>1</v>
      </c>
      <c r="Q15" s="1184"/>
      <c r="R15" s="1185"/>
      <c r="S15" s="1192"/>
      <c r="T15" s="1193"/>
      <c r="U15" s="1194"/>
      <c r="V15" s="1183"/>
      <c r="W15" s="1184"/>
      <c r="X15" s="1185"/>
      <c r="Y15" s="1183"/>
      <c r="Z15" s="1184"/>
      <c r="AA15" s="1185"/>
      <c r="AB15" s="1183"/>
      <c r="AC15" s="1184"/>
      <c r="AD15" s="1185"/>
      <c r="AE15" s="1196">
        <f>IF(B15="","",SUM(D15,J15,M15,P15,G15,V15,Y15,AB15,))</f>
        <v>8</v>
      </c>
      <c r="AF15" s="1197"/>
      <c r="AG15" s="1200"/>
      <c r="AH15" s="1186">
        <f>IF(B15="","",RANK(AE15,ГР1О))</f>
        <v>3</v>
      </c>
    </row>
    <row r="16" spans="1:34" ht="12" customHeight="1" x14ac:dyDescent="0.2">
      <c r="A16" s="1176"/>
      <c r="B16" s="1178"/>
      <c r="C16" s="442" t="str">
        <f>IF(B15="","",VLOOKUP(B15,'Списки участников'!A:H,6,FALSE))</f>
        <v>ПАО НАЗ "СОКОЛ"</v>
      </c>
      <c r="D16" s="449">
        <f>IF(S6="","",IF(U6="l","W",U6))</f>
        <v>0</v>
      </c>
      <c r="E16" s="444" t="str">
        <f>IF(T6="","",":")</f>
        <v>:</v>
      </c>
      <c r="F16" s="450">
        <f>IF(U6="","",IF(S6="W","L",S6))</f>
        <v>2</v>
      </c>
      <c r="G16" s="449">
        <f>IF(S8="","",IF(U8="l","W",U8))</f>
        <v>2</v>
      </c>
      <c r="H16" s="444" t="str">
        <f>IF(Q8="","",":")</f>
        <v>:</v>
      </c>
      <c r="I16" s="450">
        <f>IF(U8="","",IF(S8="W","L",S8))</f>
        <v>0</v>
      </c>
      <c r="J16" s="449">
        <f>IF(S10="","",IF(U10="l","W",U10))</f>
        <v>2</v>
      </c>
      <c r="K16" s="444" t="str">
        <f>IF(T10="","",":")</f>
        <v>:</v>
      </c>
      <c r="L16" s="450">
        <f>IF(U10="","",IF(S10="W","L",S10))</f>
        <v>0</v>
      </c>
      <c r="M16" s="449">
        <f>IF(S12="","",IF(U12="l","W",U12))</f>
        <v>2</v>
      </c>
      <c r="N16" s="444" t="str">
        <f>IF(T12="","",":")</f>
        <v>:</v>
      </c>
      <c r="O16" s="450">
        <f>IF(U12="","",IF(S12="W","L",S12))</f>
        <v>0</v>
      </c>
      <c r="P16" s="449">
        <f>IF(S14="","",IF(U14="l","W",U14))</f>
        <v>0</v>
      </c>
      <c r="Q16" s="444" t="str">
        <f>IF(T14="","",":")</f>
        <v>:</v>
      </c>
      <c r="R16" s="450">
        <f>IF(U14="","",IF(S14="W","L",S14))</f>
        <v>2</v>
      </c>
      <c r="S16" s="1195"/>
      <c r="T16" s="1181"/>
      <c r="U16" s="1182"/>
      <c r="V16" s="443"/>
      <c r="W16" s="444" t="str">
        <f>IF(V15="","",":")</f>
        <v/>
      </c>
      <c r="X16" s="445"/>
      <c r="Y16" s="443"/>
      <c r="Z16" s="444" t="str">
        <f>IF(Y15="","",":")</f>
        <v/>
      </c>
      <c r="AA16" s="445"/>
      <c r="AB16" s="443"/>
      <c r="AC16" s="444" t="str">
        <f>IF(AB15="","",":")</f>
        <v/>
      </c>
      <c r="AD16" s="445"/>
      <c r="AE16" s="1198"/>
      <c r="AF16" s="1199"/>
      <c r="AG16" s="1201"/>
      <c r="AH16" s="1186"/>
    </row>
    <row r="17" spans="1:34" ht="12" hidden="1" customHeight="1" x14ac:dyDescent="0.2">
      <c r="A17" s="1175">
        <v>7</v>
      </c>
      <c r="B17" s="1177"/>
      <c r="C17" s="441" t="str">
        <f>IF(B17="","",VLOOKUP(B17,'Списки участников'!A:H,3,FALSE))</f>
        <v/>
      </c>
      <c r="D17" s="1183" t="str">
        <f>IF(V5="","",IF(V6="W",0,IF(V5=2,1,IF(V5=1,2,IF(V5=0,2)))))</f>
        <v/>
      </c>
      <c r="E17" s="1184"/>
      <c r="F17" s="1185"/>
      <c r="G17" s="1183" t="str">
        <f>IF(V7="","",IF(V8="W",0,IF(V7=2,1,IF(V7=1,2,IF(V7=0,2)))))</f>
        <v/>
      </c>
      <c r="H17" s="1184"/>
      <c r="I17" s="1185"/>
      <c r="J17" s="1183" t="str">
        <f>IF(V9="","",IF(V10="W",0,IF(V9=2,1,IF(V9=1,2,IF(V9=0,2)))))</f>
        <v/>
      </c>
      <c r="K17" s="1184"/>
      <c r="L17" s="1185"/>
      <c r="M17" s="1183" t="str">
        <f>IF(V11="","",IF(V12="W",0,IF(V11=2,1,IF(V11=1,2,IF(V11=0,2)))))</f>
        <v/>
      </c>
      <c r="N17" s="1184"/>
      <c r="O17" s="1185"/>
      <c r="P17" s="1183" t="str">
        <f>IF(V13="","",IF(V14="W",0,IF(V13=2,1,IF(V13=1,2,IF(V13=0,2)))))</f>
        <v/>
      </c>
      <c r="Q17" s="1184"/>
      <c r="R17" s="1185"/>
      <c r="S17" s="1183" t="str">
        <f>IF(V15="","",IF(V16="W",0,IF(V15=2,1,IF(V15=1,2,IF(V15=0,2)))))</f>
        <v/>
      </c>
      <c r="T17" s="1184"/>
      <c r="U17" s="1185"/>
      <c r="V17" s="1203"/>
      <c r="W17" s="1179"/>
      <c r="X17" s="1180"/>
      <c r="Y17" s="1183"/>
      <c r="Z17" s="1184"/>
      <c r="AA17" s="1185"/>
      <c r="AB17" s="1183"/>
      <c r="AC17" s="1184"/>
      <c r="AD17" s="1185"/>
      <c r="AE17" s="1196" t="str">
        <f>IF(B17="","",SUM(D17,J17,M17,P17,S17,G17,Y17,AB17,))</f>
        <v/>
      </c>
      <c r="AF17" s="1197"/>
      <c r="AG17" s="1200"/>
      <c r="AH17" s="1186" t="str">
        <f>IF(B17="","",RANK(AE17,ГР1О))</f>
        <v/>
      </c>
    </row>
    <row r="18" spans="1:34" ht="12" hidden="1" customHeight="1" x14ac:dyDescent="0.2">
      <c r="A18" s="1176"/>
      <c r="B18" s="1178"/>
      <c r="C18" s="442" t="str">
        <f>IF(B17="","",VLOOKUP(B17,'Списки участников'!A:H,6,FALSE))</f>
        <v/>
      </c>
      <c r="D18" s="449" t="str">
        <f>IF(V6="","",IF(X6="l","W",X6))</f>
        <v/>
      </c>
      <c r="E18" s="444" t="str">
        <f>IF(W6="","",":")</f>
        <v/>
      </c>
      <c r="F18" s="450" t="str">
        <f>IF(X6="","",IF(V6="W","L",V6))</f>
        <v/>
      </c>
      <c r="G18" s="449" t="str">
        <f>IF(V8="","",IF(X8="l","W",X8))</f>
        <v/>
      </c>
      <c r="H18" s="444" t="str">
        <f>IF(W8="","",":")</f>
        <v/>
      </c>
      <c r="I18" s="450" t="str">
        <f>IF(X8="","",IF(V8="W","L",V8))</f>
        <v/>
      </c>
      <c r="J18" s="449" t="str">
        <f>IF(V10="","",IF(X10="l","W",X10))</f>
        <v/>
      </c>
      <c r="K18" s="444" t="str">
        <f>IF(W10="","",":")</f>
        <v/>
      </c>
      <c r="L18" s="450" t="str">
        <f>IF(X10="","",IF(V10="W","L",V10))</f>
        <v/>
      </c>
      <c r="M18" s="449" t="str">
        <f>IF(V12="","",IF(X12="l","W",X12))</f>
        <v/>
      </c>
      <c r="N18" s="444" t="str">
        <f>IF(W12="","",":")</f>
        <v/>
      </c>
      <c r="O18" s="450" t="str">
        <f>IF(X12="","",IF(V12="W","L",V12))</f>
        <v/>
      </c>
      <c r="P18" s="449" t="str">
        <f>IF(V14="","",IF(X14="l","W",X14))</f>
        <v/>
      </c>
      <c r="Q18" s="444" t="str">
        <f>IF(W14="","",":")</f>
        <v/>
      </c>
      <c r="R18" s="450" t="str">
        <f>IF(X14="","",IF(V14="W","L",V14))</f>
        <v/>
      </c>
      <c r="S18" s="449" t="str">
        <f>IF(V16="","",IF(X16="l","W",X16))</f>
        <v/>
      </c>
      <c r="T18" s="444" t="str">
        <f>IF(W16="","",":")</f>
        <v/>
      </c>
      <c r="U18" s="450" t="str">
        <f>IF(X16="","",IF(V16="W","L",V16))</f>
        <v/>
      </c>
      <c r="V18" s="1195"/>
      <c r="W18" s="1181"/>
      <c r="X18" s="1182"/>
      <c r="Y18" s="443"/>
      <c r="Z18" s="444" t="str">
        <f>IF(Y17="","",":")</f>
        <v/>
      </c>
      <c r="AA18" s="445"/>
      <c r="AB18" s="443"/>
      <c r="AC18" s="444" t="str">
        <f>IF(AB17="","",":")</f>
        <v/>
      </c>
      <c r="AD18" s="445"/>
      <c r="AE18" s="1198"/>
      <c r="AF18" s="1199"/>
      <c r="AG18" s="1201"/>
      <c r="AH18" s="1186"/>
    </row>
    <row r="19" spans="1:34" ht="12" hidden="1" customHeight="1" x14ac:dyDescent="0.2">
      <c r="A19" s="1175">
        <v>8</v>
      </c>
      <c r="B19" s="1177"/>
      <c r="C19" s="441" t="str">
        <f>IF(B19="","",VLOOKUP(B19,'Списки участников'!A:H,3,FALSE))</f>
        <v/>
      </c>
      <c r="D19" s="1183" t="str">
        <f>IF(Y5="","",IF(Y6="W",0,IF(Y5=2,1,IF(Y5=1,2,IF(Y5=0,2)))))</f>
        <v/>
      </c>
      <c r="E19" s="1184"/>
      <c r="F19" s="1185"/>
      <c r="G19" s="1183" t="str">
        <f>IF(Y7="","",IF(Y8="W",0,IF(Y7=2,1,IF(Y7=1,2,IF(Y7=0,2)))))</f>
        <v/>
      </c>
      <c r="H19" s="1184"/>
      <c r="I19" s="1185"/>
      <c r="J19" s="1183" t="str">
        <f>IF(Y9="","",IF(Y10="W",0,IF(Y9=2,1,IF(Y9=1,2,IF(Y9=0,2)))))</f>
        <v/>
      </c>
      <c r="K19" s="1184"/>
      <c r="L19" s="1185"/>
      <c r="M19" s="1183" t="str">
        <f>IF(Y11="","",IF(Y12="W",0,IF(Y11=2,1,IF(Y11=1,2,IF(Y11=0,2)))))</f>
        <v/>
      </c>
      <c r="N19" s="1184"/>
      <c r="O19" s="1185"/>
      <c r="P19" s="1183" t="str">
        <f>IF(Y13="","",IF(Y14="W",0,IF(Y13=2,1,IF(Y13=1,2,IF(Y13=0,2)))))</f>
        <v/>
      </c>
      <c r="Q19" s="1184"/>
      <c r="R19" s="1185"/>
      <c r="S19" s="1183" t="str">
        <f>IF(Y15="","",IF(Y16="W",0,IF(Y15=2,1,IF(Y15=1,2,IF(Y15=0,2)))))</f>
        <v/>
      </c>
      <c r="T19" s="1184"/>
      <c r="U19" s="1185"/>
      <c r="V19" s="1183" t="str">
        <f>IF(Y17="","",IF(Y18="W",0,IF(Y17=2,1,IF(Y17=1,2,IF(Y17=0,2)))))</f>
        <v/>
      </c>
      <c r="W19" s="1184"/>
      <c r="X19" s="1185"/>
      <c r="Y19" s="1192"/>
      <c r="Z19" s="1193"/>
      <c r="AA19" s="1194"/>
      <c r="AB19" s="1183"/>
      <c r="AC19" s="1184"/>
      <c r="AD19" s="1185"/>
      <c r="AE19" s="1196" t="str">
        <f>IF(B19="","",SUM(D19,J19,M19,P19,S19,V19,G19,AB19,))</f>
        <v/>
      </c>
      <c r="AF19" s="1197"/>
      <c r="AG19" s="1200"/>
      <c r="AH19" s="1186" t="str">
        <f>IF(B19="","",RANK(AE19,ГР1О))</f>
        <v/>
      </c>
    </row>
    <row r="20" spans="1:34" ht="12" hidden="1" customHeight="1" x14ac:dyDescent="0.2">
      <c r="A20" s="1176"/>
      <c r="B20" s="1178"/>
      <c r="C20" s="442" t="str">
        <f>IF(B19="","",VLOOKUP(B19,'Списки участников'!A:H,6,FALSE))</f>
        <v/>
      </c>
      <c r="D20" s="449" t="str">
        <f>IF(Y6="","",IF(AA6="l","W",AA6))</f>
        <v/>
      </c>
      <c r="E20" s="444" t="str">
        <f>IF(Z6="","",":")</f>
        <v/>
      </c>
      <c r="F20" s="450" t="str">
        <f>IF(AA6="","",IF(Y6="W","L",Y6))</f>
        <v/>
      </c>
      <c r="G20" s="449" t="str">
        <f>IF(Y8="","",IF(AA8="l","W",AA8))</f>
        <v/>
      </c>
      <c r="H20" s="444" t="str">
        <f>IF(Z8="","",":")</f>
        <v/>
      </c>
      <c r="I20" s="450" t="str">
        <f>IF(AA8="","",IF(Y8="W","L",Y8))</f>
        <v/>
      </c>
      <c r="J20" s="449" t="str">
        <f>IF(Y10="","",IF(AA10="l","W",AA10))</f>
        <v/>
      </c>
      <c r="K20" s="444" t="str">
        <f>IF(Z10="","",":")</f>
        <v/>
      </c>
      <c r="L20" s="450" t="str">
        <f>IF(AA10="","",IF(Y10="W","L",Y10))</f>
        <v/>
      </c>
      <c r="M20" s="449" t="str">
        <f>IF(Y12="","",IF(AA12="l","W",AA12))</f>
        <v/>
      </c>
      <c r="N20" s="444" t="str">
        <f>IF(Z12="","",":")</f>
        <v/>
      </c>
      <c r="O20" s="450" t="str">
        <f>IF(AA12="","",IF(Y12="W","L",Y12))</f>
        <v/>
      </c>
      <c r="P20" s="449" t="str">
        <f>IF(Y14="","",IF(AA14="l","W",AA14))</f>
        <v/>
      </c>
      <c r="Q20" s="444" t="str">
        <f>IF(Z14="","",":")</f>
        <v/>
      </c>
      <c r="R20" s="450" t="str">
        <f>IF(AA14="","",IF(Y14="W","L",Y14))</f>
        <v/>
      </c>
      <c r="S20" s="449" t="str">
        <f>IF(Y16="","",IF(AA16="l","W",AA16))</f>
        <v/>
      </c>
      <c r="T20" s="444" t="str">
        <f>IF(Z16="","",":")</f>
        <v/>
      </c>
      <c r="U20" s="450" t="str">
        <f>IF(AA16="","",IF(Y16="W","L",Y16))</f>
        <v/>
      </c>
      <c r="V20" s="449" t="str">
        <f>IF(Y18="","",IF(AA18="l","W",AA18))</f>
        <v/>
      </c>
      <c r="W20" s="444" t="str">
        <f>IF(Z18="","",":")</f>
        <v/>
      </c>
      <c r="X20" s="450" t="str">
        <f>IF(AA18="","",IF(Y18="W","L",Y18))</f>
        <v/>
      </c>
      <c r="Y20" s="1195"/>
      <c r="Z20" s="1181"/>
      <c r="AA20" s="1182"/>
      <c r="AB20" s="443"/>
      <c r="AC20" s="444" t="str">
        <f>IF(AB19="","",":")</f>
        <v/>
      </c>
      <c r="AD20" s="445"/>
      <c r="AE20" s="1198"/>
      <c r="AF20" s="1199"/>
      <c r="AG20" s="1201"/>
      <c r="AH20" s="1186"/>
    </row>
    <row r="21" spans="1:34" ht="12" hidden="1" customHeight="1" x14ac:dyDescent="0.2">
      <c r="A21" s="1175">
        <v>9</v>
      </c>
      <c r="B21" s="1177"/>
      <c r="C21" s="441" t="str">
        <f>IF(B21="","",VLOOKUP(B21,'Списки участников'!A:H,3,FALSE))</f>
        <v/>
      </c>
      <c r="D21" s="1183" t="str">
        <f>IF(AB5="","",IF(AB6="W",0,IF(AB5=2,1,IF(AB5=1,2,IF(AB5=0,2)))))</f>
        <v/>
      </c>
      <c r="E21" s="1184"/>
      <c r="F21" s="1185"/>
      <c r="G21" s="1183" t="str">
        <f>IF(AB7="","",IF(AB8="W",0,IF(AB7=2,1,IF(AB7=1,2,IF(AB7=0,2)))))</f>
        <v/>
      </c>
      <c r="H21" s="1184"/>
      <c r="I21" s="1185"/>
      <c r="J21" s="1183" t="str">
        <f>IF(AB9="","",IF(AB10="W",0,IF(AB9=2,1,IF(AB9=1,2,IF(AB9=0,2)))))</f>
        <v/>
      </c>
      <c r="K21" s="1184"/>
      <c r="L21" s="1185"/>
      <c r="M21" s="1183" t="str">
        <f>IF(AB11="","",IF(AB12="W",0,IF(AB11=2,1,IF(AB11=1,2,IF(AB11=0,2)))))</f>
        <v/>
      </c>
      <c r="N21" s="1184"/>
      <c r="O21" s="1185"/>
      <c r="P21" s="1183" t="str">
        <f>IF(AB13="","",IF(AB14="W",0,IF(AB13=2,1,IF(AB13=1,2,IF(AB13=0,2)))))</f>
        <v/>
      </c>
      <c r="Q21" s="1184"/>
      <c r="R21" s="1185"/>
      <c r="S21" s="1183" t="str">
        <f>IF(AB15="","",IF(AB16="W",0,IF(AB15=2,1,IF(AB15=1,2,IF(AB15=0,2)))))</f>
        <v/>
      </c>
      <c r="T21" s="1184"/>
      <c r="U21" s="1185"/>
      <c r="V21" s="1183" t="str">
        <f>IF(AB17="","",IF(AB18="W",0,IF(AB17=2,1,IF(AB17=1,2,IF(AB17=0,2)))))</f>
        <v/>
      </c>
      <c r="W21" s="1184"/>
      <c r="X21" s="1185"/>
      <c r="Y21" s="1183" t="str">
        <f>IF(AB19="","",IF(AB20="W",0,IF(AB19=2,1,IF(AB19=1,2,IF(AB19=0,2)))))</f>
        <v/>
      </c>
      <c r="Z21" s="1184"/>
      <c r="AA21" s="1185"/>
      <c r="AB21" s="1203"/>
      <c r="AC21" s="1179"/>
      <c r="AD21" s="1180"/>
      <c r="AE21" s="1196" t="str">
        <f>IF(B21="","",SUM(D21,J21,M21,P21,S21,V21,Y21,G21,))</f>
        <v/>
      </c>
      <c r="AF21" s="1197"/>
      <c r="AG21" s="1200"/>
      <c r="AH21" s="1186" t="str">
        <f>IF(B21="","",RANK(AE21,ГР1О))</f>
        <v/>
      </c>
    </row>
    <row r="22" spans="1:34" ht="12" hidden="1" customHeight="1" x14ac:dyDescent="0.2">
      <c r="A22" s="1176"/>
      <c r="B22" s="1178"/>
      <c r="C22" s="442" t="str">
        <f>IF(B21="","",VLOOKUP(B21,'Списки участников'!A:H,6,FALSE))</f>
        <v/>
      </c>
      <c r="D22" s="449" t="str">
        <f>IF(AB6="","",IF(AD6="l","W",AD6))</f>
        <v/>
      </c>
      <c r="E22" s="444" t="str">
        <f>IF(AC6="","",":")</f>
        <v/>
      </c>
      <c r="F22" s="450" t="str">
        <f>IF(AD6="","",IF(AB6="W","L",AB6))</f>
        <v/>
      </c>
      <c r="G22" s="449" t="str">
        <f>IF(AB8="","",IF(AD8="l","W",AD8))</f>
        <v/>
      </c>
      <c r="H22" s="444" t="str">
        <f>IF(AC8="","",":")</f>
        <v/>
      </c>
      <c r="I22" s="450" t="str">
        <f>IF(AD8="","",IF(AB8="W","L",AB8))</f>
        <v/>
      </c>
      <c r="J22" s="449" t="str">
        <f>IF(AB10="","",IF(AD10="l","W",AD10))</f>
        <v/>
      </c>
      <c r="K22" s="444" t="str">
        <f>IF(AC10="","",":")</f>
        <v/>
      </c>
      <c r="L22" s="450" t="str">
        <f>IF(AD10="","",IF(AB10="W","L",AB10))</f>
        <v/>
      </c>
      <c r="M22" s="449" t="str">
        <f>IF(AB12="","",IF(AD12="l","W",AD12))</f>
        <v/>
      </c>
      <c r="N22" s="444" t="str">
        <f>IF(AC12="","",":")</f>
        <v/>
      </c>
      <c r="O22" s="450" t="str">
        <f>IF(AD12="","",IF(AB12="W","L",AB12))</f>
        <v/>
      </c>
      <c r="P22" s="449" t="str">
        <f>IF(AB14="","",IF(AD14="l","W",AD14))</f>
        <v/>
      </c>
      <c r="Q22" s="444" t="str">
        <f>IF(AC14="","",":")</f>
        <v/>
      </c>
      <c r="R22" s="450" t="str">
        <f>IF(AD14="","",IF(AB14="W","L",AB14))</f>
        <v/>
      </c>
      <c r="S22" s="449" t="str">
        <f>IF(AB16="","",IF(AD16="l","W",AD16))</f>
        <v/>
      </c>
      <c r="T22" s="444" t="str">
        <f>IF(AC16="","",":")</f>
        <v/>
      </c>
      <c r="U22" s="450" t="str">
        <f>IF(AD16="","",IF(AB16="W","L",AB16))</f>
        <v/>
      </c>
      <c r="V22" s="449" t="str">
        <f>IF(AB18="","",IF(AD18="l","W",AD18))</f>
        <v/>
      </c>
      <c r="W22" s="444" t="str">
        <f>IF(AC18="","",":")</f>
        <v/>
      </c>
      <c r="X22" s="450" t="str">
        <f>IF(AD18="","",IF(AB18="W","L",AB18))</f>
        <v/>
      </c>
      <c r="Y22" s="449" t="str">
        <f>IF(AB20="","",IF(AD20="l","W",AD20))</f>
        <v/>
      </c>
      <c r="Z22" s="444" t="str">
        <f>IF(AC20="","",":")</f>
        <v/>
      </c>
      <c r="AA22" s="450" t="str">
        <f>IF(AD20="","",IF(AB20="W","L",AB20))</f>
        <v/>
      </c>
      <c r="AB22" s="1195"/>
      <c r="AC22" s="1181"/>
      <c r="AD22" s="1182"/>
      <c r="AE22" s="1198"/>
      <c r="AF22" s="1199"/>
      <c r="AG22" s="1201"/>
      <c r="AH22" s="1186"/>
    </row>
    <row r="23" spans="1:34" ht="12" customHeight="1" x14ac:dyDescent="0.25">
      <c r="A23" s="128"/>
      <c r="B23" s="128"/>
      <c r="C23" s="451"/>
      <c r="D23" s="128"/>
      <c r="E23" s="128"/>
      <c r="F23" s="128"/>
      <c r="G23" s="1204" t="s">
        <v>955</v>
      </c>
      <c r="H23" s="1204"/>
      <c r="I23" s="1204"/>
      <c r="J23" s="1204"/>
      <c r="K23" s="1204"/>
      <c r="L23" s="1204"/>
      <c r="M23" s="1204"/>
      <c r="N23" s="1204"/>
      <c r="O23" s="1204"/>
      <c r="P23" s="1204"/>
      <c r="Q23" s="1204"/>
      <c r="R23" s="1204"/>
      <c r="S23" s="1204"/>
      <c r="T23" s="1204"/>
      <c r="U23" s="1204"/>
      <c r="V23" s="1204"/>
      <c r="W23" s="1204"/>
      <c r="X23" s="1204"/>
      <c r="Y23" s="1204"/>
      <c r="Z23" s="1204"/>
      <c r="AA23" s="1204"/>
      <c r="AB23" s="128"/>
      <c r="AC23" s="128"/>
      <c r="AD23" s="128"/>
      <c r="AE23" s="128"/>
      <c r="AF23" s="128"/>
      <c r="AG23" s="128"/>
      <c r="AH23" s="128"/>
    </row>
    <row r="24" spans="1:34" ht="12" customHeight="1" x14ac:dyDescent="0.2">
      <c r="A24" s="129" t="s">
        <v>3</v>
      </c>
      <c r="B24" s="130"/>
      <c r="C24" s="131" t="s">
        <v>757</v>
      </c>
      <c r="D24" s="1170">
        <v>1</v>
      </c>
      <c r="E24" s="1171"/>
      <c r="F24" s="1172"/>
      <c r="G24" s="1170">
        <v>2</v>
      </c>
      <c r="H24" s="1171"/>
      <c r="I24" s="1172"/>
      <c r="J24" s="1170">
        <v>3</v>
      </c>
      <c r="K24" s="1171"/>
      <c r="L24" s="1172"/>
      <c r="M24" s="1170">
        <v>4</v>
      </c>
      <c r="N24" s="1171"/>
      <c r="O24" s="1172"/>
      <c r="P24" s="1170">
        <v>5</v>
      </c>
      <c r="Q24" s="1171"/>
      <c r="R24" s="1172"/>
      <c r="S24" s="1170">
        <v>6</v>
      </c>
      <c r="T24" s="1171"/>
      <c r="U24" s="1172"/>
      <c r="V24" s="1170">
        <v>7</v>
      </c>
      <c r="W24" s="1171"/>
      <c r="X24" s="1172"/>
      <c r="Y24" s="1170">
        <v>8</v>
      </c>
      <c r="Z24" s="1171"/>
      <c r="AA24" s="1172"/>
      <c r="AB24" s="1170">
        <v>9</v>
      </c>
      <c r="AC24" s="1171"/>
      <c r="AD24" s="1172"/>
      <c r="AE24" s="1173" t="s">
        <v>758</v>
      </c>
      <c r="AF24" s="1174"/>
      <c r="AG24" s="439" t="s">
        <v>759</v>
      </c>
      <c r="AH24" s="440" t="s">
        <v>100</v>
      </c>
    </row>
    <row r="25" spans="1:34" ht="12" customHeight="1" x14ac:dyDescent="0.2">
      <c r="A25" s="1175">
        <v>1</v>
      </c>
      <c r="B25" s="1205">
        <v>40</v>
      </c>
      <c r="C25" s="441" t="str">
        <f>IF(B25="","",VLOOKUP(B25,'Списки участников'!A:H,3,FALSE))</f>
        <v>МАНЗЕНКОВА Наталья</v>
      </c>
      <c r="D25" s="1179"/>
      <c r="E25" s="1179"/>
      <c r="F25" s="1180"/>
      <c r="G25" s="1183">
        <v>2</v>
      </c>
      <c r="H25" s="1184"/>
      <c r="I25" s="1185"/>
      <c r="J25" s="1183">
        <v>2</v>
      </c>
      <c r="K25" s="1184"/>
      <c r="L25" s="1185"/>
      <c r="M25" s="1183">
        <v>2</v>
      </c>
      <c r="N25" s="1184"/>
      <c r="O25" s="1185"/>
      <c r="P25" s="1183">
        <v>1</v>
      </c>
      <c r="Q25" s="1184"/>
      <c r="R25" s="1185"/>
      <c r="S25" s="1183">
        <v>2</v>
      </c>
      <c r="T25" s="1184"/>
      <c r="U25" s="1185"/>
      <c r="V25" s="1183"/>
      <c r="W25" s="1184"/>
      <c r="X25" s="1185"/>
      <c r="Y25" s="1183"/>
      <c r="Z25" s="1184"/>
      <c r="AA25" s="1185"/>
      <c r="AB25" s="1183"/>
      <c r="AC25" s="1184"/>
      <c r="AD25" s="1185"/>
      <c r="AE25" s="1196">
        <f>IF(B25="","",SUM(G25,J25,M25,P25,S25,V25,Y25,AB25,))</f>
        <v>9</v>
      </c>
      <c r="AF25" s="1197"/>
      <c r="AG25" s="1200"/>
      <c r="AH25" s="1186">
        <f>IF(B25="","",RANK(AE25,ГР2О))</f>
        <v>2</v>
      </c>
    </row>
    <row r="26" spans="1:34" ht="12" customHeight="1" x14ac:dyDescent="0.2">
      <c r="A26" s="1176"/>
      <c r="B26" s="1206"/>
      <c r="C26" s="442" t="str">
        <f>IF(B25="","",VLOOKUP(B25,'Списки участников'!A:H,6,FALSE))</f>
        <v>"ГЖД"</v>
      </c>
      <c r="D26" s="1181"/>
      <c r="E26" s="1181"/>
      <c r="F26" s="1182"/>
      <c r="G26" s="443">
        <v>2</v>
      </c>
      <c r="H26" s="444" t="str">
        <f>IF(G25="","",":")</f>
        <v>:</v>
      </c>
      <c r="I26" s="445">
        <v>1</v>
      </c>
      <c r="J26" s="443">
        <v>2</v>
      </c>
      <c r="K26" s="444" t="str">
        <f>IF(J25="","",":")</f>
        <v>:</v>
      </c>
      <c r="L26" s="445">
        <v>0</v>
      </c>
      <c r="M26" s="443">
        <v>2</v>
      </c>
      <c r="N26" s="444" t="str">
        <f>IF(M26="","",":")</f>
        <v>:</v>
      </c>
      <c r="O26" s="445">
        <v>0</v>
      </c>
      <c r="P26" s="443">
        <v>0</v>
      </c>
      <c r="Q26" s="444" t="str">
        <f>IF(P26="","",":")</f>
        <v>:</v>
      </c>
      <c r="R26" s="445">
        <v>2</v>
      </c>
      <c r="S26" s="443">
        <v>2</v>
      </c>
      <c r="T26" s="444" t="str">
        <f>IF(S26="","",":")</f>
        <v>:</v>
      </c>
      <c r="U26" s="445">
        <v>1</v>
      </c>
      <c r="V26" s="443"/>
      <c r="W26" s="444" t="str">
        <f>IF(V26="","",":")</f>
        <v/>
      </c>
      <c r="X26" s="445"/>
      <c r="Y26" s="443"/>
      <c r="Z26" s="444" t="str">
        <f>IF(Y26="","",":")</f>
        <v/>
      </c>
      <c r="AA26" s="445"/>
      <c r="AB26" s="443"/>
      <c r="AC26" s="444" t="str">
        <f>IF(AB26="","",":")</f>
        <v/>
      </c>
      <c r="AD26" s="445"/>
      <c r="AE26" s="1198"/>
      <c r="AF26" s="1199"/>
      <c r="AG26" s="1201"/>
      <c r="AH26" s="1186"/>
    </row>
    <row r="27" spans="1:34" ht="12" customHeight="1" x14ac:dyDescent="0.2">
      <c r="A27" s="1175">
        <v>2</v>
      </c>
      <c r="B27" s="1205">
        <v>28</v>
      </c>
      <c r="C27" s="441" t="str">
        <f>IF(B27="","",VLOOKUP(B27,'Списки участников'!A:H,3,FALSE))</f>
        <v>КОТОВА Наталья</v>
      </c>
      <c r="D27" s="1189">
        <f>IF(G25="","",IF(G26="W",0,IF(G25=2,1,IF(G25=1,2,IF(G25=0,2)))))</f>
        <v>1</v>
      </c>
      <c r="E27" s="1190"/>
      <c r="F27" s="1191"/>
      <c r="G27" s="1192"/>
      <c r="H27" s="1193"/>
      <c r="I27" s="1194"/>
      <c r="J27" s="1183">
        <v>2</v>
      </c>
      <c r="K27" s="1184"/>
      <c r="L27" s="1185"/>
      <c r="M27" s="1183">
        <v>2</v>
      </c>
      <c r="N27" s="1184"/>
      <c r="O27" s="1185"/>
      <c r="P27" s="1183">
        <v>1</v>
      </c>
      <c r="Q27" s="1184"/>
      <c r="R27" s="1185"/>
      <c r="S27" s="1183">
        <v>2</v>
      </c>
      <c r="T27" s="1184"/>
      <c r="U27" s="1185"/>
      <c r="V27" s="1183"/>
      <c r="W27" s="1184"/>
      <c r="X27" s="1185"/>
      <c r="Y27" s="1183"/>
      <c r="Z27" s="1184"/>
      <c r="AA27" s="1185"/>
      <c r="AB27" s="1183"/>
      <c r="AC27" s="1184"/>
      <c r="AD27" s="1185"/>
      <c r="AE27" s="1196">
        <f>IF(B27="","",SUM(D27,J27,M27,P27,S27,V27,Y27,AB27,))</f>
        <v>8</v>
      </c>
      <c r="AF27" s="1197"/>
      <c r="AG27" s="1187"/>
      <c r="AH27" s="1186">
        <f>IF(B27="","",RANK(AE27,ГР2О))</f>
        <v>3</v>
      </c>
    </row>
    <row r="28" spans="1:34" ht="12" customHeight="1" x14ac:dyDescent="0.2">
      <c r="A28" s="1176"/>
      <c r="B28" s="1206"/>
      <c r="C28" s="442" t="str">
        <f>IF(B27="","",VLOOKUP(B27,'Списки участников'!A:H,6,FALSE))</f>
        <v>"КРАСНОЕ СОРМОВО"</v>
      </c>
      <c r="D28" s="446">
        <f>IF(G26="","",IF(I26="l","W",I26))</f>
        <v>1</v>
      </c>
      <c r="E28" s="447" t="str">
        <f>IF(G25="","",":")</f>
        <v>:</v>
      </c>
      <c r="F28" s="448">
        <f>IF(I26="","",IF(G26="W","L",G26))</f>
        <v>2</v>
      </c>
      <c r="G28" s="1195"/>
      <c r="H28" s="1181"/>
      <c r="I28" s="1182"/>
      <c r="J28" s="443">
        <v>2</v>
      </c>
      <c r="K28" s="444" t="str">
        <f>IF(J27="","",":")</f>
        <v>:</v>
      </c>
      <c r="L28" s="445">
        <v>0</v>
      </c>
      <c r="M28" s="443">
        <v>2</v>
      </c>
      <c r="N28" s="444" t="str">
        <f>IF(M27="","",":")</f>
        <v>:</v>
      </c>
      <c r="O28" s="445">
        <v>1</v>
      </c>
      <c r="P28" s="443">
        <v>0</v>
      </c>
      <c r="Q28" s="444" t="str">
        <f>IF(P27="","",":")</f>
        <v>:</v>
      </c>
      <c r="R28" s="445">
        <v>2</v>
      </c>
      <c r="S28" s="443">
        <v>2</v>
      </c>
      <c r="T28" s="444" t="str">
        <f>IF(S28="","",":")</f>
        <v>:</v>
      </c>
      <c r="U28" s="445">
        <v>0</v>
      </c>
      <c r="V28" s="443"/>
      <c r="W28" s="444" t="str">
        <f>IF(V28="","",":")</f>
        <v/>
      </c>
      <c r="X28" s="445"/>
      <c r="Y28" s="443"/>
      <c r="Z28" s="444" t="str">
        <f>IF(Y28="","",":")</f>
        <v/>
      </c>
      <c r="AA28" s="445"/>
      <c r="AB28" s="443"/>
      <c r="AC28" s="444" t="str">
        <f>IF(AB28="","",":")</f>
        <v/>
      </c>
      <c r="AD28" s="445"/>
      <c r="AE28" s="1198"/>
      <c r="AF28" s="1199"/>
      <c r="AG28" s="1188"/>
      <c r="AH28" s="1186"/>
    </row>
    <row r="29" spans="1:34" ht="12" customHeight="1" x14ac:dyDescent="0.2">
      <c r="A29" s="1175">
        <v>3</v>
      </c>
      <c r="B29" s="1205">
        <v>20</v>
      </c>
      <c r="C29" s="441" t="str">
        <f>IF(B29="","",VLOOKUP(B29,'Списки участников'!A:H,3,FALSE))</f>
        <v>КАРПОВА Юлия</v>
      </c>
      <c r="D29" s="1189">
        <f>IF(J25="","",IF(J26="W",0,IF(J25=2,1,IF(J25=1,2,IF(J25=0,2)))))</f>
        <v>1</v>
      </c>
      <c r="E29" s="1190"/>
      <c r="F29" s="1191"/>
      <c r="G29" s="1183">
        <f>IF(J27="","",IF(J28="W",0,IF(J27=2,1,IF(J27=1,2,IF(J27=0,2)))))</f>
        <v>1</v>
      </c>
      <c r="H29" s="1184"/>
      <c r="I29" s="1185"/>
      <c r="J29" s="1192"/>
      <c r="K29" s="1193"/>
      <c r="L29" s="1194"/>
      <c r="M29" s="1183">
        <v>2</v>
      </c>
      <c r="N29" s="1184"/>
      <c r="O29" s="1185"/>
      <c r="P29" s="1183">
        <v>1</v>
      </c>
      <c r="Q29" s="1184"/>
      <c r="R29" s="1185"/>
      <c r="S29" s="1183">
        <v>1</v>
      </c>
      <c r="T29" s="1184"/>
      <c r="U29" s="1185"/>
      <c r="V29" s="1183"/>
      <c r="W29" s="1184"/>
      <c r="X29" s="1185"/>
      <c r="Y29" s="1183"/>
      <c r="Z29" s="1184"/>
      <c r="AA29" s="1185"/>
      <c r="AB29" s="1183"/>
      <c r="AC29" s="1184"/>
      <c r="AD29" s="1185"/>
      <c r="AE29" s="1196">
        <f>IF(B29="","",SUM(G29,D29,M29,P29,S29,V29,Y29,AB29,))</f>
        <v>6</v>
      </c>
      <c r="AF29" s="1197"/>
      <c r="AG29" s="1200"/>
      <c r="AH29" s="1186">
        <f>IF(B29="","",RANK(AE29,ГР2О))</f>
        <v>5</v>
      </c>
    </row>
    <row r="30" spans="1:34" ht="12" customHeight="1" x14ac:dyDescent="0.2">
      <c r="A30" s="1176"/>
      <c r="B30" s="1207"/>
      <c r="C30" s="442" t="str">
        <f>IF(B29="","",VLOOKUP(B29,'Списки участников'!A:H,6,FALSE))</f>
        <v>НПАП №1</v>
      </c>
      <c r="D30" s="449">
        <f>IF(J26="","",IF(L26="l","W",L26))</f>
        <v>0</v>
      </c>
      <c r="E30" s="444" t="str">
        <f>IF(K26="","",":")</f>
        <v>:</v>
      </c>
      <c r="F30" s="450">
        <f>IF(L26="","",IF(J26="W","L",J26))</f>
        <v>2</v>
      </c>
      <c r="G30" s="449">
        <f>IF(J28="","",IF(L28="l","W",L28))</f>
        <v>0</v>
      </c>
      <c r="H30" s="444" t="str">
        <f>IF(K28="","",":")</f>
        <v>:</v>
      </c>
      <c r="I30" s="450">
        <f>IF(L28="","",IF(J28="W","L",J28))</f>
        <v>2</v>
      </c>
      <c r="J30" s="1195"/>
      <c r="K30" s="1181"/>
      <c r="L30" s="1182"/>
      <c r="M30" s="443">
        <v>2</v>
      </c>
      <c r="N30" s="444" t="str">
        <f>IF(M29="","",":")</f>
        <v>:</v>
      </c>
      <c r="O30" s="445">
        <v>0</v>
      </c>
      <c r="P30" s="443">
        <v>0</v>
      </c>
      <c r="Q30" s="444" t="str">
        <f>IF(P29="","",":")</f>
        <v>:</v>
      </c>
      <c r="R30" s="445">
        <v>2</v>
      </c>
      <c r="S30" s="443">
        <v>0</v>
      </c>
      <c r="T30" s="444" t="str">
        <f>IF(S29="","",":")</f>
        <v>:</v>
      </c>
      <c r="U30" s="445">
        <v>2</v>
      </c>
      <c r="V30" s="443"/>
      <c r="W30" s="444" t="str">
        <f>IF(V30="","",":")</f>
        <v/>
      </c>
      <c r="X30" s="445"/>
      <c r="Y30" s="443"/>
      <c r="Z30" s="444" t="str">
        <f>IF(Y30="","",":")</f>
        <v/>
      </c>
      <c r="AA30" s="445"/>
      <c r="AB30" s="443"/>
      <c r="AC30" s="444" t="str">
        <f>IF(AB30="","",":")</f>
        <v/>
      </c>
      <c r="AD30" s="445"/>
      <c r="AE30" s="1198"/>
      <c r="AF30" s="1199"/>
      <c r="AG30" s="1201"/>
      <c r="AH30" s="1186"/>
    </row>
    <row r="31" spans="1:34" ht="12" customHeight="1" x14ac:dyDescent="0.2">
      <c r="A31" s="1175">
        <v>4</v>
      </c>
      <c r="B31" s="1205">
        <v>16</v>
      </c>
      <c r="C31" s="441" t="str">
        <f>IF(B31="","",VLOOKUP(B31,'Списки участников'!A:H,3,FALSE))</f>
        <v>ВАХРОМОВА Ирина</v>
      </c>
      <c r="D31" s="1183">
        <f>IF(M25="","",IF(M26="W",0,IF(M25=2,1,IF(M25=1,2,IF(M25=0,2)))))</f>
        <v>1</v>
      </c>
      <c r="E31" s="1184"/>
      <c r="F31" s="1185"/>
      <c r="G31" s="1183">
        <f>IF(M27="","",IF(M28="W",0,IF(M27=2,1,IF(M27=1,2,IF(M27=0,2)))))</f>
        <v>1</v>
      </c>
      <c r="H31" s="1184"/>
      <c r="I31" s="1185"/>
      <c r="J31" s="1183">
        <f>IF(M29="","",IF(M30="W",0,IF(M29=2,1,IF(M29=1,2,IF(M29=0,2)))))</f>
        <v>1</v>
      </c>
      <c r="K31" s="1184"/>
      <c r="L31" s="1185"/>
      <c r="M31" s="1193"/>
      <c r="N31" s="1193"/>
      <c r="O31" s="1193"/>
      <c r="P31" s="1183">
        <v>1</v>
      </c>
      <c r="Q31" s="1184"/>
      <c r="R31" s="1185"/>
      <c r="S31" s="1183">
        <v>1</v>
      </c>
      <c r="T31" s="1184"/>
      <c r="U31" s="1185"/>
      <c r="V31" s="1183"/>
      <c r="W31" s="1184"/>
      <c r="X31" s="1185"/>
      <c r="Y31" s="1183"/>
      <c r="Z31" s="1184"/>
      <c r="AA31" s="1185"/>
      <c r="AB31" s="1183"/>
      <c r="AC31" s="1184"/>
      <c r="AD31" s="1185"/>
      <c r="AE31" s="1196">
        <f>IF(B31="","",SUM(G31,J31,D31,P31,S31,V31,Y31,AB31,))</f>
        <v>5</v>
      </c>
      <c r="AF31" s="1197"/>
      <c r="AG31" s="1200"/>
      <c r="AH31" s="1186">
        <f>IF(B31="","",RANK(AE31,ГР2О))</f>
        <v>6</v>
      </c>
    </row>
    <row r="32" spans="1:34" ht="12" customHeight="1" x14ac:dyDescent="0.2">
      <c r="A32" s="1176"/>
      <c r="B32" s="1207"/>
      <c r="C32" s="442" t="str">
        <f>IF(B31="","",VLOOKUP(B31,'Списки участников'!A:H,6,FALSE))</f>
        <v>ТПП</v>
      </c>
      <c r="D32" s="449">
        <f>IF(M26="","",IF(O26="l","W",O26))</f>
        <v>0</v>
      </c>
      <c r="E32" s="444" t="str">
        <f>IF(N26="","",":")</f>
        <v>:</v>
      </c>
      <c r="F32" s="450">
        <f>IF(O26="","",IF(M26="W","L",M26))</f>
        <v>2</v>
      </c>
      <c r="G32" s="449">
        <f>IF(M28="","",IF(O28="l","W",O28))</f>
        <v>1</v>
      </c>
      <c r="H32" s="444" t="str">
        <f>IF(N28="","",":")</f>
        <v>:</v>
      </c>
      <c r="I32" s="450">
        <f>IF(O28="","",IF(M28="W","L",M28))</f>
        <v>2</v>
      </c>
      <c r="J32" s="449">
        <f>IF(M30="","",IF(O30="l","W",O30))</f>
        <v>0</v>
      </c>
      <c r="K32" s="444" t="str">
        <f>IF(N30="","",":")</f>
        <v>:</v>
      </c>
      <c r="L32" s="450">
        <f>IF(O30="","",IF(M30="W","L",M30))</f>
        <v>2</v>
      </c>
      <c r="M32" s="1202"/>
      <c r="N32" s="1202"/>
      <c r="O32" s="1202"/>
      <c r="P32" s="443">
        <v>0</v>
      </c>
      <c r="Q32" s="444" t="str">
        <f>IF(P31="","",":")</f>
        <v>:</v>
      </c>
      <c r="R32" s="445">
        <v>2</v>
      </c>
      <c r="S32" s="443">
        <v>0</v>
      </c>
      <c r="T32" s="444" t="str">
        <f>IF(S31="","",":")</f>
        <v>:</v>
      </c>
      <c r="U32" s="445">
        <v>2</v>
      </c>
      <c r="V32" s="443"/>
      <c r="W32" s="444" t="str">
        <f>IF(V31="","",":")</f>
        <v/>
      </c>
      <c r="X32" s="445"/>
      <c r="Y32" s="443"/>
      <c r="Z32" s="444" t="str">
        <f>IF(Y32="","",":")</f>
        <v/>
      </c>
      <c r="AA32" s="445"/>
      <c r="AB32" s="443"/>
      <c r="AC32" s="444" t="str">
        <f>IF(AB32="","",":")</f>
        <v/>
      </c>
      <c r="AD32" s="445"/>
      <c r="AE32" s="1198"/>
      <c r="AF32" s="1199"/>
      <c r="AG32" s="1201"/>
      <c r="AH32" s="1186"/>
    </row>
    <row r="33" spans="1:34" ht="12" customHeight="1" x14ac:dyDescent="0.2">
      <c r="A33" s="1175">
        <v>5</v>
      </c>
      <c r="B33" s="1208">
        <v>32</v>
      </c>
      <c r="C33" s="441" t="str">
        <f>IF(B33="","",VLOOKUP(B33,'Списки участников'!A:H,3,FALSE))</f>
        <v>РОЖЕНКОВА Наталья</v>
      </c>
      <c r="D33" s="1183">
        <f>IF(P25="","",IF(P26="W",0,IF(P25=2,1,IF(P25=1,2,IF(P25=0,2)))))</f>
        <v>2</v>
      </c>
      <c r="E33" s="1184"/>
      <c r="F33" s="1185"/>
      <c r="G33" s="1183">
        <f>IF(P27="","",IF(P28="W",0,IF(P27=2,1,IF(P27=1,2,IF(P27=0,2)))))</f>
        <v>2</v>
      </c>
      <c r="H33" s="1184"/>
      <c r="I33" s="1185"/>
      <c r="J33" s="1183">
        <f>IF(P29="","",IF(P30="W",0,IF(P29=2,1,IF(P29=1,2,IF(P29=0,2)))))</f>
        <v>2</v>
      </c>
      <c r="K33" s="1184"/>
      <c r="L33" s="1185"/>
      <c r="M33" s="1183">
        <f>IF(P31="","",IF(P32="W",0,IF(P31=2,1,IF(P31=1,2,IF(P31=0,2)))))</f>
        <v>2</v>
      </c>
      <c r="N33" s="1184"/>
      <c r="O33" s="1185"/>
      <c r="P33" s="1192"/>
      <c r="Q33" s="1193"/>
      <c r="R33" s="1194"/>
      <c r="S33" s="1183">
        <v>2</v>
      </c>
      <c r="T33" s="1184"/>
      <c r="U33" s="1185"/>
      <c r="V33" s="1183"/>
      <c r="W33" s="1184"/>
      <c r="X33" s="1185"/>
      <c r="Y33" s="1183"/>
      <c r="Z33" s="1184"/>
      <c r="AA33" s="1185"/>
      <c r="AB33" s="1183"/>
      <c r="AC33" s="1184"/>
      <c r="AD33" s="1185"/>
      <c r="AE33" s="1196">
        <f>IF(B33="","",SUM(G33,J33,M33,D33,S33,V33,Y33,AB33,))</f>
        <v>10</v>
      </c>
      <c r="AF33" s="1197"/>
      <c r="AG33" s="1200"/>
      <c r="AH33" s="1186">
        <f>IF(B33="","",RANK(AE33,ГР2О))</f>
        <v>1</v>
      </c>
    </row>
    <row r="34" spans="1:34" ht="12" customHeight="1" x14ac:dyDescent="0.2">
      <c r="A34" s="1176"/>
      <c r="B34" s="1209"/>
      <c r="C34" s="442" t="str">
        <f>IF(B33="","",VLOOKUP(B33,'Списки участников'!A:H,6,FALSE))</f>
        <v>АО "НПП "Полет"</v>
      </c>
      <c r="D34" s="449">
        <f>IF(P26="","",IF(R26="l","W",R26))</f>
        <v>2</v>
      </c>
      <c r="E34" s="444" t="str">
        <f>IF(Q26="","",":")</f>
        <v>:</v>
      </c>
      <c r="F34" s="450">
        <f>IF(R26="","",IF(P26="W","L",P26))</f>
        <v>0</v>
      </c>
      <c r="G34" s="449">
        <f>IF(P28="","",IF(R28="l","W",R28))</f>
        <v>2</v>
      </c>
      <c r="H34" s="444" t="str">
        <f>IF(Q28="","",":")</f>
        <v>:</v>
      </c>
      <c r="I34" s="450">
        <f>IF(R28="","",IF(P28="W","L",P28))</f>
        <v>0</v>
      </c>
      <c r="J34" s="449">
        <f>IF(P30="","",IF(R30="l","W",R30))</f>
        <v>2</v>
      </c>
      <c r="K34" s="444" t="str">
        <f>IF(Q30="","",":")</f>
        <v>:</v>
      </c>
      <c r="L34" s="450">
        <f>IF(R30="","",IF(P30="W","L",P30))</f>
        <v>0</v>
      </c>
      <c r="M34" s="449">
        <f>IF(P32="","",IF(R32="l","W",R32))</f>
        <v>2</v>
      </c>
      <c r="N34" s="444" t="str">
        <f>IF(Q32="","",":")</f>
        <v>:</v>
      </c>
      <c r="O34" s="450">
        <f>IF(R32="","",IF(P32="W","L",P32))</f>
        <v>0</v>
      </c>
      <c r="P34" s="1195"/>
      <c r="Q34" s="1181"/>
      <c r="R34" s="1182"/>
      <c r="S34" s="443">
        <v>2</v>
      </c>
      <c r="T34" s="444" t="str">
        <f>IF(S33="","",":")</f>
        <v>:</v>
      </c>
      <c r="U34" s="445">
        <v>0</v>
      </c>
      <c r="V34" s="443"/>
      <c r="W34" s="444" t="str">
        <f>IF(V33="","",":")</f>
        <v/>
      </c>
      <c r="X34" s="445"/>
      <c r="Y34" s="443"/>
      <c r="Z34" s="444" t="str">
        <f>IF(Y33="","",":")</f>
        <v/>
      </c>
      <c r="AA34" s="445"/>
      <c r="AB34" s="443"/>
      <c r="AC34" s="444" t="str">
        <f>IF(AB34="","",":")</f>
        <v/>
      </c>
      <c r="AD34" s="445"/>
      <c r="AE34" s="1198"/>
      <c r="AF34" s="1199"/>
      <c r="AG34" s="1201"/>
      <c r="AH34" s="1186"/>
    </row>
    <row r="35" spans="1:34" ht="12" customHeight="1" x14ac:dyDescent="0.2">
      <c r="A35" s="1175">
        <v>6</v>
      </c>
      <c r="B35" s="1208">
        <v>44</v>
      </c>
      <c r="C35" s="441" t="str">
        <f>IF(B35="","",VLOOKUP(B35,'Списки участников'!A:H,3,FALSE))</f>
        <v>ЦАРЕВА Анна</v>
      </c>
      <c r="D35" s="1183">
        <f>IF(S25="","",IF(S26="W",0,IF(S25=2,1,IF(S25=1,2,IF(S25=0,2)))))</f>
        <v>1</v>
      </c>
      <c r="E35" s="1184"/>
      <c r="F35" s="1185"/>
      <c r="G35" s="1183">
        <f>IF(S27="","",IF(S28="W",0,IF(S27=2,1,IF(S27=1,2,IF(S27=0,2)))))</f>
        <v>1</v>
      </c>
      <c r="H35" s="1184"/>
      <c r="I35" s="1185"/>
      <c r="J35" s="1183">
        <f>IF(S29="","",IF(S30="W",0,IF(S29=2,1,IF(S29=1,2,IF(S29=0,2)))))</f>
        <v>2</v>
      </c>
      <c r="K35" s="1184"/>
      <c r="L35" s="1185"/>
      <c r="M35" s="1183">
        <f>IF(S31="","",IF(S32="W",0,IF(S31=2,1,IF(S31=1,2,IF(S31=0,2)))))</f>
        <v>2</v>
      </c>
      <c r="N35" s="1184"/>
      <c r="O35" s="1185"/>
      <c r="P35" s="1183">
        <f>IF(S33="","",IF(S34="W",0,IF(S33=2,1,IF(S33=1,2,IF(S33=0,2)))))</f>
        <v>1</v>
      </c>
      <c r="Q35" s="1184"/>
      <c r="R35" s="1185"/>
      <c r="S35" s="1192"/>
      <c r="T35" s="1193"/>
      <c r="U35" s="1194"/>
      <c r="V35" s="1183"/>
      <c r="W35" s="1184"/>
      <c r="X35" s="1185"/>
      <c r="Y35" s="1183"/>
      <c r="Z35" s="1184"/>
      <c r="AA35" s="1185"/>
      <c r="AB35" s="1183"/>
      <c r="AC35" s="1184"/>
      <c r="AD35" s="1185"/>
      <c r="AE35" s="1196">
        <f>IF(B35="","",SUM(G35,J35,M35,P35,D35,V35,Y35,AB35,))</f>
        <v>7</v>
      </c>
      <c r="AF35" s="1197"/>
      <c r="AG35" s="1200"/>
      <c r="AH35" s="1186">
        <f>IF(B35="","",RANK(AE35,ГР2О))</f>
        <v>4</v>
      </c>
    </row>
    <row r="36" spans="1:34" ht="12" customHeight="1" x14ac:dyDescent="0.2">
      <c r="A36" s="1176"/>
      <c r="B36" s="1209"/>
      <c r="C36" s="442" t="str">
        <f>IF(B35="","",VLOOKUP(B35,'Списки участников'!A:H,6,FALSE))</f>
        <v>ЗАО "НПП "Салют-27"</v>
      </c>
      <c r="D36" s="449">
        <f>IF(S26="","",IF(U26="l","W",U26))</f>
        <v>1</v>
      </c>
      <c r="E36" s="444" t="str">
        <f>IF(T26="","",":")</f>
        <v>:</v>
      </c>
      <c r="F36" s="450">
        <f>IF(U26="","",IF(S26="W","L",S26))</f>
        <v>2</v>
      </c>
      <c r="G36" s="449">
        <f>IF(S28="","",IF(U28="l","W",U28))</f>
        <v>0</v>
      </c>
      <c r="H36" s="444" t="str">
        <f>IF(T28="","",":")</f>
        <v>:</v>
      </c>
      <c r="I36" s="450">
        <f>IF(U28="","",IF(S28="W","L",S28))</f>
        <v>2</v>
      </c>
      <c r="J36" s="449">
        <f>IF(S30="","",IF(U30="l","W",U30))</f>
        <v>2</v>
      </c>
      <c r="K36" s="444" t="str">
        <f>IF(T30="","",":")</f>
        <v>:</v>
      </c>
      <c r="L36" s="450">
        <f>IF(U30="","",IF(S30="W","L",S30))</f>
        <v>0</v>
      </c>
      <c r="M36" s="449">
        <f>IF(S32="","",IF(U32="l","W",U32))</f>
        <v>2</v>
      </c>
      <c r="N36" s="444" t="str">
        <f>IF(T32="","",":")</f>
        <v>:</v>
      </c>
      <c r="O36" s="450">
        <f>IF(U32="","",IF(S32="W","L",S32))</f>
        <v>0</v>
      </c>
      <c r="P36" s="449">
        <f>IF(S34="","",IF(U34="l","W",U34))</f>
        <v>0</v>
      </c>
      <c r="Q36" s="444" t="str">
        <f>IF(T34="","",":")</f>
        <v>:</v>
      </c>
      <c r="R36" s="450">
        <f>IF(U34="","",IF(S34="W","L",S34))</f>
        <v>2</v>
      </c>
      <c r="S36" s="1195"/>
      <c r="T36" s="1181"/>
      <c r="U36" s="1182"/>
      <c r="V36" s="443"/>
      <c r="W36" s="444" t="str">
        <f>IF(V35="","",":")</f>
        <v/>
      </c>
      <c r="X36" s="445"/>
      <c r="Y36" s="443"/>
      <c r="Z36" s="444" t="str">
        <f>IF(Y35="","",":")</f>
        <v/>
      </c>
      <c r="AA36" s="445"/>
      <c r="AB36" s="443"/>
      <c r="AC36" s="444" t="str">
        <f>IF(AB35="","",":")</f>
        <v/>
      </c>
      <c r="AD36" s="445"/>
      <c r="AE36" s="1198"/>
      <c r="AF36" s="1199"/>
      <c r="AG36" s="1201"/>
      <c r="AH36" s="1186"/>
    </row>
    <row r="37" spans="1:34" ht="12" hidden="1" customHeight="1" x14ac:dyDescent="0.2">
      <c r="A37" s="1175">
        <v>7</v>
      </c>
      <c r="B37" s="1208"/>
      <c r="C37" s="441" t="str">
        <f>IF(B37="","",VLOOKUP(B37,'Списки участников'!A:H,3,FALSE))</f>
        <v/>
      </c>
      <c r="D37" s="1183" t="str">
        <f>IF(V25="","",IF(V26="W",0,IF(V25=2,1,IF(V25=1,2,IF(V25=0,2)))))</f>
        <v/>
      </c>
      <c r="E37" s="1184"/>
      <c r="F37" s="1185"/>
      <c r="G37" s="1183" t="str">
        <f>IF(V27="","",IF(V28="W",0,IF(V27=2,1,IF(V27=1,2,IF(V27=0,2)))))</f>
        <v/>
      </c>
      <c r="H37" s="1184"/>
      <c r="I37" s="1185"/>
      <c r="J37" s="1183" t="str">
        <f>IF(V29="","",IF(V30="W",0,IF(V29=2,1,IF(V29=1,2,IF(V29=0,2)))))</f>
        <v/>
      </c>
      <c r="K37" s="1184"/>
      <c r="L37" s="1185"/>
      <c r="M37" s="1183" t="str">
        <f>IF(V31="","",IF(V32="W",0,IF(V31=2,1,IF(V31=1,2,IF(V31=0,2)))))</f>
        <v/>
      </c>
      <c r="N37" s="1184"/>
      <c r="O37" s="1185"/>
      <c r="P37" s="1183" t="str">
        <f>IF(V33="","",IF(V34="W",0,IF(V33=2,1,IF(V33=1,2,IF(V33=0,2)))))</f>
        <v/>
      </c>
      <c r="Q37" s="1184"/>
      <c r="R37" s="1185"/>
      <c r="S37" s="1183" t="str">
        <f>IF(V35="","",IF(V36="W",0,IF(V35=2,1,IF(V35=1,2,IF(V35=0,2)))))</f>
        <v/>
      </c>
      <c r="T37" s="1184"/>
      <c r="U37" s="1185"/>
      <c r="V37" s="1203"/>
      <c r="W37" s="1179"/>
      <c r="X37" s="1180"/>
      <c r="Y37" s="1183"/>
      <c r="Z37" s="1184"/>
      <c r="AA37" s="1185"/>
      <c r="AB37" s="1183"/>
      <c r="AC37" s="1184"/>
      <c r="AD37" s="1185"/>
      <c r="AE37" s="1196" t="str">
        <f>IF(B37="","",SUM(G37,J37,M37,P37,S37,D37,Y37,AB37,))</f>
        <v/>
      </c>
      <c r="AF37" s="1197"/>
      <c r="AG37" s="1200"/>
      <c r="AH37" s="1186" t="str">
        <f>IF(B37="","",RANK(AE37,ГР2О))</f>
        <v/>
      </c>
    </row>
    <row r="38" spans="1:34" ht="12" hidden="1" customHeight="1" x14ac:dyDescent="0.2">
      <c r="A38" s="1176"/>
      <c r="B38" s="1209"/>
      <c r="C38" s="442" t="str">
        <f>IF(B37="","",VLOOKUP(B37,'Списки участников'!A:H,6,FALSE))</f>
        <v/>
      </c>
      <c r="D38" s="449" t="str">
        <f>IF(V26="","",IF(X26="l","W",X26))</f>
        <v/>
      </c>
      <c r="E38" s="444" t="str">
        <f>IF(W26="","",":")</f>
        <v/>
      </c>
      <c r="F38" s="450" t="str">
        <f>IF(X26="","",IF(V26="W","L",V26))</f>
        <v/>
      </c>
      <c r="G38" s="449" t="str">
        <f>IF(V28="","",IF(X28="l","W",X28))</f>
        <v/>
      </c>
      <c r="H38" s="444" t="str">
        <f>IF(W28="","",":")</f>
        <v/>
      </c>
      <c r="I38" s="450" t="str">
        <f>IF(X28="","",IF(V28="W","L",V28))</f>
        <v/>
      </c>
      <c r="J38" s="449" t="str">
        <f>IF(V30="","",IF(X30="l","W",X30))</f>
        <v/>
      </c>
      <c r="K38" s="444" t="str">
        <f>IF(W30="","",":")</f>
        <v/>
      </c>
      <c r="L38" s="450" t="str">
        <f>IF(X30="","",IF(V30="W","L",V30))</f>
        <v/>
      </c>
      <c r="M38" s="449" t="str">
        <f>IF(V32="","",IF(X32="l","W",X32))</f>
        <v/>
      </c>
      <c r="N38" s="444" t="str">
        <f>IF(W32="","",":")</f>
        <v/>
      </c>
      <c r="O38" s="450" t="str">
        <f>IF(X32="","",IF(V32="W","L",V32))</f>
        <v/>
      </c>
      <c r="P38" s="449" t="str">
        <f>IF(V34="","",IF(X34="l","W",X34))</f>
        <v/>
      </c>
      <c r="Q38" s="444" t="str">
        <f>IF(W34="","",":")</f>
        <v/>
      </c>
      <c r="R38" s="450" t="str">
        <f>IF(X34="","",IF(V34="W","L",V34))</f>
        <v/>
      </c>
      <c r="S38" s="449" t="str">
        <f>IF(V36="","",IF(X36="l","W",X36))</f>
        <v/>
      </c>
      <c r="T38" s="444" t="str">
        <f>IF(W36="","",":")</f>
        <v/>
      </c>
      <c r="U38" s="450" t="str">
        <f>IF(X36="","",IF(V36="W","L",V36))</f>
        <v/>
      </c>
      <c r="V38" s="1195"/>
      <c r="W38" s="1181"/>
      <c r="X38" s="1182"/>
      <c r="Y38" s="443"/>
      <c r="Z38" s="444" t="str">
        <f>IF(Y37="","",":")</f>
        <v/>
      </c>
      <c r="AA38" s="445"/>
      <c r="AB38" s="443"/>
      <c r="AC38" s="444" t="str">
        <f>IF(AB37="","",":")</f>
        <v/>
      </c>
      <c r="AD38" s="445"/>
      <c r="AE38" s="1198"/>
      <c r="AF38" s="1199"/>
      <c r="AG38" s="1201"/>
      <c r="AH38" s="1186"/>
    </row>
    <row r="39" spans="1:34" ht="12" hidden="1" customHeight="1" x14ac:dyDescent="0.2">
      <c r="A39" s="1175">
        <v>8</v>
      </c>
      <c r="B39" s="1208"/>
      <c r="C39" s="441" t="str">
        <f>IF(B39="","",VLOOKUP(B39,'Списки участников'!A:H,3,FALSE))</f>
        <v/>
      </c>
      <c r="D39" s="1183" t="str">
        <f>IF(Y25="","",IF(Y26="W",0,IF(Y25=2,1,IF(Y25=1,2,IF(Y25=0,2)))))</f>
        <v/>
      </c>
      <c r="E39" s="1184"/>
      <c r="F39" s="1185"/>
      <c r="G39" s="1183" t="str">
        <f>IF(Y27="","",IF(Y28="W",0,IF(Y27=2,1,IF(Y27=1,2,IF(Y27=0,2)))))</f>
        <v/>
      </c>
      <c r="H39" s="1184"/>
      <c r="I39" s="1185"/>
      <c r="J39" s="1183" t="str">
        <f>IF(Y29="","",IF(Y30="W",0,IF(Y29=2,1,IF(Y29=1,2,IF(Y29=0,2)))))</f>
        <v/>
      </c>
      <c r="K39" s="1184"/>
      <c r="L39" s="1185"/>
      <c r="M39" s="1183" t="str">
        <f>IF(Y31="","",IF(Y32="W",0,IF(Y31=2,1,IF(Y31=1,2,IF(Y31=0,2)))))</f>
        <v/>
      </c>
      <c r="N39" s="1184"/>
      <c r="O39" s="1185"/>
      <c r="P39" s="1183" t="str">
        <f>IF(Y33="","",IF(Y34="W",0,IF(Y33=2,1,IF(Y33=1,2,IF(Y33=0,2)))))</f>
        <v/>
      </c>
      <c r="Q39" s="1184"/>
      <c r="R39" s="1185"/>
      <c r="S39" s="1183" t="str">
        <f>IF(Y35="","",IF(Y36="W",0,IF(Y35=2,1,IF(Y35=1,2,IF(Y35=0,2)))))</f>
        <v/>
      </c>
      <c r="T39" s="1184"/>
      <c r="U39" s="1185"/>
      <c r="V39" s="1183" t="str">
        <f>IF(Y37="","",IF(Y38="W",0,IF(Y37=2,1,IF(Y37=1,2,IF(Y37=0,2)))))</f>
        <v/>
      </c>
      <c r="W39" s="1184"/>
      <c r="X39" s="1185"/>
      <c r="Y39" s="1192"/>
      <c r="Z39" s="1193"/>
      <c r="AA39" s="1194"/>
      <c r="AB39" s="1183"/>
      <c r="AC39" s="1184"/>
      <c r="AD39" s="1185"/>
      <c r="AE39" s="1196" t="str">
        <f>IF(B39="","",SUM(G39,J39,M39,P39,S39,V39,D39,AB39,))</f>
        <v/>
      </c>
      <c r="AF39" s="1197"/>
      <c r="AG39" s="1200"/>
      <c r="AH39" s="1186" t="str">
        <f>IF(B39="","",RANK(AE39,ГР2О))</f>
        <v/>
      </c>
    </row>
    <row r="40" spans="1:34" ht="12" hidden="1" customHeight="1" x14ac:dyDescent="0.2">
      <c r="A40" s="1176"/>
      <c r="B40" s="1209"/>
      <c r="C40" s="442" t="str">
        <f>IF(B39="","",VLOOKUP(B39,'Списки участников'!A:H,6,FALSE))</f>
        <v/>
      </c>
      <c r="D40" s="449" t="str">
        <f>IF(Y26="","",IF(AA26="l","W",AA26))</f>
        <v/>
      </c>
      <c r="E40" s="444" t="str">
        <f>IF(Z26="","",":")</f>
        <v/>
      </c>
      <c r="F40" s="450" t="str">
        <f>IF(AA26="","",IF(Y26="W","L",Y26))</f>
        <v/>
      </c>
      <c r="G40" s="449" t="str">
        <f>IF(Y28="","",IF(AA28="l","W",AA28))</f>
        <v/>
      </c>
      <c r="H40" s="444" t="str">
        <f>IF(Z28="","",":")</f>
        <v/>
      </c>
      <c r="I40" s="450" t="str">
        <f>IF(AA28="","",IF(Y28="W","L",Y28))</f>
        <v/>
      </c>
      <c r="J40" s="449" t="str">
        <f>IF(Y30="","",IF(AA30="l","W",AA30))</f>
        <v/>
      </c>
      <c r="K40" s="444" t="str">
        <f>IF(Z30="","",":")</f>
        <v/>
      </c>
      <c r="L40" s="450" t="str">
        <f>IF(AA30="","",IF(Y30="W","L",Y30))</f>
        <v/>
      </c>
      <c r="M40" s="449" t="str">
        <f>IF(Y32="","",IF(AA32="l","W",AA32))</f>
        <v/>
      </c>
      <c r="N40" s="444" t="str">
        <f>IF(Z32="","",":")</f>
        <v/>
      </c>
      <c r="O40" s="450" t="str">
        <f>IF(AA32="","",IF(Y32="W","L",Y32))</f>
        <v/>
      </c>
      <c r="P40" s="449" t="str">
        <f>IF(Y34="","",IF(AA34="l","W",AA34))</f>
        <v/>
      </c>
      <c r="Q40" s="444" t="str">
        <f>IF(Z34="","",":")</f>
        <v/>
      </c>
      <c r="R40" s="450" t="str">
        <f>IF(AA34="","",IF(Y34="W","L",Y34))</f>
        <v/>
      </c>
      <c r="S40" s="449" t="str">
        <f>IF(Y36="","",IF(AA36="l","W",AA36))</f>
        <v/>
      </c>
      <c r="T40" s="444" t="str">
        <f>IF(Z36="","",":")</f>
        <v/>
      </c>
      <c r="U40" s="450" t="str">
        <f>IF(AA36="","",IF(Y36="W","L",Y36))</f>
        <v/>
      </c>
      <c r="V40" s="449" t="str">
        <f>IF(Y38="","",IF(AA38="l","W",AA38))</f>
        <v/>
      </c>
      <c r="W40" s="444" t="str">
        <f>IF(Z38="","",":")</f>
        <v/>
      </c>
      <c r="X40" s="450" t="str">
        <f>IF(AA38="","",IF(Y38="W","L",Y38))</f>
        <v/>
      </c>
      <c r="Y40" s="1195"/>
      <c r="Z40" s="1181"/>
      <c r="AA40" s="1182"/>
      <c r="AB40" s="443"/>
      <c r="AC40" s="444" t="str">
        <f>IF(AB39="","",":")</f>
        <v/>
      </c>
      <c r="AD40" s="445"/>
      <c r="AE40" s="1198"/>
      <c r="AF40" s="1199"/>
      <c r="AG40" s="1201"/>
      <c r="AH40" s="1186"/>
    </row>
    <row r="41" spans="1:34" ht="12" hidden="1" customHeight="1" x14ac:dyDescent="0.2">
      <c r="A41" s="1175">
        <v>9</v>
      </c>
      <c r="B41" s="1177"/>
      <c r="C41" s="441" t="str">
        <f>IF(B41="","",VLOOKUP(B41,'Списки участников'!A:H,3,FALSE))</f>
        <v/>
      </c>
      <c r="D41" s="1183" t="str">
        <f>IF(AB25="","",IF(AB26="W",0,IF(AB25=2,1,IF(AB25=1,2,IF(AB25=0,2)))))</f>
        <v/>
      </c>
      <c r="E41" s="1184"/>
      <c r="F41" s="1185"/>
      <c r="G41" s="1183" t="str">
        <f>IF(AB27="","",IF(AB28="W",0,IF(AB27=2,1,IF(AB27=1,2,IF(AB27=0,2)))))</f>
        <v/>
      </c>
      <c r="H41" s="1184"/>
      <c r="I41" s="1185"/>
      <c r="J41" s="1183" t="str">
        <f>IF(AB29="","",IF(AB30="W",0,IF(AB29=2,1,IF(AB29=1,2,IF(AB29=0,2)))))</f>
        <v/>
      </c>
      <c r="K41" s="1184"/>
      <c r="L41" s="1185"/>
      <c r="M41" s="1183" t="str">
        <f>IF(AB31="","",IF(AB32="W",0,IF(AB31=2,1,IF(AB31=1,2,IF(AB31=0,2)))))</f>
        <v/>
      </c>
      <c r="N41" s="1184"/>
      <c r="O41" s="1185"/>
      <c r="P41" s="1183" t="str">
        <f>IF(AB33="","",IF(AB34="W",0,IF(AB33=2,1,IF(AB33=1,2,IF(AB33=0,2)))))</f>
        <v/>
      </c>
      <c r="Q41" s="1184"/>
      <c r="R41" s="1185"/>
      <c r="S41" s="1183" t="str">
        <f>IF(AB35="","",IF(AB36="W",0,IF(AB35=2,1,IF(AB35=1,2,IF(AB35=0,2)))))</f>
        <v/>
      </c>
      <c r="T41" s="1184"/>
      <c r="U41" s="1185"/>
      <c r="V41" s="1183" t="str">
        <f>IF(AB37="","",IF(AB38="W",0,IF(AB37=2,1,IF(AB37=1,2,IF(AB37=0,2)))))</f>
        <v/>
      </c>
      <c r="W41" s="1184"/>
      <c r="X41" s="1185"/>
      <c r="Y41" s="1183" t="str">
        <f>IF(AB39="","",IF(AB40="W",0,IF(AB39=2,1,IF(AB39=1,2,IF(AB39=0,2)))))</f>
        <v/>
      </c>
      <c r="Z41" s="1184"/>
      <c r="AA41" s="1185"/>
      <c r="AB41" s="1203"/>
      <c r="AC41" s="1179"/>
      <c r="AD41" s="1180"/>
      <c r="AE41" s="1196" t="str">
        <f>IF(B41="","",SUM(G41,J41,M41,P41,S41,V41,Y41,D41,))</f>
        <v/>
      </c>
      <c r="AF41" s="1197"/>
      <c r="AG41" s="1200"/>
      <c r="AH41" s="1186" t="str">
        <f>IF(B41="","",RANK(AE41,ГР2О))</f>
        <v/>
      </c>
    </row>
    <row r="42" spans="1:34" ht="12" hidden="1" customHeight="1" x14ac:dyDescent="0.2">
      <c r="A42" s="1176"/>
      <c r="B42" s="1178"/>
      <c r="C42" s="442" t="str">
        <f>IF(B41="","",VLOOKUP(B41,'Списки участников'!A:H,6,FALSE))</f>
        <v/>
      </c>
      <c r="D42" s="449" t="str">
        <f>IF(AB26="","",IF(AD26="l","W",AD26))</f>
        <v/>
      </c>
      <c r="E42" s="444" t="str">
        <f>IF(AC26="","",":")</f>
        <v/>
      </c>
      <c r="F42" s="450" t="str">
        <f>IF(AD26="","",IF(AB26="W","L",AB26))</f>
        <v/>
      </c>
      <c r="G42" s="449" t="str">
        <f>IF(AB28="","",IF(AD28="l","W",AD28))</f>
        <v/>
      </c>
      <c r="H42" s="444" t="str">
        <f>IF(AC28="","",":")</f>
        <v/>
      </c>
      <c r="I42" s="450" t="str">
        <f>IF(AD28="","",IF(AB28="W","L",AB28))</f>
        <v/>
      </c>
      <c r="J42" s="449" t="str">
        <f>IF(AB30="","",IF(AD30="l","W",AD30))</f>
        <v/>
      </c>
      <c r="K42" s="444" t="str">
        <f>IF(AC30="","",":")</f>
        <v/>
      </c>
      <c r="L42" s="450" t="str">
        <f>IF(AD30="","",IF(AB30="W","L",AB30))</f>
        <v/>
      </c>
      <c r="M42" s="449" t="str">
        <f>IF(AB32="","",IF(AD32="l","W",AD32))</f>
        <v/>
      </c>
      <c r="N42" s="444" t="str">
        <f>IF(AC32="","",":")</f>
        <v/>
      </c>
      <c r="O42" s="450" t="str">
        <f>IF(AD32="","",IF(AB32="W","L",AB32))</f>
        <v/>
      </c>
      <c r="P42" s="449" t="str">
        <f>IF(AB34="","",IF(AD34="l","W",AD34))</f>
        <v/>
      </c>
      <c r="Q42" s="444" t="str">
        <f>IF(AC34="","",":")</f>
        <v/>
      </c>
      <c r="R42" s="450" t="str">
        <f>IF(AD34="","",IF(AB34="W","L",AB34))</f>
        <v/>
      </c>
      <c r="S42" s="449" t="str">
        <f>IF(AB36="","",IF(AD36="l","W",AD36))</f>
        <v/>
      </c>
      <c r="T42" s="444" t="str">
        <f>IF(AC36="","",":")</f>
        <v/>
      </c>
      <c r="U42" s="450" t="str">
        <f>IF(AD36="","",IF(AB36="W","L",AB36))</f>
        <v/>
      </c>
      <c r="V42" s="449" t="str">
        <f>IF(AB38="","",IF(AD38="l","W",AD38))</f>
        <v/>
      </c>
      <c r="W42" s="444" t="str">
        <f>IF(AC38="","",":")</f>
        <v/>
      </c>
      <c r="X42" s="450" t="str">
        <f>IF(AD38="","",IF(AB38="W","L",AB38))</f>
        <v/>
      </c>
      <c r="Y42" s="449" t="str">
        <f>IF(AB40="","",IF(AD40="l","W",AD40))</f>
        <v/>
      </c>
      <c r="Z42" s="444" t="str">
        <f>IF(AC40="","",":")</f>
        <v/>
      </c>
      <c r="AA42" s="450" t="str">
        <f>IF(AD40="","",IF(AB40="W","L",AB40))</f>
        <v/>
      </c>
      <c r="AB42" s="1195"/>
      <c r="AC42" s="1181"/>
      <c r="AD42" s="1182"/>
      <c r="AE42" s="1198"/>
      <c r="AF42" s="1199"/>
      <c r="AG42" s="1201"/>
      <c r="AH42" s="1186"/>
    </row>
    <row r="43" spans="1:34" ht="12" customHeight="1" x14ac:dyDescent="0.25">
      <c r="A43" s="128"/>
      <c r="B43" s="128"/>
      <c r="C43" s="452"/>
      <c r="D43" s="128"/>
      <c r="E43" s="128"/>
      <c r="F43" s="128"/>
      <c r="G43" s="1204" t="s">
        <v>2703</v>
      </c>
      <c r="H43" s="1204"/>
      <c r="I43" s="1204"/>
      <c r="J43" s="1204"/>
      <c r="K43" s="1204"/>
      <c r="L43" s="1204"/>
      <c r="M43" s="1204"/>
      <c r="N43" s="1204"/>
      <c r="O43" s="1204"/>
      <c r="P43" s="1204"/>
      <c r="Q43" s="1204"/>
      <c r="R43" s="1204"/>
      <c r="S43" s="1204"/>
      <c r="T43" s="1204"/>
      <c r="U43" s="1204"/>
      <c r="V43" s="1204"/>
      <c r="W43" s="1204"/>
      <c r="X43" s="1204"/>
      <c r="Y43" s="1204"/>
      <c r="Z43" s="1204"/>
      <c r="AA43" s="1204"/>
      <c r="AB43" s="128"/>
      <c r="AC43" s="128"/>
      <c r="AD43" s="128"/>
      <c r="AE43" s="128"/>
      <c r="AF43" s="128"/>
      <c r="AG43" s="128"/>
      <c r="AH43" s="128"/>
    </row>
    <row r="44" spans="1:34" ht="12" customHeight="1" x14ac:dyDescent="0.2">
      <c r="A44" s="129" t="s">
        <v>3</v>
      </c>
      <c r="B44" s="130"/>
      <c r="C44" s="131" t="s">
        <v>757</v>
      </c>
      <c r="D44" s="1170">
        <v>1</v>
      </c>
      <c r="E44" s="1171"/>
      <c r="F44" s="1172"/>
      <c r="G44" s="1170">
        <v>2</v>
      </c>
      <c r="H44" s="1171"/>
      <c r="I44" s="1172"/>
      <c r="J44" s="1170">
        <v>3</v>
      </c>
      <c r="K44" s="1171"/>
      <c r="L44" s="1172"/>
      <c r="M44" s="1170">
        <v>4</v>
      </c>
      <c r="N44" s="1171"/>
      <c r="O44" s="1172"/>
      <c r="P44" s="1170">
        <v>5</v>
      </c>
      <c r="Q44" s="1171"/>
      <c r="R44" s="1172"/>
      <c r="S44" s="1170">
        <v>6</v>
      </c>
      <c r="T44" s="1171"/>
      <c r="U44" s="1172"/>
      <c r="V44" s="1170">
        <v>7</v>
      </c>
      <c r="W44" s="1171"/>
      <c r="X44" s="1172"/>
      <c r="Y44" s="1170">
        <v>8</v>
      </c>
      <c r="Z44" s="1171"/>
      <c r="AA44" s="1172"/>
      <c r="AB44" s="1170">
        <v>9</v>
      </c>
      <c r="AC44" s="1171"/>
      <c r="AD44" s="1172"/>
      <c r="AE44" s="1173" t="s">
        <v>758</v>
      </c>
      <c r="AF44" s="1174"/>
      <c r="AG44" s="439" t="s">
        <v>759</v>
      </c>
      <c r="AH44" s="440" t="s">
        <v>100</v>
      </c>
    </row>
    <row r="45" spans="1:34" ht="12" customHeight="1" x14ac:dyDescent="0.2">
      <c r="A45" s="1175">
        <v>1</v>
      </c>
      <c r="B45" s="1205">
        <v>36</v>
      </c>
      <c r="C45" s="441" t="str">
        <f>IF(B45="","",VLOOKUP(B45,'Списки участников'!A:H,3,FALSE))</f>
        <v>ТКАЧЕНКО Светлана</v>
      </c>
      <c r="D45" s="1179"/>
      <c r="E45" s="1179"/>
      <c r="F45" s="1180"/>
      <c r="G45" s="1183">
        <v>2</v>
      </c>
      <c r="H45" s="1184"/>
      <c r="I45" s="1185"/>
      <c r="J45" s="1183">
        <v>2</v>
      </c>
      <c r="K45" s="1184"/>
      <c r="L45" s="1185"/>
      <c r="M45" s="1183">
        <v>2</v>
      </c>
      <c r="N45" s="1184"/>
      <c r="O45" s="1185"/>
      <c r="P45" s="1183">
        <v>2</v>
      </c>
      <c r="Q45" s="1184"/>
      <c r="R45" s="1185"/>
      <c r="S45" s="1183">
        <v>2</v>
      </c>
      <c r="T45" s="1184"/>
      <c r="U45" s="1185"/>
      <c r="V45" s="1183"/>
      <c r="W45" s="1184"/>
      <c r="X45" s="1185"/>
      <c r="Y45" s="1183"/>
      <c r="Z45" s="1184"/>
      <c r="AA45" s="1185"/>
      <c r="AB45" s="1183"/>
      <c r="AC45" s="1184"/>
      <c r="AD45" s="1185"/>
      <c r="AE45" s="1196">
        <f>IF(B45="","",SUM(G45,J45,M45,P45,S45,V45,Y45,AB45,))</f>
        <v>10</v>
      </c>
      <c r="AF45" s="1197"/>
      <c r="AG45" s="1187"/>
      <c r="AH45" s="1186">
        <f>IF(B45="","",RANK(AE45,ГР3О))</f>
        <v>1</v>
      </c>
    </row>
    <row r="46" spans="1:34" ht="12" customHeight="1" x14ac:dyDescent="0.2">
      <c r="A46" s="1176"/>
      <c r="B46" s="1206"/>
      <c r="C46" s="442" t="str">
        <f>IF(B45="","",VLOOKUP(B45,'Списки участников'!A:H,6,FALSE))</f>
        <v>АО "ОКБМ"</v>
      </c>
      <c r="D46" s="1181"/>
      <c r="E46" s="1181"/>
      <c r="F46" s="1182"/>
      <c r="G46" s="443">
        <v>2</v>
      </c>
      <c r="H46" s="444" t="str">
        <f>IF(G45="","",":")</f>
        <v>:</v>
      </c>
      <c r="I46" s="445">
        <v>1</v>
      </c>
      <c r="J46" s="443">
        <v>2</v>
      </c>
      <c r="K46" s="444" t="str">
        <f>IF(J45="","",":")</f>
        <v>:</v>
      </c>
      <c r="L46" s="445">
        <v>0</v>
      </c>
      <c r="M46" s="443">
        <v>2</v>
      </c>
      <c r="N46" s="444" t="str">
        <f>IF(M46="","",":")</f>
        <v>:</v>
      </c>
      <c r="O46" s="445">
        <v>0</v>
      </c>
      <c r="P46" s="443">
        <v>2</v>
      </c>
      <c r="Q46" s="444" t="str">
        <f>IF(P46="","",":")</f>
        <v>:</v>
      </c>
      <c r="R46" s="445">
        <v>0</v>
      </c>
      <c r="S46" s="443">
        <v>2</v>
      </c>
      <c r="T46" s="444" t="str">
        <f>IF(S46="","",":")</f>
        <v>:</v>
      </c>
      <c r="U46" s="445">
        <v>0</v>
      </c>
      <c r="V46" s="443"/>
      <c r="W46" s="444" t="str">
        <f>IF(V46="","",":")</f>
        <v/>
      </c>
      <c r="X46" s="445"/>
      <c r="Y46" s="443"/>
      <c r="Z46" s="444" t="str">
        <f>IF(Y46="","",":")</f>
        <v/>
      </c>
      <c r="AA46" s="445"/>
      <c r="AB46" s="443"/>
      <c r="AC46" s="444" t="str">
        <f>IF(AB46="","",":")</f>
        <v/>
      </c>
      <c r="AD46" s="445"/>
      <c r="AE46" s="1198"/>
      <c r="AF46" s="1199"/>
      <c r="AG46" s="1188"/>
      <c r="AH46" s="1186"/>
    </row>
    <row r="47" spans="1:34" ht="12" customHeight="1" x14ac:dyDescent="0.2">
      <c r="A47" s="1175">
        <v>2</v>
      </c>
      <c r="B47" s="1205">
        <v>12</v>
      </c>
      <c r="C47" s="441" t="str">
        <f>IF(B47="","",VLOOKUP(B47,'Списки участников'!A:H,3,FALSE))</f>
        <v>АКИМОВА Марина</v>
      </c>
      <c r="D47" s="1189">
        <f>IF(G45="","",IF(G46="W",0,IF(G45=2,1,IF(G45=1,2,IF(G45=0,2)))))</f>
        <v>1</v>
      </c>
      <c r="E47" s="1190"/>
      <c r="F47" s="1191"/>
      <c r="G47" s="1192"/>
      <c r="H47" s="1193"/>
      <c r="I47" s="1194"/>
      <c r="J47" s="1183">
        <v>2</v>
      </c>
      <c r="K47" s="1184"/>
      <c r="L47" s="1185"/>
      <c r="M47" s="1183">
        <v>1</v>
      </c>
      <c r="N47" s="1184"/>
      <c r="O47" s="1185"/>
      <c r="P47" s="1183">
        <v>1</v>
      </c>
      <c r="Q47" s="1184"/>
      <c r="R47" s="1185"/>
      <c r="S47" s="1183">
        <v>2</v>
      </c>
      <c r="T47" s="1184"/>
      <c r="U47" s="1185"/>
      <c r="V47" s="1183"/>
      <c r="W47" s="1184"/>
      <c r="X47" s="1185"/>
      <c r="Y47" s="1183"/>
      <c r="Z47" s="1184"/>
      <c r="AA47" s="1185"/>
      <c r="AB47" s="1183"/>
      <c r="AC47" s="1184"/>
      <c r="AD47" s="1185"/>
      <c r="AE47" s="1196">
        <f>IF(B47="","",SUM(D47,J47,M47,P47,S47,V47,Y47,AB47,))</f>
        <v>7</v>
      </c>
      <c r="AF47" s="1197"/>
      <c r="AG47" s="1200">
        <v>0.94</v>
      </c>
      <c r="AH47" s="1186">
        <v>4</v>
      </c>
    </row>
    <row r="48" spans="1:34" ht="12" customHeight="1" x14ac:dyDescent="0.2">
      <c r="A48" s="1176"/>
      <c r="B48" s="1206"/>
      <c r="C48" s="442" t="str">
        <f>IF(B47="","",VLOOKUP(B47,'Списки участников'!A:H,6,FALSE))</f>
        <v>ОАО "НИАЭП"</v>
      </c>
      <c r="D48" s="446">
        <f>IF(G46="","",IF(I46="l","W",I46))</f>
        <v>1</v>
      </c>
      <c r="E48" s="447" t="str">
        <f>IF(G45="","",":")</f>
        <v>:</v>
      </c>
      <c r="F48" s="448">
        <f>IF(I46="","",IF(G46="W","L",G46))</f>
        <v>2</v>
      </c>
      <c r="G48" s="1195"/>
      <c r="H48" s="1181"/>
      <c r="I48" s="1182"/>
      <c r="J48" s="443">
        <v>2</v>
      </c>
      <c r="K48" s="444" t="str">
        <f>IF(J47="","",":")</f>
        <v>:</v>
      </c>
      <c r="L48" s="445">
        <v>0</v>
      </c>
      <c r="M48" s="443">
        <v>1</v>
      </c>
      <c r="N48" s="444" t="str">
        <f>IF(M47="","",":")</f>
        <v>:</v>
      </c>
      <c r="O48" s="445">
        <v>2</v>
      </c>
      <c r="P48" s="443">
        <v>0</v>
      </c>
      <c r="Q48" s="444" t="str">
        <f>IF(P47="","",":")</f>
        <v>:</v>
      </c>
      <c r="R48" s="445">
        <v>2</v>
      </c>
      <c r="S48" s="443">
        <v>2</v>
      </c>
      <c r="T48" s="444" t="str">
        <f>IF(S48="","",":")</f>
        <v>:</v>
      </c>
      <c r="U48" s="445">
        <v>0</v>
      </c>
      <c r="V48" s="443"/>
      <c r="W48" s="444" t="str">
        <f>IF(V48="","",":")</f>
        <v/>
      </c>
      <c r="X48" s="445"/>
      <c r="Y48" s="443"/>
      <c r="Z48" s="444" t="str">
        <f>IF(Y48="","",":")</f>
        <v/>
      </c>
      <c r="AA48" s="445"/>
      <c r="AB48" s="443"/>
      <c r="AC48" s="444" t="str">
        <f>IF(AB48="","",":")</f>
        <v/>
      </c>
      <c r="AD48" s="445"/>
      <c r="AE48" s="1198"/>
      <c r="AF48" s="1199"/>
      <c r="AG48" s="1201"/>
      <c r="AH48" s="1186"/>
    </row>
    <row r="49" spans="1:34" ht="12" customHeight="1" x14ac:dyDescent="0.2">
      <c r="A49" s="1175">
        <v>3</v>
      </c>
      <c r="B49" s="1205">
        <v>48</v>
      </c>
      <c r="C49" s="441" t="str">
        <f>IF(B49="","",VLOOKUP(B49,'Списки участников'!A:H,3,FALSE))</f>
        <v>КАЗАРИНА Светлана</v>
      </c>
      <c r="D49" s="1189">
        <f>IF(J45="","",IF(J46="W",0,IF(J45=2,1,IF(J45=1,2,IF(J45=0,2)))))</f>
        <v>1</v>
      </c>
      <c r="E49" s="1190"/>
      <c r="F49" s="1191"/>
      <c r="G49" s="1183">
        <f>IF(J47="","",IF(J48="W",0,IF(J47=2,1,IF(J47=1,2,IF(J47=0,2)))))</f>
        <v>1</v>
      </c>
      <c r="H49" s="1184"/>
      <c r="I49" s="1185"/>
      <c r="J49" s="1192"/>
      <c r="K49" s="1193"/>
      <c r="L49" s="1194"/>
      <c r="M49" s="1183">
        <v>1</v>
      </c>
      <c r="N49" s="1184"/>
      <c r="O49" s="1185"/>
      <c r="P49" s="1183">
        <v>2</v>
      </c>
      <c r="Q49" s="1184"/>
      <c r="R49" s="1185"/>
      <c r="S49" s="1183">
        <v>2</v>
      </c>
      <c r="T49" s="1184"/>
      <c r="U49" s="1185"/>
      <c r="V49" s="1183"/>
      <c r="W49" s="1184"/>
      <c r="X49" s="1185"/>
      <c r="Y49" s="1183"/>
      <c r="Z49" s="1184"/>
      <c r="AA49" s="1185"/>
      <c r="AB49" s="1183"/>
      <c r="AC49" s="1184"/>
      <c r="AD49" s="1185"/>
      <c r="AE49" s="1196">
        <f>IF(B49="","",SUM(G49,D49,M49,P49,S49,V49,Y49,AB49,))</f>
        <v>7</v>
      </c>
      <c r="AF49" s="1197"/>
      <c r="AG49" s="1200">
        <v>1.19</v>
      </c>
      <c r="AH49" s="1186">
        <v>3</v>
      </c>
    </row>
    <row r="50" spans="1:34" ht="12" customHeight="1" x14ac:dyDescent="0.2">
      <c r="A50" s="1176"/>
      <c r="B50" s="1206"/>
      <c r="C50" s="442" t="str">
        <f>IF(B49="","",VLOOKUP(B49,'Списки участников'!A:H,6,FALSE))</f>
        <v>ПАО НАЗ "СОКОЛ"</v>
      </c>
      <c r="D50" s="449">
        <f>IF(J46="","",IF(L46="l","W",L46))</f>
        <v>0</v>
      </c>
      <c r="E50" s="444" t="str">
        <f>IF(K46="","",":")</f>
        <v>:</v>
      </c>
      <c r="F50" s="450">
        <f>IF(L46="","",IF(J46="W","L",J46))</f>
        <v>2</v>
      </c>
      <c r="G50" s="449">
        <f>IF(J48="","",IF(L48="l","W",L48))</f>
        <v>0</v>
      </c>
      <c r="H50" s="444" t="str">
        <f>IF(K48="","",":")</f>
        <v>:</v>
      </c>
      <c r="I50" s="450">
        <f>IF(L48="","",IF(J48="W","L",J48))</f>
        <v>2</v>
      </c>
      <c r="J50" s="1195"/>
      <c r="K50" s="1181"/>
      <c r="L50" s="1182"/>
      <c r="M50" s="443">
        <v>0</v>
      </c>
      <c r="N50" s="444" t="str">
        <f>IF(M49="","",":")</f>
        <v>:</v>
      </c>
      <c r="O50" s="445">
        <v>2</v>
      </c>
      <c r="P50" s="443">
        <v>2</v>
      </c>
      <c r="Q50" s="444" t="str">
        <f>IF(P49="","",":")</f>
        <v>:</v>
      </c>
      <c r="R50" s="445">
        <v>0</v>
      </c>
      <c r="S50" s="443">
        <v>2</v>
      </c>
      <c r="T50" s="444" t="str">
        <f>IF(S49="","",":")</f>
        <v>:</v>
      </c>
      <c r="U50" s="445">
        <v>0</v>
      </c>
      <c r="V50" s="443"/>
      <c r="W50" s="444" t="str">
        <f>IF(V50="","",":")</f>
        <v/>
      </c>
      <c r="X50" s="445"/>
      <c r="Y50" s="443"/>
      <c r="Z50" s="444" t="str">
        <f>IF(Y50="","",":")</f>
        <v/>
      </c>
      <c r="AA50" s="445"/>
      <c r="AB50" s="443"/>
      <c r="AC50" s="444" t="str">
        <f>IF(AB50="","",":")</f>
        <v/>
      </c>
      <c r="AD50" s="445"/>
      <c r="AE50" s="1198"/>
      <c r="AF50" s="1199"/>
      <c r="AG50" s="1201"/>
      <c r="AH50" s="1186"/>
    </row>
    <row r="51" spans="1:34" ht="12" customHeight="1" x14ac:dyDescent="0.2">
      <c r="A51" s="1175">
        <v>4</v>
      </c>
      <c r="B51" s="1205">
        <v>32</v>
      </c>
      <c r="C51" s="441" t="str">
        <f>IF(B51="","",VLOOKUP(B51,'Списки участников'!A:H,3,FALSE))</f>
        <v>РОЖЕНКОВА Наталья</v>
      </c>
      <c r="D51" s="1183">
        <f>IF(M45="","",IF(M46="W",0,IF(M45=2,1,IF(M45=1,2,IF(M45=0,2)))))</f>
        <v>1</v>
      </c>
      <c r="E51" s="1184"/>
      <c r="F51" s="1185"/>
      <c r="G51" s="1183">
        <f>IF(M47="","",IF(M48="W",0,IF(M47=2,1,IF(M47=1,2,IF(M47=0,2)))))</f>
        <v>2</v>
      </c>
      <c r="H51" s="1184"/>
      <c r="I51" s="1185"/>
      <c r="J51" s="1183">
        <f>IF(M49="","",IF(M50="W",0,IF(M49=2,1,IF(M49=1,2,IF(M49=0,2)))))</f>
        <v>2</v>
      </c>
      <c r="K51" s="1184"/>
      <c r="L51" s="1185"/>
      <c r="M51" s="1193"/>
      <c r="N51" s="1193"/>
      <c r="O51" s="1193"/>
      <c r="P51" s="1183">
        <v>2</v>
      </c>
      <c r="Q51" s="1184"/>
      <c r="R51" s="1185"/>
      <c r="S51" s="1183">
        <v>2</v>
      </c>
      <c r="T51" s="1184"/>
      <c r="U51" s="1185"/>
      <c r="V51" s="1183"/>
      <c r="W51" s="1184"/>
      <c r="X51" s="1185"/>
      <c r="Y51" s="1183"/>
      <c r="Z51" s="1184"/>
      <c r="AA51" s="1185"/>
      <c r="AB51" s="1183"/>
      <c r="AC51" s="1184"/>
      <c r="AD51" s="1185"/>
      <c r="AE51" s="1196">
        <f>IF(B51="","",SUM(G51,J51,D51,P51,S51,V51,Y51,AB51,))</f>
        <v>9</v>
      </c>
      <c r="AF51" s="1197"/>
      <c r="AG51" s="1200"/>
      <c r="AH51" s="1186">
        <f>IF(B51="","",RANK(AE51,ГР3О))</f>
        <v>2</v>
      </c>
    </row>
    <row r="52" spans="1:34" ht="12" customHeight="1" x14ac:dyDescent="0.2">
      <c r="A52" s="1176"/>
      <c r="B52" s="1207"/>
      <c r="C52" s="442" t="str">
        <f>IF(B51="","",VLOOKUP(B51,'Списки участников'!A:H,6,FALSE))</f>
        <v>АО "НПП "Полет"</v>
      </c>
      <c r="D52" s="449">
        <f>IF(M46="","",IF(O46="l","W",O46))</f>
        <v>0</v>
      </c>
      <c r="E52" s="444" t="str">
        <f>IF(N46="","",":")</f>
        <v>:</v>
      </c>
      <c r="F52" s="450">
        <f>IF(O46="","",IF(M46="W","L",M46))</f>
        <v>2</v>
      </c>
      <c r="G52" s="449">
        <f>IF(M48="","",IF(O48="l","W",O48))</f>
        <v>2</v>
      </c>
      <c r="H52" s="444" t="str">
        <f>IF(N48="","",":")</f>
        <v>:</v>
      </c>
      <c r="I52" s="450">
        <f>IF(O48="","",IF(M48="W","L",M48))</f>
        <v>1</v>
      </c>
      <c r="J52" s="449">
        <f>IF(M50="","",IF(O50="l","W",O50))</f>
        <v>2</v>
      </c>
      <c r="K52" s="444" t="str">
        <f>IF(N50="","",":")</f>
        <v>:</v>
      </c>
      <c r="L52" s="450">
        <f>IF(O50="","",IF(M50="W","L",M50))</f>
        <v>0</v>
      </c>
      <c r="M52" s="1202"/>
      <c r="N52" s="1202"/>
      <c r="O52" s="1202"/>
      <c r="P52" s="443">
        <v>2</v>
      </c>
      <c r="Q52" s="444" t="str">
        <f>IF(P51="","",":")</f>
        <v>:</v>
      </c>
      <c r="R52" s="445">
        <v>0</v>
      </c>
      <c r="S52" s="443">
        <v>2</v>
      </c>
      <c r="T52" s="444" t="str">
        <f>IF(S51="","",":")</f>
        <v>:</v>
      </c>
      <c r="U52" s="445">
        <v>0</v>
      </c>
      <c r="V52" s="443"/>
      <c r="W52" s="444" t="str">
        <f>IF(V51="","",":")</f>
        <v/>
      </c>
      <c r="X52" s="445"/>
      <c r="Y52" s="443"/>
      <c r="Z52" s="444" t="str">
        <f>IF(Y52="","",":")</f>
        <v/>
      </c>
      <c r="AA52" s="445"/>
      <c r="AB52" s="443"/>
      <c r="AC52" s="444" t="str">
        <f>IF(AB52="","",":")</f>
        <v/>
      </c>
      <c r="AD52" s="445"/>
      <c r="AE52" s="1198"/>
      <c r="AF52" s="1199"/>
      <c r="AG52" s="1201"/>
      <c r="AH52" s="1186"/>
    </row>
    <row r="53" spans="1:34" ht="12" customHeight="1" x14ac:dyDescent="0.2">
      <c r="A53" s="1175">
        <v>5</v>
      </c>
      <c r="B53" s="1205">
        <v>40</v>
      </c>
      <c r="C53" s="441" t="str">
        <f>IF(B53="","",VLOOKUP(B53,'Списки участников'!A:H,3,FALSE))</f>
        <v>МАНЗЕНКОВА Наталья</v>
      </c>
      <c r="D53" s="1183">
        <f>IF(P45="","",IF(P46="W",0,IF(P45=2,1,IF(P45=1,2,IF(P45=0,2)))))</f>
        <v>1</v>
      </c>
      <c r="E53" s="1184"/>
      <c r="F53" s="1185"/>
      <c r="G53" s="1183">
        <f>IF(P47="","",IF(P48="W",0,IF(P47=2,1,IF(P47=1,2,IF(P47=0,2)))))</f>
        <v>2</v>
      </c>
      <c r="H53" s="1184"/>
      <c r="I53" s="1185"/>
      <c r="J53" s="1183">
        <f>IF(P49="","",IF(P50="W",0,IF(P49=2,1,IF(P49=1,2,IF(P49=0,2)))))</f>
        <v>1</v>
      </c>
      <c r="K53" s="1184"/>
      <c r="L53" s="1185"/>
      <c r="M53" s="1183">
        <f>IF(P51="","",IF(P52="W",0,IF(P51=2,1,IF(P51=1,2,IF(P51=0,2)))))</f>
        <v>1</v>
      </c>
      <c r="N53" s="1184"/>
      <c r="O53" s="1185"/>
      <c r="P53" s="1192"/>
      <c r="Q53" s="1193"/>
      <c r="R53" s="1194"/>
      <c r="S53" s="1183">
        <v>2</v>
      </c>
      <c r="T53" s="1184"/>
      <c r="U53" s="1185"/>
      <c r="V53" s="1183"/>
      <c r="W53" s="1184"/>
      <c r="X53" s="1185"/>
      <c r="Y53" s="1183"/>
      <c r="Z53" s="1184"/>
      <c r="AA53" s="1185"/>
      <c r="AB53" s="1183"/>
      <c r="AC53" s="1184"/>
      <c r="AD53" s="1185"/>
      <c r="AE53" s="1196">
        <f>IF(B53="","",SUM(G53,J53,M53,D53,S53,V53,Y53,AB53,))</f>
        <v>7</v>
      </c>
      <c r="AF53" s="1197"/>
      <c r="AG53" s="1200">
        <v>0.87</v>
      </c>
      <c r="AH53" s="1186">
        <v>5</v>
      </c>
    </row>
    <row r="54" spans="1:34" ht="12" customHeight="1" x14ac:dyDescent="0.2">
      <c r="A54" s="1176"/>
      <c r="B54" s="1207"/>
      <c r="C54" s="442" t="str">
        <f>IF(B53="","",VLOOKUP(B53,'Списки участников'!A:H,6,FALSE))</f>
        <v>"ГЖД"</v>
      </c>
      <c r="D54" s="449">
        <f>IF(P46="","",IF(R46="l","W",R46))</f>
        <v>0</v>
      </c>
      <c r="E54" s="444" t="str">
        <f>IF(Q46="","",":")</f>
        <v>:</v>
      </c>
      <c r="F54" s="450">
        <f>IF(R46="","",IF(P46="W","L",P46))</f>
        <v>2</v>
      </c>
      <c r="G54" s="449">
        <f>IF(P48="","",IF(R48="l","W",R48))</f>
        <v>2</v>
      </c>
      <c r="H54" s="444" t="str">
        <f>IF(Q48="","",":")</f>
        <v>:</v>
      </c>
      <c r="I54" s="450">
        <f>IF(R48="","",IF(P48="W","L",P48))</f>
        <v>0</v>
      </c>
      <c r="J54" s="449">
        <f>IF(P50="","",IF(R50="l","W",R50))</f>
        <v>0</v>
      </c>
      <c r="K54" s="444" t="str">
        <f>IF(Q50="","",":")</f>
        <v>:</v>
      </c>
      <c r="L54" s="450">
        <f>IF(R50="","",IF(P50="W","L",P50))</f>
        <v>2</v>
      </c>
      <c r="M54" s="449">
        <f>IF(P52="","",IF(R52="l","W",R52))</f>
        <v>0</v>
      </c>
      <c r="N54" s="444" t="str">
        <f>IF(Q52="","",":")</f>
        <v>:</v>
      </c>
      <c r="O54" s="450">
        <f>IF(R52="","",IF(P52="W","L",P52))</f>
        <v>2</v>
      </c>
      <c r="P54" s="1195"/>
      <c r="Q54" s="1181"/>
      <c r="R54" s="1182"/>
      <c r="S54" s="443">
        <v>2</v>
      </c>
      <c r="T54" s="444" t="str">
        <f>IF(S53="","",":")</f>
        <v>:</v>
      </c>
      <c r="U54" s="445">
        <v>1</v>
      </c>
      <c r="V54" s="443"/>
      <c r="W54" s="444" t="str">
        <f>IF(V53="","",":")</f>
        <v/>
      </c>
      <c r="X54" s="445"/>
      <c r="Y54" s="443"/>
      <c r="Z54" s="444" t="str">
        <f>IF(Y53="","",":")</f>
        <v/>
      </c>
      <c r="AA54" s="445"/>
      <c r="AB54" s="443"/>
      <c r="AC54" s="444" t="str">
        <f>IF(AB54="","",":")</f>
        <v/>
      </c>
      <c r="AD54" s="445"/>
      <c r="AE54" s="1198"/>
      <c r="AF54" s="1199"/>
      <c r="AG54" s="1201"/>
      <c r="AH54" s="1186"/>
    </row>
    <row r="55" spans="1:34" ht="12" customHeight="1" x14ac:dyDescent="0.2">
      <c r="A55" s="1175">
        <v>6</v>
      </c>
      <c r="B55" s="1208">
        <v>28</v>
      </c>
      <c r="C55" s="441" t="str">
        <f>IF(B55="","",VLOOKUP(B55,'Списки участников'!A:H,3,FALSE))</f>
        <v>КОТОВА Наталья</v>
      </c>
      <c r="D55" s="1183">
        <f>IF(S45="","",IF(S46="W",0,IF(S45=2,1,IF(S45=1,2,IF(S45=0,2)))))</f>
        <v>1</v>
      </c>
      <c r="E55" s="1184"/>
      <c r="F55" s="1185"/>
      <c r="G55" s="1183">
        <f>IF(S47="","",IF(S48="W",0,IF(S47=2,1,IF(S47=1,2,IF(S47=0,2)))))</f>
        <v>1</v>
      </c>
      <c r="H55" s="1184"/>
      <c r="I55" s="1185"/>
      <c r="J55" s="1183">
        <f>IF(S49="","",IF(S50="W",0,IF(S49=2,1,IF(S49=1,2,IF(S49=0,2)))))</f>
        <v>1</v>
      </c>
      <c r="K55" s="1184"/>
      <c r="L55" s="1185"/>
      <c r="M55" s="1183">
        <f>IF(S51="","",IF(S52="W",0,IF(S51=2,1,IF(S51=1,2,IF(S51=0,2)))))</f>
        <v>1</v>
      </c>
      <c r="N55" s="1184"/>
      <c r="O55" s="1185"/>
      <c r="P55" s="1183">
        <f>IF(S53="","",IF(S54="W",0,IF(S53=2,1,IF(S53=1,2,IF(S53=0,2)))))</f>
        <v>1</v>
      </c>
      <c r="Q55" s="1184"/>
      <c r="R55" s="1185"/>
      <c r="S55" s="1192"/>
      <c r="T55" s="1193"/>
      <c r="U55" s="1194"/>
      <c r="V55" s="1183"/>
      <c r="W55" s="1184"/>
      <c r="X55" s="1185"/>
      <c r="Y55" s="1183"/>
      <c r="Z55" s="1184"/>
      <c r="AA55" s="1185"/>
      <c r="AB55" s="1183"/>
      <c r="AC55" s="1184"/>
      <c r="AD55" s="1185"/>
      <c r="AE55" s="1196">
        <f>IF(B55="","",SUM(G55,J55,M55,P55,D55,V55,Y55,AB55,))</f>
        <v>5</v>
      </c>
      <c r="AF55" s="1197"/>
      <c r="AG55" s="1200"/>
      <c r="AH55" s="1186">
        <f>IF(B55="","",RANK(AE55,ГР3О))</f>
        <v>6</v>
      </c>
    </row>
    <row r="56" spans="1:34" ht="12" customHeight="1" x14ac:dyDescent="0.2">
      <c r="A56" s="1176"/>
      <c r="B56" s="1209"/>
      <c r="C56" s="442" t="str">
        <f>IF(B55="","",VLOOKUP(B55,'Списки участников'!A:H,6,FALSE))</f>
        <v>"КРАСНОЕ СОРМОВО"</v>
      </c>
      <c r="D56" s="449">
        <f>IF(S46="","",IF(U46="l","W",U46))</f>
        <v>0</v>
      </c>
      <c r="E56" s="444" t="str">
        <f>IF(T46="","",":")</f>
        <v>:</v>
      </c>
      <c r="F56" s="450">
        <f>IF(U46="","",IF(S46="W","L",S46))</f>
        <v>2</v>
      </c>
      <c r="G56" s="449">
        <f>IF(S48="","",IF(U48="l","W",U48))</f>
        <v>0</v>
      </c>
      <c r="H56" s="444" t="str">
        <f>IF(Q48="","",":")</f>
        <v>:</v>
      </c>
      <c r="I56" s="450">
        <f>IF(U48="","",IF(S48="W","L",S48))</f>
        <v>2</v>
      </c>
      <c r="J56" s="449">
        <f>IF(S50="","",IF(U50="l","W",U50))</f>
        <v>0</v>
      </c>
      <c r="K56" s="444" t="str">
        <f>IF(T50="","",":")</f>
        <v>:</v>
      </c>
      <c r="L56" s="450">
        <f>IF(U50="","",IF(S50="W","L",S50))</f>
        <v>2</v>
      </c>
      <c r="M56" s="449">
        <f>IF(S52="","",IF(U52="l","W",U52))</f>
        <v>0</v>
      </c>
      <c r="N56" s="444" t="str">
        <f>IF(T52="","",":")</f>
        <v>:</v>
      </c>
      <c r="O56" s="450">
        <f>IF(U52="","",IF(S52="W","L",S52))</f>
        <v>2</v>
      </c>
      <c r="P56" s="449">
        <f>IF(S54="","",IF(U54="l","W",U54))</f>
        <v>1</v>
      </c>
      <c r="Q56" s="444" t="str">
        <f>IF(T54="","",":")</f>
        <v>:</v>
      </c>
      <c r="R56" s="450">
        <f>IF(U54="","",IF(S54="W","L",S54))</f>
        <v>2</v>
      </c>
      <c r="S56" s="1195"/>
      <c r="T56" s="1181"/>
      <c r="U56" s="1182"/>
      <c r="V56" s="443"/>
      <c r="W56" s="444" t="str">
        <f>IF(V55="","",":")</f>
        <v/>
      </c>
      <c r="X56" s="445"/>
      <c r="Y56" s="443"/>
      <c r="Z56" s="444" t="str">
        <f>IF(Y55="","",":")</f>
        <v/>
      </c>
      <c r="AA56" s="445"/>
      <c r="AB56" s="443"/>
      <c r="AC56" s="444" t="str">
        <f>IF(AB55="","",":")</f>
        <v/>
      </c>
      <c r="AD56" s="445"/>
      <c r="AE56" s="1198"/>
      <c r="AF56" s="1199"/>
      <c r="AG56" s="1201"/>
      <c r="AH56" s="1186"/>
    </row>
    <row r="57" spans="1:34" ht="12" hidden="1" customHeight="1" x14ac:dyDescent="0.2">
      <c r="A57" s="1175">
        <v>7</v>
      </c>
      <c r="B57" s="1208"/>
      <c r="C57" s="441" t="str">
        <f>IF(B57="","",VLOOKUP(B57,'Списки участников'!A:H,3,FALSE))</f>
        <v/>
      </c>
      <c r="D57" s="1183" t="str">
        <f>IF(V45="","",IF(V46="W",0,IF(V45=2,1,IF(V45=1,2,IF(V45=0,2)))))</f>
        <v/>
      </c>
      <c r="E57" s="1184"/>
      <c r="F57" s="1185"/>
      <c r="G57" s="1183" t="str">
        <f>IF(V47="","",IF(V48="W",0,IF(V47=2,1,IF(V47=1,2,IF(V47=0,2)))))</f>
        <v/>
      </c>
      <c r="H57" s="1184"/>
      <c r="I57" s="1185"/>
      <c r="J57" s="1183" t="str">
        <f>IF(V49="","",IF(V50="W",0,IF(V49=2,1,IF(V49=1,2,IF(V49=0,2)))))</f>
        <v/>
      </c>
      <c r="K57" s="1184"/>
      <c r="L57" s="1185"/>
      <c r="M57" s="1183" t="str">
        <f>IF(V51="","",IF(V52="W",0,IF(V51=2,1,IF(V51=1,2,IF(V51=0,2)))))</f>
        <v/>
      </c>
      <c r="N57" s="1184"/>
      <c r="O57" s="1185"/>
      <c r="P57" s="1183" t="str">
        <f>IF(V53="","",IF(V54="W",0,IF(V53=2,1,IF(V53=1,2,IF(V53=0,2)))))</f>
        <v/>
      </c>
      <c r="Q57" s="1184"/>
      <c r="R57" s="1185"/>
      <c r="S57" s="1183" t="str">
        <f>IF(V55="","",IF(V56="W",0,IF(V55=2,1,IF(V55=1,2,IF(V55=0,2)))))</f>
        <v/>
      </c>
      <c r="T57" s="1184"/>
      <c r="U57" s="1185"/>
      <c r="V57" s="1203"/>
      <c r="W57" s="1179"/>
      <c r="X57" s="1180"/>
      <c r="Y57" s="1183"/>
      <c r="Z57" s="1184"/>
      <c r="AA57" s="1185"/>
      <c r="AB57" s="1183"/>
      <c r="AC57" s="1184"/>
      <c r="AD57" s="1185"/>
      <c r="AE57" s="1196" t="str">
        <f>IF(B57="","",SUM(G57,J57,M57,P57,S57,D57,Y57,AB57,))</f>
        <v/>
      </c>
      <c r="AF57" s="1197"/>
      <c r="AG57" s="1200"/>
      <c r="AH57" s="1186" t="str">
        <f>IF(B57="","",RANK(AE57,ГР3О))</f>
        <v/>
      </c>
    </row>
    <row r="58" spans="1:34" ht="12" hidden="1" customHeight="1" x14ac:dyDescent="0.2">
      <c r="A58" s="1176"/>
      <c r="B58" s="1209"/>
      <c r="C58" s="442" t="str">
        <f>IF(B57="","",VLOOKUP(B57,'Списки участников'!A:H,6,FALSE))</f>
        <v/>
      </c>
      <c r="D58" s="449" t="str">
        <f>IF(V46="","",IF(X46="l","W",X46))</f>
        <v/>
      </c>
      <c r="E58" s="444" t="str">
        <f>IF(W46="","",":")</f>
        <v/>
      </c>
      <c r="F58" s="450" t="str">
        <f>IF(X46="","",IF(V46="W","L",V46))</f>
        <v/>
      </c>
      <c r="G58" s="449" t="str">
        <f>IF(V48="","",IF(X48="l","W",X48))</f>
        <v/>
      </c>
      <c r="H58" s="444" t="str">
        <f>IF(W48="","",":")</f>
        <v/>
      </c>
      <c r="I58" s="450" t="str">
        <f>IF(X48="","",IF(V48="W","L",V48))</f>
        <v/>
      </c>
      <c r="J58" s="449" t="str">
        <f>IF(V50="","",IF(X50="l","W",X50))</f>
        <v/>
      </c>
      <c r="K58" s="444" t="str">
        <f>IF(W50="","",":")</f>
        <v/>
      </c>
      <c r="L58" s="450" t="str">
        <f>IF(X50="","",IF(V50="W","L",V50))</f>
        <v/>
      </c>
      <c r="M58" s="449" t="str">
        <f>IF(V52="","",IF(X52="l","W",X52))</f>
        <v/>
      </c>
      <c r="N58" s="444" t="str">
        <f>IF(W52="","",":")</f>
        <v/>
      </c>
      <c r="O58" s="450" t="str">
        <f>IF(X52="","",IF(V52="W","L",V52))</f>
        <v/>
      </c>
      <c r="P58" s="449" t="str">
        <f>IF(V54="","",IF(X54="l","W",X54))</f>
        <v/>
      </c>
      <c r="Q58" s="444" t="str">
        <f>IF(W54="","",":")</f>
        <v/>
      </c>
      <c r="R58" s="450" t="str">
        <f>IF(X54="","",IF(V54="W","L",V54))</f>
        <v/>
      </c>
      <c r="S58" s="449" t="str">
        <f>IF(V56="","",IF(X56="l","W",X56))</f>
        <v/>
      </c>
      <c r="T58" s="444" t="str">
        <f>IF(W56="","",":")</f>
        <v/>
      </c>
      <c r="U58" s="450" t="str">
        <f>IF(X56="","",IF(V56="W","L",V56))</f>
        <v/>
      </c>
      <c r="V58" s="1195"/>
      <c r="W58" s="1181"/>
      <c r="X58" s="1182"/>
      <c r="Y58" s="443"/>
      <c r="Z58" s="444" t="str">
        <f>IF(Y57="","",":")</f>
        <v/>
      </c>
      <c r="AA58" s="445"/>
      <c r="AB58" s="443"/>
      <c r="AC58" s="444" t="str">
        <f>IF(AB57="","",":")</f>
        <v/>
      </c>
      <c r="AD58" s="445"/>
      <c r="AE58" s="1198"/>
      <c r="AF58" s="1199"/>
      <c r="AG58" s="1201"/>
      <c r="AH58" s="1186"/>
    </row>
    <row r="59" spans="1:34" ht="12" hidden="1" customHeight="1" x14ac:dyDescent="0.2">
      <c r="A59" s="1175">
        <v>8</v>
      </c>
      <c r="B59" s="1208"/>
      <c r="C59" s="441" t="str">
        <f>IF(B59="","",VLOOKUP(B59,'Списки участников'!A:H,3,FALSE))</f>
        <v/>
      </c>
      <c r="D59" s="1183" t="str">
        <f>IF(Y45="","",IF(Y46="W",0,IF(Y45=2,1,IF(Y45=1,2,IF(Y45=0,2)))))</f>
        <v/>
      </c>
      <c r="E59" s="1184"/>
      <c r="F59" s="1185"/>
      <c r="G59" s="1183" t="str">
        <f>IF(Y47="","",IF(Y48="W",0,IF(Y47=2,1,IF(Y47=1,2,IF(Y47=0,2)))))</f>
        <v/>
      </c>
      <c r="H59" s="1184"/>
      <c r="I59" s="1185"/>
      <c r="J59" s="1183" t="str">
        <f>IF(Y49="","",IF(Y50="W",0,IF(Y49=2,1,IF(Y49=1,2,IF(Y49=0,2)))))</f>
        <v/>
      </c>
      <c r="K59" s="1184"/>
      <c r="L59" s="1185"/>
      <c r="M59" s="1183" t="str">
        <f>IF(Y51="","",IF(Y52="W",0,IF(Y51=2,1,IF(Y51=1,2,IF(Y51=0,2)))))</f>
        <v/>
      </c>
      <c r="N59" s="1184"/>
      <c r="O59" s="1185"/>
      <c r="P59" s="1183" t="str">
        <f>IF(Y53="","",IF(Y54="W",0,IF(Y53=2,1,IF(Y53=1,2,IF(Y53=0,2)))))</f>
        <v/>
      </c>
      <c r="Q59" s="1184"/>
      <c r="R59" s="1185"/>
      <c r="S59" s="1183" t="str">
        <f>IF(Y55="","",IF(Y56="W",0,IF(Y55=2,1,IF(Y55=1,2,IF(Y55=0,2)))))</f>
        <v/>
      </c>
      <c r="T59" s="1184"/>
      <c r="U59" s="1185"/>
      <c r="V59" s="1183" t="str">
        <f>IF(Y57="","",IF(Y58="W",0,IF(Y57=2,1,IF(Y57=1,2,IF(Y57=0,2)))))</f>
        <v/>
      </c>
      <c r="W59" s="1184"/>
      <c r="X59" s="1185"/>
      <c r="Y59" s="1192"/>
      <c r="Z59" s="1193"/>
      <c r="AA59" s="1194"/>
      <c r="AB59" s="1183"/>
      <c r="AC59" s="1184"/>
      <c r="AD59" s="1185"/>
      <c r="AE59" s="1196" t="str">
        <f>IF(B59="","",SUM(G59,J59,M59,P59,S59,V59,D59,AB59,))</f>
        <v/>
      </c>
      <c r="AF59" s="1197"/>
      <c r="AG59" s="1200"/>
      <c r="AH59" s="1186" t="str">
        <f>IF(B59="","",RANK(AE59,ГР3О))</f>
        <v/>
      </c>
    </row>
    <row r="60" spans="1:34" ht="12" hidden="1" customHeight="1" x14ac:dyDescent="0.2">
      <c r="A60" s="1176"/>
      <c r="B60" s="1209"/>
      <c r="C60" s="442" t="str">
        <f>IF(B59="","",VLOOKUP(B59,'Списки участников'!A:H,6,FALSE))</f>
        <v/>
      </c>
      <c r="D60" s="449" t="str">
        <f>IF(Y46="","",IF(AA46="l","W",AA46))</f>
        <v/>
      </c>
      <c r="E60" s="444" t="str">
        <f>IF(Z46="","",":")</f>
        <v/>
      </c>
      <c r="F60" s="450" t="str">
        <f>IF(AA46="","",IF(Y46="W","L",Y46))</f>
        <v/>
      </c>
      <c r="G60" s="449" t="str">
        <f>IF(Y48="","",IF(AA48="l","W",AA48))</f>
        <v/>
      </c>
      <c r="H60" s="444" t="str">
        <f>IF(Z48="","",":")</f>
        <v/>
      </c>
      <c r="I60" s="450" t="str">
        <f>IF(AA48="","",IF(Y48="W","L",Y48))</f>
        <v/>
      </c>
      <c r="J60" s="449" t="str">
        <f>IF(Y50="","",IF(AA50="l","W",AA50))</f>
        <v/>
      </c>
      <c r="K60" s="444" t="str">
        <f>IF(Z50="","",":")</f>
        <v/>
      </c>
      <c r="L60" s="450" t="str">
        <f>IF(AA50="","",IF(Y50="W","L",Y50))</f>
        <v/>
      </c>
      <c r="M60" s="449" t="str">
        <f>IF(Y52="","",IF(AA52="l","W",AA52))</f>
        <v/>
      </c>
      <c r="N60" s="444" t="str">
        <f>IF(Z52="","",":")</f>
        <v/>
      </c>
      <c r="O60" s="450" t="str">
        <f>IF(AA52="","",IF(Y52="W","L",Y52))</f>
        <v/>
      </c>
      <c r="P60" s="449" t="str">
        <f>IF(Y54="","",IF(AA54="l","W",AA54))</f>
        <v/>
      </c>
      <c r="Q60" s="444" t="str">
        <f>IF(Z54="","",":")</f>
        <v/>
      </c>
      <c r="R60" s="450" t="str">
        <f>IF(AA54="","",IF(Y54="W","L",Y54))</f>
        <v/>
      </c>
      <c r="S60" s="449" t="str">
        <f>IF(Y56="","",IF(AA56="l","W",AA56))</f>
        <v/>
      </c>
      <c r="T60" s="444" t="str">
        <f>IF(Z56="","",":")</f>
        <v/>
      </c>
      <c r="U60" s="450" t="str">
        <f>IF(AA56="","",IF(Y56="W","L",Y56))</f>
        <v/>
      </c>
      <c r="V60" s="449" t="str">
        <f>IF(Y58="","",IF(AA58="l","W",AA58))</f>
        <v/>
      </c>
      <c r="W60" s="444" t="str">
        <f>IF(Z58="","",":")</f>
        <v/>
      </c>
      <c r="X60" s="450" t="str">
        <f>IF(AA58="","",IF(Y58="W","L",Y58))</f>
        <v/>
      </c>
      <c r="Y60" s="1195"/>
      <c r="Z60" s="1181"/>
      <c r="AA60" s="1182"/>
      <c r="AB60" s="443"/>
      <c r="AC60" s="444" t="str">
        <f>IF(AB59="","",":")</f>
        <v/>
      </c>
      <c r="AD60" s="445"/>
      <c r="AE60" s="1198"/>
      <c r="AF60" s="1199"/>
      <c r="AG60" s="1201"/>
      <c r="AH60" s="1186"/>
    </row>
    <row r="61" spans="1:34" ht="12" hidden="1" customHeight="1" x14ac:dyDescent="0.2">
      <c r="A61" s="1175">
        <v>9</v>
      </c>
      <c r="B61" s="1177"/>
      <c r="C61" s="441" t="str">
        <f>IF(B61="","",VLOOKUP(B61,'Списки участников'!A:H,3,FALSE))</f>
        <v/>
      </c>
      <c r="D61" s="1183" t="str">
        <f>IF(AB45="","",IF(AB46="W",0,IF(AB45=2,1,IF(AB45=1,2,IF(AB45=0,2)))))</f>
        <v/>
      </c>
      <c r="E61" s="1184"/>
      <c r="F61" s="1185"/>
      <c r="G61" s="1183" t="str">
        <f>IF(AB47="","",IF(AB48="W",0,IF(AB47=2,1,IF(AB47=1,2,IF(AB47=0,2)))))</f>
        <v/>
      </c>
      <c r="H61" s="1184"/>
      <c r="I61" s="1185"/>
      <c r="J61" s="1183" t="str">
        <f>IF(AB49="","",IF(AB50="W",0,IF(AB49=2,1,IF(AB49=1,2,IF(AB49=0,2)))))</f>
        <v/>
      </c>
      <c r="K61" s="1184"/>
      <c r="L61" s="1185"/>
      <c r="M61" s="1183" t="str">
        <f>IF(AB51="","",IF(AB52="W",0,IF(AB51=2,1,IF(AB51=1,2,IF(AB51=0,2)))))</f>
        <v/>
      </c>
      <c r="N61" s="1184"/>
      <c r="O61" s="1185"/>
      <c r="P61" s="1183" t="str">
        <f>IF(AB53="","",IF(AB54="W",0,IF(AB53=2,1,IF(AB53=1,2,IF(AB53=0,2)))))</f>
        <v/>
      </c>
      <c r="Q61" s="1184"/>
      <c r="R61" s="1185"/>
      <c r="S61" s="1183" t="str">
        <f>IF(AB55="","",IF(AB56="W",0,IF(AB55=2,1,IF(AB55=1,2,IF(AB55=0,2)))))</f>
        <v/>
      </c>
      <c r="T61" s="1184"/>
      <c r="U61" s="1185"/>
      <c r="V61" s="1183" t="str">
        <f>IF(AB57="","",IF(AB58="W",0,IF(AB57=2,1,IF(AB57=1,2,IF(AB57=0,2)))))</f>
        <v/>
      </c>
      <c r="W61" s="1184"/>
      <c r="X61" s="1185"/>
      <c r="Y61" s="1183" t="str">
        <f>IF(AB59="","",IF(AB60="W",0,IF(AB59=2,1,IF(AB59=1,2,IF(AB59=0,2)))))</f>
        <v/>
      </c>
      <c r="Z61" s="1184"/>
      <c r="AA61" s="1185"/>
      <c r="AB61" s="1203"/>
      <c r="AC61" s="1179"/>
      <c r="AD61" s="1180"/>
      <c r="AE61" s="1196" t="str">
        <f>IF(B61="","",SUM(G61,J61,M61,P61,S61,V61,Y61,D61,))</f>
        <v/>
      </c>
      <c r="AF61" s="1197"/>
      <c r="AG61" s="1200"/>
      <c r="AH61" s="1186" t="str">
        <f>IF(B61="","",RANK(AE61,ГР3О))</f>
        <v/>
      </c>
    </row>
    <row r="62" spans="1:34" ht="12" hidden="1" customHeight="1" x14ac:dyDescent="0.2">
      <c r="A62" s="1176"/>
      <c r="B62" s="1178"/>
      <c r="C62" s="442" t="str">
        <f>IF(B61="","",VLOOKUP(B61,'Списки участников'!A:H,6,FALSE))</f>
        <v/>
      </c>
      <c r="D62" s="449" t="str">
        <f>IF(AB46="","",IF(AD46="l","W",AD46))</f>
        <v/>
      </c>
      <c r="E62" s="444" t="str">
        <f>IF(AC46="","",":")</f>
        <v/>
      </c>
      <c r="F62" s="450" t="str">
        <f>IF(AD46="","",IF(AB46="W","L",AB46))</f>
        <v/>
      </c>
      <c r="G62" s="449" t="str">
        <f>IF(AB48="","",IF(AD48="l","W",AD48))</f>
        <v/>
      </c>
      <c r="H62" s="444" t="str">
        <f>IF(AC48="","",":")</f>
        <v/>
      </c>
      <c r="I62" s="450" t="str">
        <f>IF(AD48="","",IF(AB48="W","L",AB48))</f>
        <v/>
      </c>
      <c r="J62" s="449" t="str">
        <f>IF(AB50="","",IF(AD50="l","W",AD50))</f>
        <v/>
      </c>
      <c r="K62" s="444" t="str">
        <f>IF(AC50="","",":")</f>
        <v/>
      </c>
      <c r="L62" s="450" t="str">
        <f>IF(AD50="","",IF(AB50="W","L",AB50))</f>
        <v/>
      </c>
      <c r="M62" s="449" t="str">
        <f>IF(AB52="","",IF(AD52="l","W",AD52))</f>
        <v/>
      </c>
      <c r="N62" s="444" t="str">
        <f>IF(AC52="","",":")</f>
        <v/>
      </c>
      <c r="O62" s="450" t="str">
        <f>IF(AD52="","",IF(AB52="W","L",AB52))</f>
        <v/>
      </c>
      <c r="P62" s="449" t="str">
        <f>IF(AB54="","",IF(AD54="l","W",AD54))</f>
        <v/>
      </c>
      <c r="Q62" s="444" t="str">
        <f>IF(AC54="","",":")</f>
        <v/>
      </c>
      <c r="R62" s="450" t="str">
        <f>IF(AD54="","",IF(AB54="W","L",AB54))</f>
        <v/>
      </c>
      <c r="S62" s="449" t="str">
        <f>IF(AB56="","",IF(AD56="l","W",AD56))</f>
        <v/>
      </c>
      <c r="T62" s="444" t="str">
        <f>IF(AC56="","",":")</f>
        <v/>
      </c>
      <c r="U62" s="450" t="str">
        <f>IF(AD56="","",IF(AB56="W","L",AB56))</f>
        <v/>
      </c>
      <c r="V62" s="449" t="str">
        <f>IF(AB58="","",IF(AD58="l","W",AD58))</f>
        <v/>
      </c>
      <c r="W62" s="444" t="str">
        <f>IF(AC58="","",":")</f>
        <v/>
      </c>
      <c r="X62" s="450" t="str">
        <f>IF(AD58="","",IF(AB58="W","L",AB58))</f>
        <v/>
      </c>
      <c r="Y62" s="449" t="str">
        <f>IF(AB60="","",IF(AD60="l","W",AD60))</f>
        <v/>
      </c>
      <c r="Z62" s="444" t="str">
        <f>IF(AC60="","",":")</f>
        <v/>
      </c>
      <c r="AA62" s="450" t="str">
        <f>IF(AD60="","",IF(AB60="W","L",AB60))</f>
        <v/>
      </c>
      <c r="AB62" s="1195"/>
      <c r="AC62" s="1181"/>
      <c r="AD62" s="1182"/>
      <c r="AE62" s="1198"/>
      <c r="AF62" s="1199"/>
      <c r="AG62" s="1201"/>
      <c r="AH62" s="1186"/>
    </row>
    <row r="63" spans="1:34" ht="12" customHeight="1" x14ac:dyDescent="0.25">
      <c r="A63" s="128"/>
      <c r="B63" s="128"/>
      <c r="C63" s="128"/>
      <c r="D63" s="128"/>
      <c r="E63" s="128"/>
      <c r="F63" s="128"/>
      <c r="G63" s="1204" t="s">
        <v>2711</v>
      </c>
      <c r="H63" s="1204"/>
      <c r="I63" s="1204"/>
      <c r="J63" s="1204"/>
      <c r="K63" s="1204"/>
      <c r="L63" s="1204"/>
      <c r="M63" s="1204"/>
      <c r="N63" s="1204"/>
      <c r="O63" s="1204"/>
      <c r="P63" s="1204"/>
      <c r="Q63" s="1204"/>
      <c r="R63" s="1204"/>
      <c r="S63" s="1204"/>
      <c r="T63" s="1204"/>
      <c r="U63" s="1204"/>
      <c r="V63" s="1204"/>
      <c r="W63" s="1204"/>
      <c r="X63" s="1204"/>
      <c r="Y63" s="1204"/>
      <c r="Z63" s="1204"/>
      <c r="AA63" s="1204"/>
      <c r="AB63" s="128"/>
      <c r="AC63" s="128"/>
      <c r="AD63" s="128"/>
      <c r="AE63" s="128"/>
      <c r="AF63" s="128"/>
      <c r="AG63" s="128"/>
      <c r="AH63" s="128"/>
    </row>
    <row r="64" spans="1:34" ht="12" customHeight="1" x14ac:dyDescent="0.2">
      <c r="A64" s="129" t="s">
        <v>3</v>
      </c>
      <c r="B64" s="130"/>
      <c r="C64" s="131" t="s">
        <v>757</v>
      </c>
      <c r="D64" s="1170">
        <v>1</v>
      </c>
      <c r="E64" s="1171"/>
      <c r="F64" s="1172"/>
      <c r="G64" s="1170">
        <v>2</v>
      </c>
      <c r="H64" s="1171"/>
      <c r="I64" s="1172"/>
      <c r="J64" s="1170">
        <v>3</v>
      </c>
      <c r="K64" s="1171"/>
      <c r="L64" s="1172"/>
      <c r="M64" s="1170">
        <v>4</v>
      </c>
      <c r="N64" s="1171"/>
      <c r="O64" s="1172"/>
      <c r="P64" s="1170">
        <v>5</v>
      </c>
      <c r="Q64" s="1171"/>
      <c r="R64" s="1172"/>
      <c r="S64" s="1170">
        <v>6</v>
      </c>
      <c r="T64" s="1171"/>
      <c r="U64" s="1172"/>
      <c r="V64" s="1170">
        <v>7</v>
      </c>
      <c r="W64" s="1171"/>
      <c r="X64" s="1172"/>
      <c r="Y64" s="1170">
        <v>8</v>
      </c>
      <c r="Z64" s="1171"/>
      <c r="AA64" s="1172"/>
      <c r="AB64" s="1170">
        <v>9</v>
      </c>
      <c r="AC64" s="1171"/>
      <c r="AD64" s="1172"/>
      <c r="AE64" s="1173" t="s">
        <v>758</v>
      </c>
      <c r="AF64" s="1174"/>
      <c r="AG64" s="439" t="s">
        <v>759</v>
      </c>
      <c r="AH64" s="440" t="s">
        <v>100</v>
      </c>
    </row>
    <row r="65" spans="1:34" ht="12" customHeight="1" x14ac:dyDescent="0.2">
      <c r="A65" s="1175">
        <v>1</v>
      </c>
      <c r="B65" s="1177">
        <v>24</v>
      </c>
      <c r="C65" s="441" t="str">
        <f>IF(B65="","",VLOOKUP(B65,'Списки участников'!A:H,3,FALSE))</f>
        <v>КРЫЛОВА Ольга</v>
      </c>
      <c r="D65" s="1179"/>
      <c r="E65" s="1179"/>
      <c r="F65" s="1180"/>
      <c r="G65" s="1183">
        <v>2</v>
      </c>
      <c r="H65" s="1184"/>
      <c r="I65" s="1185"/>
      <c r="J65" s="1183">
        <v>2</v>
      </c>
      <c r="K65" s="1184"/>
      <c r="L65" s="1185"/>
      <c r="M65" s="1183">
        <v>1</v>
      </c>
      <c r="N65" s="1184"/>
      <c r="O65" s="1185"/>
      <c r="P65" s="1183">
        <v>1</v>
      </c>
      <c r="Q65" s="1184"/>
      <c r="R65" s="1185"/>
      <c r="S65" s="1183">
        <v>1</v>
      </c>
      <c r="T65" s="1184"/>
      <c r="U65" s="1185"/>
      <c r="V65" s="1183"/>
      <c r="W65" s="1184"/>
      <c r="X65" s="1185"/>
      <c r="Y65" s="1183"/>
      <c r="Z65" s="1184"/>
      <c r="AA65" s="1185"/>
      <c r="AB65" s="1183"/>
      <c r="AC65" s="1184"/>
      <c r="AD65" s="1185"/>
      <c r="AE65" s="1196">
        <f>IF(B65="","",SUM(G65,J65,M65,P65,S65,V65,Y65,AB65,))</f>
        <v>7</v>
      </c>
      <c r="AF65" s="1197"/>
      <c r="AG65" s="1187">
        <v>2</v>
      </c>
      <c r="AH65" s="1186">
        <v>11</v>
      </c>
    </row>
    <row r="66" spans="1:34" ht="12" customHeight="1" x14ac:dyDescent="0.2">
      <c r="A66" s="1176"/>
      <c r="B66" s="1178"/>
      <c r="C66" s="442" t="str">
        <f>IF(B65="","",VLOOKUP(B65,'Списки участников'!A:H,6,FALSE))</f>
        <v>НИИИС</v>
      </c>
      <c r="D66" s="1181"/>
      <c r="E66" s="1181"/>
      <c r="F66" s="1182"/>
      <c r="G66" s="443">
        <v>2</v>
      </c>
      <c r="H66" s="444" t="str">
        <f>IF(G65="","",":")</f>
        <v>:</v>
      </c>
      <c r="I66" s="445">
        <v>0</v>
      </c>
      <c r="J66" s="443">
        <v>2</v>
      </c>
      <c r="K66" s="444" t="str">
        <f>IF(J65="","",":")</f>
        <v>:</v>
      </c>
      <c r="L66" s="445">
        <v>0</v>
      </c>
      <c r="M66" s="443">
        <v>1</v>
      </c>
      <c r="N66" s="444" t="str">
        <f>IF(M66="","",":")</f>
        <v>:</v>
      </c>
      <c r="O66" s="445">
        <v>2</v>
      </c>
      <c r="P66" s="443">
        <v>0</v>
      </c>
      <c r="Q66" s="444" t="str">
        <f>IF(P66="","",":")</f>
        <v>:</v>
      </c>
      <c r="R66" s="445">
        <v>2</v>
      </c>
      <c r="S66" s="443">
        <v>1</v>
      </c>
      <c r="T66" s="444" t="str">
        <f>IF(S66="","",":")</f>
        <v>:</v>
      </c>
      <c r="U66" s="445">
        <v>2</v>
      </c>
      <c r="V66" s="443"/>
      <c r="W66" s="444" t="str">
        <f>IF(V66="","",":")</f>
        <v/>
      </c>
      <c r="X66" s="445"/>
      <c r="Y66" s="443"/>
      <c r="Z66" s="444" t="str">
        <f>IF(Y66="","",":")</f>
        <v/>
      </c>
      <c r="AA66" s="445"/>
      <c r="AB66" s="443"/>
      <c r="AC66" s="444" t="str">
        <f>IF(AB66="","",":")</f>
        <v/>
      </c>
      <c r="AD66" s="445"/>
      <c r="AE66" s="1198"/>
      <c r="AF66" s="1199"/>
      <c r="AG66" s="1188"/>
      <c r="AH66" s="1186"/>
    </row>
    <row r="67" spans="1:34" ht="12" customHeight="1" x14ac:dyDescent="0.2">
      <c r="A67" s="1175">
        <v>2</v>
      </c>
      <c r="B67" s="1177">
        <v>4</v>
      </c>
      <c r="C67" s="441" t="str">
        <f>IF(B67="","",VLOOKUP(B67,'Списки участников'!A:H,3,FALSE))</f>
        <v>АЛЕКСЕЕВА Елена</v>
      </c>
      <c r="D67" s="1189">
        <f>IF(G65="","",IF(G66="W",0,IF(G65=2,1,IF(G65=1,2,IF(G65=0,2)))))</f>
        <v>1</v>
      </c>
      <c r="E67" s="1190"/>
      <c r="F67" s="1191"/>
      <c r="G67" s="1192"/>
      <c r="H67" s="1193"/>
      <c r="I67" s="1194"/>
      <c r="J67" s="1183">
        <v>2</v>
      </c>
      <c r="K67" s="1184"/>
      <c r="L67" s="1185"/>
      <c r="M67" s="1183">
        <v>1</v>
      </c>
      <c r="N67" s="1184"/>
      <c r="O67" s="1185"/>
      <c r="P67" s="1183">
        <v>2</v>
      </c>
      <c r="Q67" s="1184"/>
      <c r="R67" s="1185"/>
      <c r="S67" s="1183">
        <v>2</v>
      </c>
      <c r="T67" s="1184"/>
      <c r="U67" s="1185"/>
      <c r="V67" s="1183"/>
      <c r="W67" s="1184"/>
      <c r="X67" s="1185"/>
      <c r="Y67" s="1183"/>
      <c r="Z67" s="1184"/>
      <c r="AA67" s="1185"/>
      <c r="AB67" s="1183"/>
      <c r="AC67" s="1184"/>
      <c r="AD67" s="1185"/>
      <c r="AE67" s="1196">
        <f>IF(B67="","",SUM(D67,J67,M67,P67,S67,V67,Y67,AB67,))</f>
        <v>8</v>
      </c>
      <c r="AF67" s="1197"/>
      <c r="AG67" s="1187"/>
      <c r="AH67" s="1186">
        <v>8</v>
      </c>
    </row>
    <row r="68" spans="1:34" ht="12" customHeight="1" x14ac:dyDescent="0.2">
      <c r="A68" s="1176"/>
      <c r="B68" s="1178"/>
      <c r="C68" s="442" t="str">
        <f>IF(B67="","",VLOOKUP(B67,'Списки участников'!A:H,6,FALSE))</f>
        <v>АО ФНПЦ НИИРТ</v>
      </c>
      <c r="D68" s="446">
        <f>IF(G66="","",IF(I66="l","W",I66))</f>
        <v>0</v>
      </c>
      <c r="E68" s="447" t="str">
        <f>IF(G65="","",":")</f>
        <v>:</v>
      </c>
      <c r="F68" s="448">
        <f>IF(I66="","",IF(G66="W","L",G66))</f>
        <v>2</v>
      </c>
      <c r="G68" s="1195"/>
      <c r="H68" s="1181"/>
      <c r="I68" s="1182"/>
      <c r="J68" s="443">
        <v>2</v>
      </c>
      <c r="K68" s="444" t="str">
        <f>IF(J67="","",":")</f>
        <v>:</v>
      </c>
      <c r="L68" s="445">
        <v>0</v>
      </c>
      <c r="M68" s="443">
        <v>1</v>
      </c>
      <c r="N68" s="444" t="str">
        <f>IF(M67="","",":")</f>
        <v>:</v>
      </c>
      <c r="O68" s="445">
        <v>2</v>
      </c>
      <c r="P68" s="443">
        <v>2</v>
      </c>
      <c r="Q68" s="444" t="str">
        <f>IF(P67="","",":")</f>
        <v>:</v>
      </c>
      <c r="R68" s="445">
        <v>0</v>
      </c>
      <c r="S68" s="443">
        <v>2</v>
      </c>
      <c r="T68" s="444" t="str">
        <f>IF(S68="","",":")</f>
        <v>:</v>
      </c>
      <c r="U68" s="445">
        <v>1</v>
      </c>
      <c r="V68" s="443"/>
      <c r="W68" s="444" t="str">
        <f>IF(V68="","",":")</f>
        <v/>
      </c>
      <c r="X68" s="445"/>
      <c r="Y68" s="443"/>
      <c r="Z68" s="444" t="str">
        <f>IF(Y68="","",":")</f>
        <v/>
      </c>
      <c r="AA68" s="445"/>
      <c r="AB68" s="443"/>
      <c r="AC68" s="444" t="str">
        <f>IF(AB68="","",":")</f>
        <v/>
      </c>
      <c r="AD68" s="445"/>
      <c r="AE68" s="1198"/>
      <c r="AF68" s="1199"/>
      <c r="AG68" s="1188"/>
      <c r="AH68" s="1186"/>
    </row>
    <row r="69" spans="1:34" ht="12" customHeight="1" x14ac:dyDescent="0.2">
      <c r="A69" s="1175">
        <v>3</v>
      </c>
      <c r="B69" s="1177">
        <v>8</v>
      </c>
      <c r="C69" s="441" t="str">
        <f>IF(B69="","",VLOOKUP(B69,'Списки участников'!A:H,3,FALSE))</f>
        <v>ЧЕРТОВА Ольга</v>
      </c>
      <c r="D69" s="1189">
        <f>IF(J65="","",IF(J66="W",0,IF(J65=2,1,IF(J65=1,2,IF(J65=0,2)))))</f>
        <v>1</v>
      </c>
      <c r="E69" s="1190"/>
      <c r="F69" s="1191"/>
      <c r="G69" s="1183">
        <f>IF(J67="","",IF(J68="W",0,IF(J67=2,1,IF(J67=1,2,IF(J67=0,2)))))</f>
        <v>1</v>
      </c>
      <c r="H69" s="1184"/>
      <c r="I69" s="1185"/>
      <c r="J69" s="1192"/>
      <c r="K69" s="1193"/>
      <c r="L69" s="1194"/>
      <c r="M69" s="1183">
        <v>1</v>
      </c>
      <c r="N69" s="1184"/>
      <c r="O69" s="1185"/>
      <c r="P69" s="1183">
        <v>2</v>
      </c>
      <c r="Q69" s="1184"/>
      <c r="R69" s="1185"/>
      <c r="S69" s="1183">
        <v>1</v>
      </c>
      <c r="T69" s="1184"/>
      <c r="U69" s="1185"/>
      <c r="V69" s="1183"/>
      <c r="W69" s="1184"/>
      <c r="X69" s="1185"/>
      <c r="Y69" s="1183"/>
      <c r="Z69" s="1184"/>
      <c r="AA69" s="1185"/>
      <c r="AB69" s="1183"/>
      <c r="AC69" s="1184"/>
      <c r="AD69" s="1185"/>
      <c r="AE69" s="1196">
        <f>IF(B69="","",SUM(G69,D69,M69,P69,S69,V69,Y69,AB69,))</f>
        <v>6</v>
      </c>
      <c r="AF69" s="1197"/>
      <c r="AG69" s="1200"/>
      <c r="AH69" s="1186">
        <v>12</v>
      </c>
    </row>
    <row r="70" spans="1:34" ht="12" customHeight="1" x14ac:dyDescent="0.2">
      <c r="A70" s="1176"/>
      <c r="B70" s="1178"/>
      <c r="C70" s="442" t="str">
        <f>IF(B69="","",VLOOKUP(B69,'Списки участников'!A:H,6,FALSE))</f>
        <v>ОАО АНПП "ТЕМП-АВИА"</v>
      </c>
      <c r="D70" s="449">
        <f>IF(J66="","",IF(L66="l","W",L66))</f>
        <v>0</v>
      </c>
      <c r="E70" s="444" t="str">
        <f>IF(K66="","",":")</f>
        <v>:</v>
      </c>
      <c r="F70" s="450">
        <f>IF(L66="","",IF(J66="W","L",J66))</f>
        <v>2</v>
      </c>
      <c r="G70" s="449">
        <f>IF(J68="","",IF(L68="l","W",L68))</f>
        <v>0</v>
      </c>
      <c r="H70" s="444" t="str">
        <f>IF(K68="","",":")</f>
        <v>:</v>
      </c>
      <c r="I70" s="450">
        <f>IF(L68="","",IF(J68="W","L",J68))</f>
        <v>2</v>
      </c>
      <c r="J70" s="1195"/>
      <c r="K70" s="1181"/>
      <c r="L70" s="1182"/>
      <c r="M70" s="443">
        <v>1</v>
      </c>
      <c r="N70" s="444" t="str">
        <f>IF(M69="","",":")</f>
        <v>:</v>
      </c>
      <c r="O70" s="445">
        <v>2</v>
      </c>
      <c r="P70" s="443">
        <v>2</v>
      </c>
      <c r="Q70" s="444" t="str">
        <f>IF(P69="","",":")</f>
        <v>:</v>
      </c>
      <c r="R70" s="445">
        <v>1</v>
      </c>
      <c r="S70" s="443">
        <v>0</v>
      </c>
      <c r="T70" s="444" t="str">
        <f>IF(S69="","",":")</f>
        <v>:</v>
      </c>
      <c r="U70" s="445">
        <v>2</v>
      </c>
      <c r="V70" s="443"/>
      <c r="W70" s="444" t="str">
        <f>IF(V70="","",":")</f>
        <v/>
      </c>
      <c r="X70" s="445"/>
      <c r="Y70" s="443"/>
      <c r="Z70" s="444" t="str">
        <f>IF(Y70="","",":")</f>
        <v/>
      </c>
      <c r="AA70" s="445"/>
      <c r="AB70" s="443"/>
      <c r="AC70" s="444" t="str">
        <f>IF(AB70="","",":")</f>
        <v/>
      </c>
      <c r="AD70" s="445"/>
      <c r="AE70" s="1198"/>
      <c r="AF70" s="1199"/>
      <c r="AG70" s="1201"/>
      <c r="AH70" s="1186"/>
    </row>
    <row r="71" spans="1:34" ht="12" customHeight="1" x14ac:dyDescent="0.2">
      <c r="A71" s="1175">
        <v>4</v>
      </c>
      <c r="B71" s="1177">
        <v>44</v>
      </c>
      <c r="C71" s="441" t="str">
        <f>IF(B71="","",VLOOKUP(B71,'Списки участников'!A:H,3,FALSE))</f>
        <v>ЦАРЕВА Анна</v>
      </c>
      <c r="D71" s="1183">
        <f>IF(M65="","",IF(M66="W",0,IF(M65=2,1,IF(M65=1,2,IF(M65=0,2)))))</f>
        <v>2</v>
      </c>
      <c r="E71" s="1184"/>
      <c r="F71" s="1185"/>
      <c r="G71" s="1183">
        <f>IF(M67="","",IF(M68="W",0,IF(M67=2,1,IF(M67=1,2,IF(M67=0,2)))))</f>
        <v>2</v>
      </c>
      <c r="H71" s="1184"/>
      <c r="I71" s="1185"/>
      <c r="J71" s="1183">
        <f>IF(M69="","",IF(M70="W",0,IF(M69=2,1,IF(M69=1,2,IF(M69=0,2)))))</f>
        <v>2</v>
      </c>
      <c r="K71" s="1184"/>
      <c r="L71" s="1185"/>
      <c r="M71" s="1193"/>
      <c r="N71" s="1193"/>
      <c r="O71" s="1193"/>
      <c r="P71" s="1183">
        <v>2</v>
      </c>
      <c r="Q71" s="1184"/>
      <c r="R71" s="1185"/>
      <c r="S71" s="1183">
        <v>2</v>
      </c>
      <c r="T71" s="1184"/>
      <c r="U71" s="1185"/>
      <c r="V71" s="1183"/>
      <c r="W71" s="1184"/>
      <c r="X71" s="1185"/>
      <c r="Y71" s="1183"/>
      <c r="Z71" s="1184"/>
      <c r="AA71" s="1185"/>
      <c r="AB71" s="1183"/>
      <c r="AC71" s="1184"/>
      <c r="AD71" s="1185"/>
      <c r="AE71" s="1196">
        <f>IF(B71="","",SUM(G71,J71,D71,P71,S71,V71,Y71,AB71,))</f>
        <v>10</v>
      </c>
      <c r="AF71" s="1197"/>
      <c r="AG71" s="1200"/>
      <c r="AH71" s="1186">
        <v>7</v>
      </c>
    </row>
    <row r="72" spans="1:34" ht="12" customHeight="1" x14ac:dyDescent="0.2">
      <c r="A72" s="1176"/>
      <c r="B72" s="1178"/>
      <c r="C72" s="442" t="str">
        <f>IF(B71="","",VLOOKUP(B71,'Списки участников'!A:H,6,FALSE))</f>
        <v>ЗАО "НПП "Салют-27"</v>
      </c>
      <c r="D72" s="449">
        <f>IF(M66="","",IF(O66="l","W",O66))</f>
        <v>2</v>
      </c>
      <c r="E72" s="444" t="str">
        <f>IF(N66="","",":")</f>
        <v>:</v>
      </c>
      <c r="F72" s="450">
        <f>IF(O66="","",IF(M66="W","L",M66))</f>
        <v>1</v>
      </c>
      <c r="G72" s="449">
        <f>IF(M68="","",IF(O68="l","W",O68))</f>
        <v>2</v>
      </c>
      <c r="H72" s="444" t="str">
        <f>IF(N68="","",":")</f>
        <v>:</v>
      </c>
      <c r="I72" s="450">
        <f>IF(O68="","",IF(M68="W","L",M68))</f>
        <v>1</v>
      </c>
      <c r="J72" s="449">
        <f>IF(M70="","",IF(O70="l","W",O70))</f>
        <v>2</v>
      </c>
      <c r="K72" s="444" t="str">
        <f>IF(N70="","",":")</f>
        <v>:</v>
      </c>
      <c r="L72" s="450">
        <f>IF(O70="","",IF(M70="W","L",M70))</f>
        <v>1</v>
      </c>
      <c r="M72" s="1202"/>
      <c r="N72" s="1202"/>
      <c r="O72" s="1202"/>
      <c r="P72" s="443">
        <v>2</v>
      </c>
      <c r="Q72" s="444" t="str">
        <f>IF(P71="","",":")</f>
        <v>:</v>
      </c>
      <c r="R72" s="445">
        <v>0</v>
      </c>
      <c r="S72" s="443">
        <v>2</v>
      </c>
      <c r="T72" s="444" t="str">
        <f>IF(S71="","",":")</f>
        <v>:</v>
      </c>
      <c r="U72" s="445">
        <v>0</v>
      </c>
      <c r="V72" s="443"/>
      <c r="W72" s="444" t="str">
        <f>IF(V71="","",":")</f>
        <v/>
      </c>
      <c r="X72" s="445"/>
      <c r="Y72" s="443"/>
      <c r="Z72" s="444" t="str">
        <f>IF(Y72="","",":")</f>
        <v/>
      </c>
      <c r="AA72" s="445"/>
      <c r="AB72" s="443"/>
      <c r="AC72" s="444" t="str">
        <f>IF(AB72="","",":")</f>
        <v/>
      </c>
      <c r="AD72" s="445"/>
      <c r="AE72" s="1198"/>
      <c r="AF72" s="1199"/>
      <c r="AG72" s="1201"/>
      <c r="AH72" s="1186"/>
    </row>
    <row r="73" spans="1:34" ht="12" customHeight="1" x14ac:dyDescent="0.2">
      <c r="A73" s="1175">
        <v>5</v>
      </c>
      <c r="B73" s="1177">
        <v>20</v>
      </c>
      <c r="C73" s="441" t="str">
        <f>IF(B73="","",VLOOKUP(B73,'Списки участников'!A:H,3,FALSE))</f>
        <v>КАРПОВА Юлия</v>
      </c>
      <c r="D73" s="1183">
        <f>IF(P65="","",IF(P66="W",0,IF(P65=2,1,IF(P65=1,2,IF(P65=0,2)))))</f>
        <v>2</v>
      </c>
      <c r="E73" s="1184"/>
      <c r="F73" s="1185"/>
      <c r="G73" s="1183">
        <f>IF(P67="","",IF(P68="W",0,IF(P67=2,1,IF(P67=1,2,IF(P67=0,2)))))</f>
        <v>1</v>
      </c>
      <c r="H73" s="1184"/>
      <c r="I73" s="1185"/>
      <c r="J73" s="1183">
        <f>IF(P69="","",IF(P70="W",0,IF(P69=2,1,IF(P69=1,2,IF(P69=0,2)))))</f>
        <v>1</v>
      </c>
      <c r="K73" s="1184"/>
      <c r="L73" s="1185"/>
      <c r="M73" s="1183">
        <f>IF(P71="","",IF(P72="W",0,IF(P71=2,1,IF(P71=1,2,IF(P71=0,2)))))</f>
        <v>1</v>
      </c>
      <c r="N73" s="1184"/>
      <c r="O73" s="1185"/>
      <c r="P73" s="1192"/>
      <c r="Q73" s="1193"/>
      <c r="R73" s="1194"/>
      <c r="S73" s="1183">
        <v>2</v>
      </c>
      <c r="T73" s="1184"/>
      <c r="U73" s="1185"/>
      <c r="V73" s="1183"/>
      <c r="W73" s="1184"/>
      <c r="X73" s="1185"/>
      <c r="Y73" s="1183"/>
      <c r="Z73" s="1184"/>
      <c r="AA73" s="1185"/>
      <c r="AB73" s="1183"/>
      <c r="AC73" s="1184"/>
      <c r="AD73" s="1185"/>
      <c r="AE73" s="1196">
        <f>IF(B73="","",SUM(G73,J73,M73,D73,S73,V73,Y73,AB73,))</f>
        <v>7</v>
      </c>
      <c r="AF73" s="1197"/>
      <c r="AG73" s="1200">
        <v>4</v>
      </c>
      <c r="AH73" s="1186">
        <v>9</v>
      </c>
    </row>
    <row r="74" spans="1:34" ht="12" customHeight="1" x14ac:dyDescent="0.2">
      <c r="A74" s="1176"/>
      <c r="B74" s="1178"/>
      <c r="C74" s="442" t="str">
        <f>IF(B73="","",VLOOKUP(B73,'Списки участников'!A:H,6,FALSE))</f>
        <v>НПАП №1</v>
      </c>
      <c r="D74" s="449">
        <f>IF(P66="","",IF(R66="l","W",R66))</f>
        <v>2</v>
      </c>
      <c r="E74" s="444" t="str">
        <f>IF(Q66="","",":")</f>
        <v>:</v>
      </c>
      <c r="F74" s="450">
        <f>IF(R66="","",IF(P66="W","L",P66))</f>
        <v>0</v>
      </c>
      <c r="G74" s="449">
        <f>IF(P68="","",IF(R68="l","W",R68))</f>
        <v>0</v>
      </c>
      <c r="H74" s="444" t="str">
        <f>IF(Q68="","",":")</f>
        <v>:</v>
      </c>
      <c r="I74" s="450">
        <f>IF(R68="","",IF(P68="W","L",P68))</f>
        <v>2</v>
      </c>
      <c r="J74" s="449">
        <f>IF(P70="","",IF(R70="l","W",R70))</f>
        <v>1</v>
      </c>
      <c r="K74" s="444" t="str">
        <f>IF(Q70="","",":")</f>
        <v>:</v>
      </c>
      <c r="L74" s="450">
        <f>IF(R70="","",IF(P70="W","L",P70))</f>
        <v>2</v>
      </c>
      <c r="M74" s="449">
        <f>IF(P72="","",IF(R72="l","W",R72))</f>
        <v>0</v>
      </c>
      <c r="N74" s="444" t="str">
        <f>IF(Q72="","",":")</f>
        <v>:</v>
      </c>
      <c r="O74" s="450">
        <f>IF(R72="","",IF(P72="W","L",P72))</f>
        <v>2</v>
      </c>
      <c r="P74" s="1195"/>
      <c r="Q74" s="1181"/>
      <c r="R74" s="1182"/>
      <c r="S74" s="443">
        <v>2</v>
      </c>
      <c r="T74" s="444" t="str">
        <f>IF(S73="","",":")</f>
        <v>:</v>
      </c>
      <c r="U74" s="445">
        <v>0</v>
      </c>
      <c r="V74" s="443"/>
      <c r="W74" s="444" t="str">
        <f>IF(V73="","",":")</f>
        <v/>
      </c>
      <c r="X74" s="445"/>
      <c r="Y74" s="443"/>
      <c r="Z74" s="444" t="str">
        <f>IF(Y73="","",":")</f>
        <v/>
      </c>
      <c r="AA74" s="445"/>
      <c r="AB74" s="443"/>
      <c r="AC74" s="444" t="str">
        <f>IF(AB74="","",":")</f>
        <v/>
      </c>
      <c r="AD74" s="445"/>
      <c r="AE74" s="1198"/>
      <c r="AF74" s="1199"/>
      <c r="AG74" s="1201"/>
      <c r="AH74" s="1186"/>
    </row>
    <row r="75" spans="1:34" ht="12" customHeight="1" x14ac:dyDescent="0.2">
      <c r="A75" s="1175">
        <v>6</v>
      </c>
      <c r="B75" s="1177">
        <v>16</v>
      </c>
      <c r="C75" s="441" t="str">
        <f>IF(B75="","",VLOOKUP(B75,'Списки участников'!A:H,3,FALSE))</f>
        <v>ВАХРОМОВА Ирина</v>
      </c>
      <c r="D75" s="1183">
        <f>IF(S65="","",IF(S66="W",0,IF(S65=2,1,IF(S65=1,2,IF(S65=0,2)))))</f>
        <v>2</v>
      </c>
      <c r="E75" s="1184"/>
      <c r="F75" s="1185"/>
      <c r="G75" s="1183">
        <f>IF(S67="","",IF(S68="W",0,IF(S67=2,1,IF(S67=1,2,IF(S67=0,2)))))</f>
        <v>1</v>
      </c>
      <c r="H75" s="1184"/>
      <c r="I75" s="1185"/>
      <c r="J75" s="1183">
        <f>IF(S69="","",IF(S70="W",0,IF(S69=2,1,IF(S69=1,2,IF(S69=0,2)))))</f>
        <v>2</v>
      </c>
      <c r="K75" s="1184"/>
      <c r="L75" s="1185"/>
      <c r="M75" s="1183">
        <f>IF(S71="","",IF(S72="W",0,IF(S71=2,1,IF(S71=1,2,IF(S71=0,2)))))</f>
        <v>1</v>
      </c>
      <c r="N75" s="1184"/>
      <c r="O75" s="1185"/>
      <c r="P75" s="1183">
        <f>IF(S73="","",IF(S74="W",0,IF(S73=2,1,IF(S73=1,2,IF(S73=0,2)))))</f>
        <v>1</v>
      </c>
      <c r="Q75" s="1184"/>
      <c r="R75" s="1185"/>
      <c r="S75" s="1192"/>
      <c r="T75" s="1193"/>
      <c r="U75" s="1194"/>
      <c r="V75" s="1183"/>
      <c r="W75" s="1184"/>
      <c r="X75" s="1185"/>
      <c r="Y75" s="1183"/>
      <c r="Z75" s="1184"/>
      <c r="AA75" s="1185"/>
      <c r="AB75" s="1183"/>
      <c r="AC75" s="1184"/>
      <c r="AD75" s="1185"/>
      <c r="AE75" s="1196">
        <f>IF(B75="","",SUM(G75,J75,M75,P75,D75,V75,Y75,AB75,))</f>
        <v>7</v>
      </c>
      <c r="AF75" s="1197"/>
      <c r="AG75" s="1200">
        <v>3</v>
      </c>
      <c r="AH75" s="1186">
        <v>10</v>
      </c>
    </row>
    <row r="76" spans="1:34" ht="12" customHeight="1" x14ac:dyDescent="0.2">
      <c r="A76" s="1176"/>
      <c r="B76" s="1178"/>
      <c r="C76" s="442" t="str">
        <f>IF(B75="","",VLOOKUP(B75,'Списки участников'!A:H,6,FALSE))</f>
        <v>ТПП</v>
      </c>
      <c r="D76" s="449">
        <f>IF(S66="","",IF(U66="l","W",U66))</f>
        <v>2</v>
      </c>
      <c r="E76" s="444" t="str">
        <f>IF(T66="","",":")</f>
        <v>:</v>
      </c>
      <c r="F76" s="450">
        <f>IF(U66="","",IF(S66="W","L",S66))</f>
        <v>1</v>
      </c>
      <c r="G76" s="449">
        <f>IF(S68="","",IF(U68="l","W",U68))</f>
        <v>1</v>
      </c>
      <c r="H76" s="444" t="str">
        <f>IF(T68="","",":")</f>
        <v>:</v>
      </c>
      <c r="I76" s="450">
        <f>IF(U68="","",IF(S68="W","L",S68))</f>
        <v>2</v>
      </c>
      <c r="J76" s="449">
        <f>IF(S70="","",IF(U70="l","W",U70))</f>
        <v>2</v>
      </c>
      <c r="K76" s="444" t="str">
        <f>IF(T70="","",":")</f>
        <v>:</v>
      </c>
      <c r="L76" s="450">
        <f>IF(U70="","",IF(S70="W","L",S70))</f>
        <v>0</v>
      </c>
      <c r="M76" s="449">
        <f>IF(S72="","",IF(U72="l","W",U72))</f>
        <v>0</v>
      </c>
      <c r="N76" s="444" t="str">
        <f>IF(T72="","",":")</f>
        <v>:</v>
      </c>
      <c r="O76" s="450">
        <f>IF(U72="","",IF(S72="W","L",S72))</f>
        <v>2</v>
      </c>
      <c r="P76" s="449">
        <f>IF(S74="","",IF(U74="l","W",U74))</f>
        <v>0</v>
      </c>
      <c r="Q76" s="444" t="str">
        <f>IF(T74="","",":")</f>
        <v>:</v>
      </c>
      <c r="R76" s="450">
        <f>IF(U74="","",IF(S74="W","L",S74))</f>
        <v>2</v>
      </c>
      <c r="S76" s="1195"/>
      <c r="T76" s="1181"/>
      <c r="U76" s="1182"/>
      <c r="V76" s="443"/>
      <c r="W76" s="444" t="str">
        <f>IF(V75="","",":")</f>
        <v/>
      </c>
      <c r="X76" s="445"/>
      <c r="Y76" s="443"/>
      <c r="Z76" s="444" t="str">
        <f>IF(Y75="","",":")</f>
        <v/>
      </c>
      <c r="AA76" s="445"/>
      <c r="AB76" s="443"/>
      <c r="AC76" s="444" t="str">
        <f>IF(AB75="","",":")</f>
        <v/>
      </c>
      <c r="AD76" s="445"/>
      <c r="AE76" s="1198"/>
      <c r="AF76" s="1199"/>
      <c r="AG76" s="1201"/>
      <c r="AH76" s="1186"/>
    </row>
    <row r="77" spans="1:34" ht="12" hidden="1" customHeight="1" x14ac:dyDescent="0.2">
      <c r="A77" s="1175">
        <v>7</v>
      </c>
      <c r="B77" s="1177"/>
      <c r="C77" s="441" t="str">
        <f>IF(B77="","",VLOOKUP(B77,'Списки участников'!A:H,3,FALSE))</f>
        <v/>
      </c>
      <c r="D77" s="1183" t="str">
        <f>IF(V65="","",IF(V66="W",0,IF(V65=2,1,IF(V65=1,2,IF(V65=0,2)))))</f>
        <v/>
      </c>
      <c r="E77" s="1184"/>
      <c r="F77" s="1185"/>
      <c r="G77" s="1183" t="str">
        <f>IF(V67="","",IF(V68="W",0,IF(V67=2,1,IF(V67=1,2,IF(V67=0,2)))))</f>
        <v/>
      </c>
      <c r="H77" s="1184"/>
      <c r="I77" s="1185"/>
      <c r="J77" s="1183" t="str">
        <f>IF(V69="","",IF(V70="W",0,IF(V69=2,1,IF(V69=1,2,IF(V69=0,2)))))</f>
        <v/>
      </c>
      <c r="K77" s="1184"/>
      <c r="L77" s="1185"/>
      <c r="M77" s="1183" t="str">
        <f>IF(V71="","",IF(V72="W",0,IF(V71=2,1,IF(V71=1,2,IF(V71=0,2)))))</f>
        <v/>
      </c>
      <c r="N77" s="1184"/>
      <c r="O77" s="1185"/>
      <c r="P77" s="1183" t="str">
        <f>IF(V73="","",IF(V74="W",0,IF(V73=2,1,IF(V73=1,2,IF(V73=0,2)))))</f>
        <v/>
      </c>
      <c r="Q77" s="1184"/>
      <c r="R77" s="1185"/>
      <c r="S77" s="1183" t="str">
        <f>IF(V75="","",IF(V76="W",0,IF(V75=2,1,IF(V75=1,2,IF(V75=0,2)))))</f>
        <v/>
      </c>
      <c r="T77" s="1184"/>
      <c r="U77" s="1185"/>
      <c r="V77" s="1203"/>
      <c r="W77" s="1179"/>
      <c r="X77" s="1180"/>
      <c r="Y77" s="1183"/>
      <c r="Z77" s="1184"/>
      <c r="AA77" s="1185"/>
      <c r="AB77" s="1183"/>
      <c r="AC77" s="1184"/>
      <c r="AD77" s="1185"/>
      <c r="AE77" s="1196" t="str">
        <f>IF(B77="","",SUM(G77,J77,M77,P77,S77,D77,Y77,AB77,))</f>
        <v/>
      </c>
      <c r="AF77" s="1197"/>
      <c r="AG77" s="1200"/>
      <c r="AH77" s="1186" t="str">
        <f>IF(B77="","",RANK(AE77,ГР4О))</f>
        <v/>
      </c>
    </row>
    <row r="78" spans="1:34" ht="12" hidden="1" customHeight="1" x14ac:dyDescent="0.2">
      <c r="A78" s="1176"/>
      <c r="B78" s="1178"/>
      <c r="C78" s="442" t="str">
        <f>IF(B77="","",VLOOKUP(B77,'Списки участников'!A:H,6,FALSE))</f>
        <v/>
      </c>
      <c r="D78" s="449" t="str">
        <f>IF(V66="","",IF(X66="l","W",X66))</f>
        <v/>
      </c>
      <c r="E78" s="444" t="str">
        <f>IF(W66="","",":")</f>
        <v/>
      </c>
      <c r="F78" s="450" t="str">
        <f>IF(X66="","",IF(V66="W","L",V66))</f>
        <v/>
      </c>
      <c r="G78" s="449" t="str">
        <f>IF(V68="","",IF(X68="l","W",X68))</f>
        <v/>
      </c>
      <c r="H78" s="444" t="str">
        <f>IF(W68="","",":")</f>
        <v/>
      </c>
      <c r="I78" s="450" t="str">
        <f>IF(X68="","",IF(V68="W","L",V68))</f>
        <v/>
      </c>
      <c r="J78" s="449" t="str">
        <f>IF(V70="","",IF(X70="l","W",X70))</f>
        <v/>
      </c>
      <c r="K78" s="444" t="str">
        <f>IF(W70="","",":")</f>
        <v/>
      </c>
      <c r="L78" s="450" t="str">
        <f>IF(X70="","",IF(V70="W","L",V70))</f>
        <v/>
      </c>
      <c r="M78" s="449" t="str">
        <f>IF(V72="","",IF(X72="l","W",X72))</f>
        <v/>
      </c>
      <c r="N78" s="444" t="str">
        <f>IF(W72="","",":")</f>
        <v/>
      </c>
      <c r="O78" s="450" t="str">
        <f>IF(X72="","",IF(V72="W","L",V72))</f>
        <v/>
      </c>
      <c r="P78" s="449" t="str">
        <f>IF(V74="","",IF(X74="l","W",X74))</f>
        <v/>
      </c>
      <c r="Q78" s="444" t="str">
        <f>IF(W74="","",":")</f>
        <v/>
      </c>
      <c r="R78" s="450" t="str">
        <f>IF(X74="","",IF(V74="W","L",V74))</f>
        <v/>
      </c>
      <c r="S78" s="449" t="str">
        <f>IF(V76="","",IF(X76="l","W",X76))</f>
        <v/>
      </c>
      <c r="T78" s="444" t="str">
        <f>IF(W76="","",":")</f>
        <v/>
      </c>
      <c r="U78" s="450" t="str">
        <f>IF(X76="","",IF(V76="W","L",V76))</f>
        <v/>
      </c>
      <c r="V78" s="1195"/>
      <c r="W78" s="1181"/>
      <c r="X78" s="1182"/>
      <c r="Y78" s="443"/>
      <c r="Z78" s="444" t="str">
        <f>IF(Y77="","",":")</f>
        <v/>
      </c>
      <c r="AA78" s="445"/>
      <c r="AB78" s="443"/>
      <c r="AC78" s="444" t="str">
        <f>IF(AB77="","",":")</f>
        <v/>
      </c>
      <c r="AD78" s="445"/>
      <c r="AE78" s="1198"/>
      <c r="AF78" s="1199"/>
      <c r="AG78" s="1201"/>
      <c r="AH78" s="1186"/>
    </row>
    <row r="79" spans="1:34" ht="12" hidden="1" customHeight="1" x14ac:dyDescent="0.2">
      <c r="A79" s="1175">
        <v>8</v>
      </c>
      <c r="B79" s="1177"/>
      <c r="C79" s="441" t="str">
        <f>IF(B79="","",VLOOKUP(B79,'Списки участников'!A:H,3,FALSE))</f>
        <v/>
      </c>
      <c r="D79" s="1183" t="str">
        <f>IF(Y65="","",IF(Y66="W",0,IF(Y65=2,1,IF(Y65=1,2,IF(Y65=0,2)))))</f>
        <v/>
      </c>
      <c r="E79" s="1184"/>
      <c r="F79" s="1185"/>
      <c r="G79" s="1183" t="str">
        <f>IF(Y67="","",IF(Y68="W",0,IF(Y67=2,1,IF(Y67=1,2,IF(Y67=0,2)))))</f>
        <v/>
      </c>
      <c r="H79" s="1184"/>
      <c r="I79" s="1185"/>
      <c r="J79" s="1183" t="str">
        <f>IF(Y69="","",IF(Y70="W",0,IF(Y69=2,1,IF(Y69=1,2,IF(Y69=0,2)))))</f>
        <v/>
      </c>
      <c r="K79" s="1184"/>
      <c r="L79" s="1185"/>
      <c r="M79" s="1183" t="str">
        <f>IF(Y71="","",IF(Y72="W",0,IF(Y71=2,1,IF(Y71=1,2,IF(Y71=0,2)))))</f>
        <v/>
      </c>
      <c r="N79" s="1184"/>
      <c r="O79" s="1185"/>
      <c r="P79" s="1183" t="str">
        <f>IF(Y73="","",IF(Y74="W",0,IF(Y73=2,1,IF(Y73=1,2,IF(Y73=0,2)))))</f>
        <v/>
      </c>
      <c r="Q79" s="1184"/>
      <c r="R79" s="1185"/>
      <c r="S79" s="1183" t="str">
        <f>IF(Y75="","",IF(Y76="W",0,IF(Y75=2,1,IF(Y75=1,2,IF(Y75=0,2)))))</f>
        <v/>
      </c>
      <c r="T79" s="1184"/>
      <c r="U79" s="1185"/>
      <c r="V79" s="1183" t="str">
        <f>IF(Y77="","",IF(Y78="W",0,IF(Y77=2,1,IF(Y77=1,2,IF(Y77=0,2)))))</f>
        <v/>
      </c>
      <c r="W79" s="1184"/>
      <c r="X79" s="1185"/>
      <c r="Y79" s="1192"/>
      <c r="Z79" s="1193"/>
      <c r="AA79" s="1194"/>
      <c r="AB79" s="1183"/>
      <c r="AC79" s="1184"/>
      <c r="AD79" s="1185"/>
      <c r="AE79" s="1196" t="str">
        <f>IF(B79="","",SUM(G79,J79,M79,P79,S79,V79,D79,AB79,))</f>
        <v/>
      </c>
      <c r="AF79" s="1197"/>
      <c r="AG79" s="1200"/>
      <c r="AH79" s="1186" t="str">
        <f>IF(B79="","",RANK(AE79,ГР4О))</f>
        <v/>
      </c>
    </row>
    <row r="80" spans="1:34" ht="12" hidden="1" customHeight="1" x14ac:dyDescent="0.2">
      <c r="A80" s="1176"/>
      <c r="B80" s="1178"/>
      <c r="C80" s="442" t="str">
        <f>IF(B79="","",VLOOKUP(B79,'Списки участников'!A:H,6,FALSE))</f>
        <v/>
      </c>
      <c r="D80" s="449" t="str">
        <f>IF(Y66="","",IF(AA66="l","W",AA66))</f>
        <v/>
      </c>
      <c r="E80" s="444" t="str">
        <f>IF(Z66="","",":")</f>
        <v/>
      </c>
      <c r="F80" s="450" t="str">
        <f>IF(AA66="","",IF(Y66="W","L",Y66))</f>
        <v/>
      </c>
      <c r="G80" s="449" t="str">
        <f>IF(Y68="","",IF(AA68="l","W",AA68))</f>
        <v/>
      </c>
      <c r="H80" s="444" t="str">
        <f>IF(Z68="","",":")</f>
        <v/>
      </c>
      <c r="I80" s="450" t="str">
        <f>IF(AA68="","",IF(Y68="W","L",Y68))</f>
        <v/>
      </c>
      <c r="J80" s="449" t="str">
        <f>IF(Y70="","",IF(AA70="l","W",AA70))</f>
        <v/>
      </c>
      <c r="K80" s="444" t="str">
        <f>IF(Z70="","",":")</f>
        <v/>
      </c>
      <c r="L80" s="450" t="str">
        <f>IF(AA70="","",IF(Y70="W","L",Y70))</f>
        <v/>
      </c>
      <c r="M80" s="449" t="str">
        <f>IF(Y72="","",IF(AA72="l","W",AA72))</f>
        <v/>
      </c>
      <c r="N80" s="444" t="str">
        <f>IF(Z72="","",":")</f>
        <v/>
      </c>
      <c r="O80" s="450" t="str">
        <f>IF(AA72="","",IF(Y72="W","L",Y72))</f>
        <v/>
      </c>
      <c r="P80" s="449" t="str">
        <f>IF(Y74="","",IF(AA74="l","W",AA74))</f>
        <v/>
      </c>
      <c r="Q80" s="444" t="str">
        <f>IF(Z74="","",":")</f>
        <v/>
      </c>
      <c r="R80" s="450" t="str">
        <f>IF(AA74="","",IF(Y74="W","L",Y74))</f>
        <v/>
      </c>
      <c r="S80" s="449" t="str">
        <f>IF(Y76="","",IF(AA76="l","W",AA76))</f>
        <v/>
      </c>
      <c r="T80" s="444" t="str">
        <f>IF(Z76="","",":")</f>
        <v/>
      </c>
      <c r="U80" s="450" t="str">
        <f>IF(AA76="","",IF(Y76="W","L",Y76))</f>
        <v/>
      </c>
      <c r="V80" s="449" t="str">
        <f>IF(Y78="","",IF(AA78="l","W",AA78))</f>
        <v/>
      </c>
      <c r="W80" s="444" t="str">
        <f>IF(Z78="","",":")</f>
        <v/>
      </c>
      <c r="X80" s="450" t="str">
        <f>IF(AA78="","",IF(Y78="W","L",Y78))</f>
        <v/>
      </c>
      <c r="Y80" s="1195"/>
      <c r="Z80" s="1181"/>
      <c r="AA80" s="1182"/>
      <c r="AB80" s="443"/>
      <c r="AC80" s="444" t="str">
        <f>IF(AB79="","",":")</f>
        <v/>
      </c>
      <c r="AD80" s="445"/>
      <c r="AE80" s="1198"/>
      <c r="AF80" s="1199"/>
      <c r="AG80" s="1201"/>
      <c r="AH80" s="1186"/>
    </row>
    <row r="81" spans="1:36" ht="12" hidden="1" customHeight="1" x14ac:dyDescent="0.2">
      <c r="A81" s="1175">
        <v>9</v>
      </c>
      <c r="B81" s="1177"/>
      <c r="C81" s="441" t="str">
        <f>IF(B81="","",VLOOKUP(B81,'Списки участников'!A:H,3,FALSE))</f>
        <v/>
      </c>
      <c r="D81" s="1183" t="str">
        <f>IF(AB65="","",IF(AB66="W",0,IF(AB65=2,1,IF(AB65=1,2,IF(AB65=0,2)))))</f>
        <v/>
      </c>
      <c r="E81" s="1184"/>
      <c r="F81" s="1185"/>
      <c r="G81" s="1183" t="str">
        <f>IF(AB67="","",IF(AB68="W",0,IF(AB67=2,1,IF(AB67=1,2,IF(AB67=0,2)))))</f>
        <v/>
      </c>
      <c r="H81" s="1184"/>
      <c r="I81" s="1185"/>
      <c r="J81" s="1183" t="str">
        <f>IF(AB69="","",IF(AB70="W",0,IF(AB69=2,1,IF(AB69=1,2,IF(AB69=0,2)))))</f>
        <v/>
      </c>
      <c r="K81" s="1184"/>
      <c r="L81" s="1185"/>
      <c r="M81" s="1183" t="str">
        <f>IF(AB71="","",IF(AB72="W",0,IF(AB71=2,1,IF(AB71=1,2,IF(AB71=0,2)))))</f>
        <v/>
      </c>
      <c r="N81" s="1184"/>
      <c r="O81" s="1185"/>
      <c r="P81" s="1183" t="str">
        <f>IF(AB73="","",IF(AB74="W",0,IF(AB73=2,1,IF(AB73=1,2,IF(AB73=0,2)))))</f>
        <v/>
      </c>
      <c r="Q81" s="1184"/>
      <c r="R81" s="1185"/>
      <c r="S81" s="1183" t="str">
        <f>IF(AB75="","",IF(AB76="W",0,IF(AB75=2,1,IF(AB75=1,2,IF(AB75=0,2)))))</f>
        <v/>
      </c>
      <c r="T81" s="1184"/>
      <c r="U81" s="1185"/>
      <c r="V81" s="1183" t="str">
        <f>IF(AB77="","",IF(AB78="W",0,IF(AB77=2,1,IF(AB77=1,2,IF(AB77=0,2)))))</f>
        <v/>
      </c>
      <c r="W81" s="1184"/>
      <c r="X81" s="1185"/>
      <c r="Y81" s="1183" t="str">
        <f>IF(AB79="","",IF(AB80="W",0,IF(AB79=2,1,IF(AB79=1,2,IF(AB79=0,2)))))</f>
        <v/>
      </c>
      <c r="Z81" s="1184"/>
      <c r="AA81" s="1185"/>
      <c r="AB81" s="1203"/>
      <c r="AC81" s="1179"/>
      <c r="AD81" s="1180"/>
      <c r="AE81" s="1196" t="str">
        <f>IF(B81="","",SUM(G81,J81,M81,P81,S81,V81,Y81,D81,))</f>
        <v/>
      </c>
      <c r="AF81" s="1197"/>
      <c r="AG81" s="1200"/>
      <c r="AH81" s="1186" t="str">
        <f>IF(B81="","",RANK(AE81,ГР4О))</f>
        <v/>
      </c>
    </row>
    <row r="82" spans="1:36" ht="12" hidden="1" customHeight="1" x14ac:dyDescent="0.2">
      <c r="A82" s="1176"/>
      <c r="B82" s="1178"/>
      <c r="C82" s="442" t="str">
        <f>IF(B81="","",VLOOKUP(B81,'Списки участников'!A:H,6,FALSE))</f>
        <v/>
      </c>
      <c r="D82" s="449" t="str">
        <f>IF(AB66="","",IF(AD66="l","W",AD66))</f>
        <v/>
      </c>
      <c r="E82" s="444" t="str">
        <f>IF(AC66="","",":")</f>
        <v/>
      </c>
      <c r="F82" s="450" t="str">
        <f>IF(AD66="","",IF(AB66="W","L",AB66))</f>
        <v/>
      </c>
      <c r="G82" s="449" t="str">
        <f>IF(AB68="","",IF(AD68="l","W",AD68))</f>
        <v/>
      </c>
      <c r="H82" s="444" t="str">
        <f>IF(AC68="","",":")</f>
        <v/>
      </c>
      <c r="I82" s="450" t="str">
        <f>IF(AD68="","",IF(AB68="W","L",AB68))</f>
        <v/>
      </c>
      <c r="J82" s="449" t="str">
        <f>IF(AB70="","",IF(AD70="l","W",AD70))</f>
        <v/>
      </c>
      <c r="K82" s="444" t="str">
        <f>IF(AC70="","",":")</f>
        <v/>
      </c>
      <c r="L82" s="450" t="str">
        <f>IF(AD70="","",IF(AB70="W","L",AB70))</f>
        <v/>
      </c>
      <c r="M82" s="449" t="str">
        <f>IF(AB72="","",IF(AD72="l","W",AD72))</f>
        <v/>
      </c>
      <c r="N82" s="444" t="str">
        <f>IF(AC72="","",":")</f>
        <v/>
      </c>
      <c r="O82" s="450" t="str">
        <f>IF(AD72="","",IF(AB72="W","L",AB72))</f>
        <v/>
      </c>
      <c r="P82" s="449" t="str">
        <f>IF(AB74="","",IF(AD74="l","W",AD74))</f>
        <v/>
      </c>
      <c r="Q82" s="444" t="str">
        <f>IF(AC74="","",":")</f>
        <v/>
      </c>
      <c r="R82" s="450" t="str">
        <f>IF(AD74="","",IF(AB74="W","L",AB74))</f>
        <v/>
      </c>
      <c r="S82" s="449" t="str">
        <f>IF(AB76="","",IF(AD76="l","W",AD76))</f>
        <v/>
      </c>
      <c r="T82" s="444" t="str">
        <f>IF(AC76="","",":")</f>
        <v/>
      </c>
      <c r="U82" s="450" t="str">
        <f>IF(AD76="","",IF(AB76="W","L",AB76))</f>
        <v/>
      </c>
      <c r="V82" s="449" t="str">
        <f>IF(AB78="","",IF(AD78="l","W",AD78))</f>
        <v/>
      </c>
      <c r="W82" s="444" t="str">
        <f>IF(AC78="","",":")</f>
        <v/>
      </c>
      <c r="X82" s="450" t="str">
        <f>IF(AD78="","",IF(AB78="W","L",AB78))</f>
        <v/>
      </c>
      <c r="Y82" s="449" t="str">
        <f>IF(AB80="","",IF(AD80="l","W",AD80))</f>
        <v/>
      </c>
      <c r="Z82" s="444" t="str">
        <f>IF(AC80="","",":")</f>
        <v/>
      </c>
      <c r="AA82" s="450" t="str">
        <f>IF(AD80="","",IF(AB80="W","L",AB80))</f>
        <v/>
      </c>
      <c r="AB82" s="1195"/>
      <c r="AC82" s="1181"/>
      <c r="AD82" s="1182"/>
      <c r="AE82" s="1198"/>
      <c r="AF82" s="1199"/>
      <c r="AG82" s="1201"/>
      <c r="AH82" s="1186"/>
    </row>
    <row r="84" spans="1:36" ht="15.75" x14ac:dyDescent="0.25">
      <c r="C84" s="1084" t="s">
        <v>760</v>
      </c>
      <c r="D84" s="1093" t="str">
        <f>'Списки участников'!M63</f>
        <v>В.В. Гусев</v>
      </c>
      <c r="E84" s="1093"/>
      <c r="F84" s="1093"/>
      <c r="G84" s="1093"/>
      <c r="H84" s="1093"/>
      <c r="I84" s="1093"/>
      <c r="J84" s="1093"/>
      <c r="K84" s="1093"/>
      <c r="L84" s="1084"/>
      <c r="M84" s="1084"/>
      <c r="N84" s="1084"/>
      <c r="O84" s="1084"/>
      <c r="P84" s="1084"/>
      <c r="Q84" s="1085" t="s">
        <v>761</v>
      </c>
      <c r="R84" s="1085"/>
      <c r="S84" s="1085"/>
      <c r="T84" s="1085"/>
      <c r="U84" s="1085"/>
      <c r="V84" s="1085"/>
      <c r="W84" s="1085"/>
      <c r="X84" s="1085"/>
      <c r="Y84" s="1084"/>
      <c r="Z84" s="1084"/>
      <c r="AA84" s="1084"/>
      <c r="AB84" s="1084"/>
      <c r="AC84" s="1085"/>
      <c r="AD84" s="1085"/>
      <c r="AE84" s="1085"/>
      <c r="AF84" s="1085"/>
      <c r="AG84" s="1085"/>
      <c r="AH84" s="1084" t="str">
        <f>'Списки участников'!M64</f>
        <v>А.С. Кабанов</v>
      </c>
      <c r="AI84" s="1084"/>
      <c r="AJ84" s="1084"/>
    </row>
  </sheetData>
  <mergeCells count="552">
    <mergeCell ref="D84:K84"/>
    <mergeCell ref="M81:O81"/>
    <mergeCell ref="P81:R81"/>
    <mergeCell ref="AB81:AD82"/>
    <mergeCell ref="AE79:AF80"/>
    <mergeCell ref="AG79:AG80"/>
    <mergeCell ref="AE81:AF82"/>
    <mergeCell ref="AG81:AG82"/>
    <mergeCell ref="AH81:AH82"/>
    <mergeCell ref="P79:R79"/>
    <mergeCell ref="S81:U81"/>
    <mergeCell ref="V81:X81"/>
    <mergeCell ref="AH79:AH80"/>
    <mergeCell ref="S79:U79"/>
    <mergeCell ref="A81:A82"/>
    <mergeCell ref="B81:B82"/>
    <mergeCell ref="D81:F81"/>
    <mergeCell ref="G81:I81"/>
    <mergeCell ref="J81:L81"/>
    <mergeCell ref="Y81:AA81"/>
    <mergeCell ref="A79:A80"/>
    <mergeCell ref="B79:B80"/>
    <mergeCell ref="D79:F79"/>
    <mergeCell ref="G79:I79"/>
    <mergeCell ref="J79:L79"/>
    <mergeCell ref="M79:O79"/>
    <mergeCell ref="V79:X79"/>
    <mergeCell ref="S77:U77"/>
    <mergeCell ref="V77:X78"/>
    <mergeCell ref="Y77:AA77"/>
    <mergeCell ref="AB77:AD77"/>
    <mergeCell ref="Y79:AA80"/>
    <mergeCell ref="AB79:AD79"/>
    <mergeCell ref="AE75:AF76"/>
    <mergeCell ref="AG75:AG76"/>
    <mergeCell ref="AH75:AH76"/>
    <mergeCell ref="A77:A78"/>
    <mergeCell ref="B77:B78"/>
    <mergeCell ref="D77:F77"/>
    <mergeCell ref="G77:I77"/>
    <mergeCell ref="J77:L77"/>
    <mergeCell ref="AH77:AH78"/>
    <mergeCell ref="AE73:AF74"/>
    <mergeCell ref="AG73:AG74"/>
    <mergeCell ref="M77:O77"/>
    <mergeCell ref="P77:R77"/>
    <mergeCell ref="M75:O75"/>
    <mergeCell ref="P75:R75"/>
    <mergeCell ref="S75:U76"/>
    <mergeCell ref="V75:X75"/>
    <mergeCell ref="AE77:AF78"/>
    <mergeCell ref="AG77:AG78"/>
    <mergeCell ref="AH73:AH74"/>
    <mergeCell ref="A75:A76"/>
    <mergeCell ref="B75:B76"/>
    <mergeCell ref="D75:F75"/>
    <mergeCell ref="G75:I75"/>
    <mergeCell ref="J75:L75"/>
    <mergeCell ref="Y75:AA75"/>
    <mergeCell ref="AB75:AD75"/>
    <mergeCell ref="Y73:AA73"/>
    <mergeCell ref="AB73:AD73"/>
    <mergeCell ref="AH71:AH72"/>
    <mergeCell ref="A73:A74"/>
    <mergeCell ref="B73:B74"/>
    <mergeCell ref="D73:F73"/>
    <mergeCell ref="G73:I73"/>
    <mergeCell ref="J73:L73"/>
    <mergeCell ref="M73:O73"/>
    <mergeCell ref="P73:R74"/>
    <mergeCell ref="S73:U73"/>
    <mergeCell ref="V73:X73"/>
    <mergeCell ref="S71:U71"/>
    <mergeCell ref="V71:X71"/>
    <mergeCell ref="Y71:AA71"/>
    <mergeCell ref="AB71:AD71"/>
    <mergeCell ref="AE71:AF72"/>
    <mergeCell ref="AG71:AG72"/>
    <mergeCell ref="A71:A72"/>
    <mergeCell ref="B71:B72"/>
    <mergeCell ref="D71:F71"/>
    <mergeCell ref="G71:I71"/>
    <mergeCell ref="J71:L71"/>
    <mergeCell ref="M71:O72"/>
    <mergeCell ref="P71:R71"/>
    <mergeCell ref="M69:O69"/>
    <mergeCell ref="P69:R69"/>
    <mergeCell ref="AB67:AD67"/>
    <mergeCell ref="AE67:AF68"/>
    <mergeCell ref="AG67:AG68"/>
    <mergeCell ref="AH67:AH68"/>
    <mergeCell ref="A69:A70"/>
    <mergeCell ref="B69:B70"/>
    <mergeCell ref="D69:F69"/>
    <mergeCell ref="G69:I69"/>
    <mergeCell ref="J69:L70"/>
    <mergeCell ref="AE69:AF70"/>
    <mergeCell ref="AG69:AG70"/>
    <mergeCell ref="AH69:AH70"/>
    <mergeCell ref="S69:U69"/>
    <mergeCell ref="V69:X69"/>
    <mergeCell ref="Y69:AA69"/>
    <mergeCell ref="AB69:AD69"/>
    <mergeCell ref="A65:A66"/>
    <mergeCell ref="B65:B66"/>
    <mergeCell ref="D65:F66"/>
    <mergeCell ref="G65:I65"/>
    <mergeCell ref="J65:L65"/>
    <mergeCell ref="M65:O65"/>
    <mergeCell ref="P65:R65"/>
    <mergeCell ref="AH65:AH66"/>
    <mergeCell ref="A67:A68"/>
    <mergeCell ref="B67:B68"/>
    <mergeCell ref="D67:F67"/>
    <mergeCell ref="G67:I68"/>
    <mergeCell ref="J67:L67"/>
    <mergeCell ref="M67:O67"/>
    <mergeCell ref="P67:R67"/>
    <mergeCell ref="S67:U67"/>
    <mergeCell ref="V67:X67"/>
    <mergeCell ref="S65:U65"/>
    <mergeCell ref="V65:X65"/>
    <mergeCell ref="Y65:AA65"/>
    <mergeCell ref="AB65:AD65"/>
    <mergeCell ref="AE65:AF66"/>
    <mergeCell ref="AG65:AG66"/>
    <mergeCell ref="Y67:AA67"/>
    <mergeCell ref="AG61:AG62"/>
    <mergeCell ref="AH61:AH62"/>
    <mergeCell ref="G63:AA63"/>
    <mergeCell ref="D64:F64"/>
    <mergeCell ref="G64:I64"/>
    <mergeCell ref="J64:L64"/>
    <mergeCell ref="M64:O64"/>
    <mergeCell ref="P64:R64"/>
    <mergeCell ref="S64:U64"/>
    <mergeCell ref="V64:X64"/>
    <mergeCell ref="P61:R61"/>
    <mergeCell ref="S61:U61"/>
    <mergeCell ref="V61:X61"/>
    <mergeCell ref="Y61:AA61"/>
    <mergeCell ref="AB61:AD62"/>
    <mergeCell ref="AE61:AF62"/>
    <mergeCell ref="Y64:AA64"/>
    <mergeCell ref="AB64:AD64"/>
    <mergeCell ref="AE64:AF64"/>
    <mergeCell ref="A61:A62"/>
    <mergeCell ref="B61:B62"/>
    <mergeCell ref="D61:F61"/>
    <mergeCell ref="G61:I61"/>
    <mergeCell ref="J61:L61"/>
    <mergeCell ref="M61:O61"/>
    <mergeCell ref="V59:X59"/>
    <mergeCell ref="Y59:AA60"/>
    <mergeCell ref="AB59:AD59"/>
    <mergeCell ref="AE59:AF60"/>
    <mergeCell ref="AG59:AG60"/>
    <mergeCell ref="AH59:AH60"/>
    <mergeCell ref="AG57:AG58"/>
    <mergeCell ref="AH57:AH58"/>
    <mergeCell ref="A59:A60"/>
    <mergeCell ref="B59:B60"/>
    <mergeCell ref="D59:F59"/>
    <mergeCell ref="G59:I59"/>
    <mergeCell ref="J59:L59"/>
    <mergeCell ref="M59:O59"/>
    <mergeCell ref="P59:R59"/>
    <mergeCell ref="S59:U59"/>
    <mergeCell ref="P57:R57"/>
    <mergeCell ref="S57:U57"/>
    <mergeCell ref="V57:X58"/>
    <mergeCell ref="Y57:AA57"/>
    <mergeCell ref="AB57:AD57"/>
    <mergeCell ref="AE57:AF58"/>
    <mergeCell ref="A57:A58"/>
    <mergeCell ref="B57:B58"/>
    <mergeCell ref="D57:F57"/>
    <mergeCell ref="G57:I57"/>
    <mergeCell ref="J57:L57"/>
    <mergeCell ref="M57:O57"/>
    <mergeCell ref="V55:X55"/>
    <mergeCell ref="Y55:AA55"/>
    <mergeCell ref="AB55:AD55"/>
    <mergeCell ref="AE55:AF56"/>
    <mergeCell ref="AG55:AG56"/>
    <mergeCell ref="AH55:AH56"/>
    <mergeCell ref="AG53:AG54"/>
    <mergeCell ref="AH53:AH54"/>
    <mergeCell ref="V53:X53"/>
    <mergeCell ref="Y53:AA53"/>
    <mergeCell ref="AB53:AD53"/>
    <mergeCell ref="AE53:AF54"/>
    <mergeCell ref="A55:A56"/>
    <mergeCell ref="B55:B56"/>
    <mergeCell ref="D55:F55"/>
    <mergeCell ref="G55:I55"/>
    <mergeCell ref="J55:L55"/>
    <mergeCell ref="M55:O55"/>
    <mergeCell ref="P55:R55"/>
    <mergeCell ref="S55:U56"/>
    <mergeCell ref="P53:R54"/>
    <mergeCell ref="S53:U53"/>
    <mergeCell ref="A53:A54"/>
    <mergeCell ref="B53:B54"/>
    <mergeCell ref="D53:F53"/>
    <mergeCell ref="G53:I53"/>
    <mergeCell ref="J53:L53"/>
    <mergeCell ref="M53:O53"/>
    <mergeCell ref="V51:X51"/>
    <mergeCell ref="Y51:AA51"/>
    <mergeCell ref="AB51:AD51"/>
    <mergeCell ref="AE51:AF52"/>
    <mergeCell ref="AG51:AG52"/>
    <mergeCell ref="AH51:AH52"/>
    <mergeCell ref="AG49:AG50"/>
    <mergeCell ref="AH49:AH50"/>
    <mergeCell ref="A51:A52"/>
    <mergeCell ref="B51:B52"/>
    <mergeCell ref="D51:F51"/>
    <mergeCell ref="G51:I51"/>
    <mergeCell ref="J51:L51"/>
    <mergeCell ref="M51:O52"/>
    <mergeCell ref="P51:R51"/>
    <mergeCell ref="S51:U51"/>
    <mergeCell ref="P49:R49"/>
    <mergeCell ref="S49:U49"/>
    <mergeCell ref="V49:X49"/>
    <mergeCell ref="Y49:AA49"/>
    <mergeCell ref="AB49:AD49"/>
    <mergeCell ref="AE49:AF50"/>
    <mergeCell ref="A49:A50"/>
    <mergeCell ref="B49:B50"/>
    <mergeCell ref="D49:F49"/>
    <mergeCell ref="G49:I49"/>
    <mergeCell ref="J49:L50"/>
    <mergeCell ref="M49:O49"/>
    <mergeCell ref="V47:X47"/>
    <mergeCell ref="Y47:AA47"/>
    <mergeCell ref="AB47:AD47"/>
    <mergeCell ref="AE47:AF48"/>
    <mergeCell ref="AG47:AG48"/>
    <mergeCell ref="AH47:AH48"/>
    <mergeCell ref="AG45:AG46"/>
    <mergeCell ref="AH45:AH46"/>
    <mergeCell ref="A47:A48"/>
    <mergeCell ref="B47:B48"/>
    <mergeCell ref="D47:F47"/>
    <mergeCell ref="G47:I48"/>
    <mergeCell ref="J47:L47"/>
    <mergeCell ref="M47:O47"/>
    <mergeCell ref="P47:R47"/>
    <mergeCell ref="S47:U47"/>
    <mergeCell ref="P45:R45"/>
    <mergeCell ref="S45:U45"/>
    <mergeCell ref="V45:X45"/>
    <mergeCell ref="Y45:AA45"/>
    <mergeCell ref="AB45:AD45"/>
    <mergeCell ref="AE45:AF46"/>
    <mergeCell ref="A45:A46"/>
    <mergeCell ref="B45:B46"/>
    <mergeCell ref="D45:F46"/>
    <mergeCell ref="G45:I45"/>
    <mergeCell ref="J45:L45"/>
    <mergeCell ref="M45:O45"/>
    <mergeCell ref="D44:F44"/>
    <mergeCell ref="G44:I44"/>
    <mergeCell ref="J44:L44"/>
    <mergeCell ref="M44:O44"/>
    <mergeCell ref="A41:A42"/>
    <mergeCell ref="B41:B42"/>
    <mergeCell ref="D41:F41"/>
    <mergeCell ref="G41:I41"/>
    <mergeCell ref="J41:L41"/>
    <mergeCell ref="AE41:AF42"/>
    <mergeCell ref="V44:X44"/>
    <mergeCell ref="Y44:AA44"/>
    <mergeCell ref="AB44:AD44"/>
    <mergeCell ref="AE44:AF44"/>
    <mergeCell ref="P44:R44"/>
    <mergeCell ref="S44:U44"/>
    <mergeCell ref="AG41:AG42"/>
    <mergeCell ref="AH41:AH42"/>
    <mergeCell ref="G43:AA43"/>
    <mergeCell ref="V41:X41"/>
    <mergeCell ref="Y41:AA41"/>
    <mergeCell ref="AB41:AD42"/>
    <mergeCell ref="M41:O41"/>
    <mergeCell ref="P41:R41"/>
    <mergeCell ref="S41:U41"/>
    <mergeCell ref="Y37:AA37"/>
    <mergeCell ref="AB37:AD37"/>
    <mergeCell ref="AE37:AF38"/>
    <mergeCell ref="AG37:AG38"/>
    <mergeCell ref="Y39:AA40"/>
    <mergeCell ref="AB39:AD39"/>
    <mergeCell ref="AE39:AF40"/>
    <mergeCell ref="AG39:AG40"/>
    <mergeCell ref="AH39:AH40"/>
    <mergeCell ref="A39:A40"/>
    <mergeCell ref="B39:B40"/>
    <mergeCell ref="D39:F39"/>
    <mergeCell ref="G39:I39"/>
    <mergeCell ref="J39:L39"/>
    <mergeCell ref="M39:O39"/>
    <mergeCell ref="P39:R39"/>
    <mergeCell ref="S39:U39"/>
    <mergeCell ref="V39:X39"/>
    <mergeCell ref="A35:A36"/>
    <mergeCell ref="B35:B36"/>
    <mergeCell ref="D35:F35"/>
    <mergeCell ref="G35:I35"/>
    <mergeCell ref="J35:L35"/>
    <mergeCell ref="AE35:AF36"/>
    <mergeCell ref="AG35:AG36"/>
    <mergeCell ref="AH35:AH36"/>
    <mergeCell ref="A37:A38"/>
    <mergeCell ref="B37:B38"/>
    <mergeCell ref="D37:F37"/>
    <mergeCell ref="G37:I37"/>
    <mergeCell ref="J37:L37"/>
    <mergeCell ref="M37:O37"/>
    <mergeCell ref="P37:R37"/>
    <mergeCell ref="M35:O35"/>
    <mergeCell ref="P35:R35"/>
    <mergeCell ref="S35:U36"/>
    <mergeCell ref="V35:X35"/>
    <mergeCell ref="Y35:AA35"/>
    <mergeCell ref="AB35:AD35"/>
    <mergeCell ref="AH37:AH38"/>
    <mergeCell ref="S37:U37"/>
    <mergeCell ref="V37:X38"/>
    <mergeCell ref="AH31:AH32"/>
    <mergeCell ref="A33:A34"/>
    <mergeCell ref="B33:B34"/>
    <mergeCell ref="D33:F33"/>
    <mergeCell ref="G33:I33"/>
    <mergeCell ref="J33:L33"/>
    <mergeCell ref="M33:O33"/>
    <mergeCell ref="P33:R34"/>
    <mergeCell ref="S33:U33"/>
    <mergeCell ref="V33:X33"/>
    <mergeCell ref="S31:U31"/>
    <mergeCell ref="V31:X31"/>
    <mergeCell ref="Y31:AA31"/>
    <mergeCell ref="AB31:AD31"/>
    <mergeCell ref="AE31:AF32"/>
    <mergeCell ref="AG31:AG32"/>
    <mergeCell ref="Y33:AA33"/>
    <mergeCell ref="AB33:AD33"/>
    <mergeCell ref="AE33:AF34"/>
    <mergeCell ref="AG33:AG34"/>
    <mergeCell ref="AH33:AH34"/>
    <mergeCell ref="A31:A32"/>
    <mergeCell ref="B31:B32"/>
    <mergeCell ref="D31:F31"/>
    <mergeCell ref="G31:I31"/>
    <mergeCell ref="J31:L31"/>
    <mergeCell ref="M31:O32"/>
    <mergeCell ref="P31:R31"/>
    <mergeCell ref="M29:O29"/>
    <mergeCell ref="P29:R29"/>
    <mergeCell ref="AB27:AD27"/>
    <mergeCell ref="AE27:AF28"/>
    <mergeCell ref="AG27:AG28"/>
    <mergeCell ref="AH27:AH28"/>
    <mergeCell ref="A29:A30"/>
    <mergeCell ref="B29:B30"/>
    <mergeCell ref="D29:F29"/>
    <mergeCell ref="G29:I29"/>
    <mergeCell ref="J29:L30"/>
    <mergeCell ref="AE29:AF30"/>
    <mergeCell ref="AG29:AG30"/>
    <mergeCell ref="AH29:AH30"/>
    <mergeCell ref="S29:U29"/>
    <mergeCell ref="V29:X29"/>
    <mergeCell ref="Y29:AA29"/>
    <mergeCell ref="AB29:AD29"/>
    <mergeCell ref="A25:A26"/>
    <mergeCell ref="B25:B26"/>
    <mergeCell ref="D25:F26"/>
    <mergeCell ref="G25:I25"/>
    <mergeCell ref="J25:L25"/>
    <mergeCell ref="M25:O25"/>
    <mergeCell ref="P25:R25"/>
    <mergeCell ref="AH25:AH26"/>
    <mergeCell ref="A27:A28"/>
    <mergeCell ref="B27:B28"/>
    <mergeCell ref="D27:F27"/>
    <mergeCell ref="G27:I28"/>
    <mergeCell ref="J27:L27"/>
    <mergeCell ref="M27:O27"/>
    <mergeCell ref="P27:R27"/>
    <mergeCell ref="S27:U27"/>
    <mergeCell ref="V27:X27"/>
    <mergeCell ref="S25:U25"/>
    <mergeCell ref="V25:X25"/>
    <mergeCell ref="Y25:AA25"/>
    <mergeCell ref="AB25:AD25"/>
    <mergeCell ref="AE25:AF26"/>
    <mergeCell ref="AG25:AG26"/>
    <mergeCell ref="Y27:AA27"/>
    <mergeCell ref="AG21:AG22"/>
    <mergeCell ref="AH21:AH22"/>
    <mergeCell ref="G23:AA23"/>
    <mergeCell ref="D24:F24"/>
    <mergeCell ref="G24:I24"/>
    <mergeCell ref="J24:L24"/>
    <mergeCell ref="M24:O24"/>
    <mergeCell ref="P24:R24"/>
    <mergeCell ref="S24:U24"/>
    <mergeCell ref="V24:X24"/>
    <mergeCell ref="P21:R21"/>
    <mergeCell ref="S21:U21"/>
    <mergeCell ref="V21:X21"/>
    <mergeCell ref="Y21:AA21"/>
    <mergeCell ref="AB21:AD22"/>
    <mergeCell ref="AE21:AF22"/>
    <mergeCell ref="Y24:AA24"/>
    <mergeCell ref="AB24:AD24"/>
    <mergeCell ref="AE24:AF24"/>
    <mergeCell ref="A21:A22"/>
    <mergeCell ref="B21:B22"/>
    <mergeCell ref="D21:F21"/>
    <mergeCell ref="G21:I21"/>
    <mergeCell ref="J21:L21"/>
    <mergeCell ref="M21:O21"/>
    <mergeCell ref="V19:X19"/>
    <mergeCell ref="Y19:AA20"/>
    <mergeCell ref="AB19:AD19"/>
    <mergeCell ref="AE19:AF20"/>
    <mergeCell ref="AG19:AG20"/>
    <mergeCell ref="AH19:AH20"/>
    <mergeCell ref="AG17:AG18"/>
    <mergeCell ref="AH17:AH18"/>
    <mergeCell ref="A19:A20"/>
    <mergeCell ref="B19:B20"/>
    <mergeCell ref="D19:F19"/>
    <mergeCell ref="G19:I19"/>
    <mergeCell ref="J19:L19"/>
    <mergeCell ref="M19:O19"/>
    <mergeCell ref="P19:R19"/>
    <mergeCell ref="S19:U19"/>
    <mergeCell ref="P17:R17"/>
    <mergeCell ref="S17:U17"/>
    <mergeCell ref="V17:X18"/>
    <mergeCell ref="Y17:AA17"/>
    <mergeCell ref="AB17:AD17"/>
    <mergeCell ref="AE17:AF18"/>
    <mergeCell ref="A17:A18"/>
    <mergeCell ref="B17:B18"/>
    <mergeCell ref="D17:F17"/>
    <mergeCell ref="G17:I17"/>
    <mergeCell ref="J17:L17"/>
    <mergeCell ref="M17:O17"/>
    <mergeCell ref="V15:X15"/>
    <mergeCell ref="Y15:AA15"/>
    <mergeCell ref="AB15:AD15"/>
    <mergeCell ref="AE15:AF16"/>
    <mergeCell ref="AG15:AG16"/>
    <mergeCell ref="AH15:AH16"/>
    <mergeCell ref="AG13:AG14"/>
    <mergeCell ref="AH13:AH14"/>
    <mergeCell ref="V13:X13"/>
    <mergeCell ref="Y13:AA13"/>
    <mergeCell ref="AB13:AD13"/>
    <mergeCell ref="AE13:AF14"/>
    <mergeCell ref="A15:A16"/>
    <mergeCell ref="B15:B16"/>
    <mergeCell ref="D15:F15"/>
    <mergeCell ref="G15:I15"/>
    <mergeCell ref="J15:L15"/>
    <mergeCell ref="M15:O15"/>
    <mergeCell ref="P15:R15"/>
    <mergeCell ref="S15:U16"/>
    <mergeCell ref="P13:R14"/>
    <mergeCell ref="S13:U13"/>
    <mergeCell ref="A13:A14"/>
    <mergeCell ref="B13:B14"/>
    <mergeCell ref="D13:F13"/>
    <mergeCell ref="G13:I13"/>
    <mergeCell ref="J13:L13"/>
    <mergeCell ref="M13:O13"/>
    <mergeCell ref="V11:X11"/>
    <mergeCell ref="Y11:AA11"/>
    <mergeCell ref="AB11:AD11"/>
    <mergeCell ref="AE11:AF12"/>
    <mergeCell ref="AG11:AG12"/>
    <mergeCell ref="AH11:AH12"/>
    <mergeCell ref="AG9:AG10"/>
    <mergeCell ref="AH9:AH10"/>
    <mergeCell ref="A11:A12"/>
    <mergeCell ref="B11:B12"/>
    <mergeCell ref="D11:F11"/>
    <mergeCell ref="G11:I11"/>
    <mergeCell ref="J11:L11"/>
    <mergeCell ref="M11:O12"/>
    <mergeCell ref="P11:R11"/>
    <mergeCell ref="S11:U11"/>
    <mergeCell ref="P9:R9"/>
    <mergeCell ref="S9:U9"/>
    <mergeCell ref="V9:X9"/>
    <mergeCell ref="Y9:AA9"/>
    <mergeCell ref="AB9:AD9"/>
    <mergeCell ref="AE9:AF10"/>
    <mergeCell ref="A9:A10"/>
    <mergeCell ref="B9:B10"/>
    <mergeCell ref="D9:F9"/>
    <mergeCell ref="G9:I9"/>
    <mergeCell ref="J9:L10"/>
    <mergeCell ref="M9:O9"/>
    <mergeCell ref="V7:X7"/>
    <mergeCell ref="Y7:AA7"/>
    <mergeCell ref="AB7:AD7"/>
    <mergeCell ref="AE7:AF8"/>
    <mergeCell ref="AG7:AG8"/>
    <mergeCell ref="A5:A6"/>
    <mergeCell ref="B5:B6"/>
    <mergeCell ref="D5:F6"/>
    <mergeCell ref="G5:I5"/>
    <mergeCell ref="J5:L5"/>
    <mergeCell ref="M5:O5"/>
    <mergeCell ref="AH7:AH8"/>
    <mergeCell ref="AG5:AG6"/>
    <mergeCell ref="AH5:AH6"/>
    <mergeCell ref="A7:A8"/>
    <mergeCell ref="B7:B8"/>
    <mergeCell ref="D7:F7"/>
    <mergeCell ref="G7:I8"/>
    <mergeCell ref="J7:L7"/>
    <mergeCell ref="M7:O7"/>
    <mergeCell ref="P7:R7"/>
    <mergeCell ref="S7:U7"/>
    <mergeCell ref="P5:R5"/>
    <mergeCell ref="S5:U5"/>
    <mergeCell ref="V5:X5"/>
    <mergeCell ref="Y5:AA5"/>
    <mergeCell ref="AB5:AD5"/>
    <mergeCell ref="AE5:AF6"/>
    <mergeCell ref="C1:AG1"/>
    <mergeCell ref="D2:AA2"/>
    <mergeCell ref="AB2:AG2"/>
    <mergeCell ref="G3:AA3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F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  <pageSetUpPr fitToPage="1"/>
  </sheetPr>
  <dimension ref="A1:AH84"/>
  <sheetViews>
    <sheetView view="pageBreakPreview" zoomScale="120" zoomScaleNormal="100" zoomScaleSheetLayoutView="120" workbookViewId="0">
      <selection activeCell="B63" sqref="B63"/>
    </sheetView>
  </sheetViews>
  <sheetFormatPr defaultRowHeight="12.75" outlineLevelCol="1" x14ac:dyDescent="0.2"/>
  <cols>
    <col min="1" max="1" width="5.6640625" style="91" customWidth="1"/>
    <col min="2" max="2" width="5" style="91" hidden="1" customWidth="1" outlineLevel="1"/>
    <col min="3" max="3" width="30" style="91" customWidth="1" collapsed="1"/>
    <col min="4" max="30" width="2.83203125" style="91" customWidth="1"/>
    <col min="31" max="32" width="3.5" style="91" customWidth="1"/>
    <col min="33" max="33" width="9.5" style="91" customWidth="1"/>
    <col min="34" max="34" width="7.83203125" style="91" customWidth="1"/>
    <col min="35" max="51" width="3.5" style="91" customWidth="1"/>
    <col min="52" max="16384" width="9.33203125" style="91"/>
  </cols>
  <sheetData>
    <row r="1" spans="1:34" ht="46.5" customHeight="1" x14ac:dyDescent="0.25">
      <c r="C1" s="1167" t="str">
        <f>'Списки участников'!A1</f>
        <v xml:space="preserve">X Спартакиада
среди предприятий Нижегородской области ФСК "Профсоюзов",
под девизом "Будь спортивным - будь успешным!"
</v>
      </c>
      <c r="D1" s="1167"/>
      <c r="E1" s="1167"/>
      <c r="F1" s="1167"/>
      <c r="G1" s="1167"/>
      <c r="H1" s="1167"/>
      <c r="I1" s="1167"/>
      <c r="J1" s="1167"/>
      <c r="K1" s="1167"/>
      <c r="L1" s="1167"/>
      <c r="M1" s="1167"/>
      <c r="N1" s="1167"/>
      <c r="O1" s="1167"/>
      <c r="P1" s="1167"/>
      <c r="Q1" s="1167"/>
      <c r="R1" s="1167"/>
      <c r="S1" s="1167"/>
      <c r="T1" s="1167"/>
      <c r="U1" s="1167"/>
      <c r="V1" s="1167"/>
      <c r="W1" s="1167"/>
      <c r="X1" s="1167"/>
      <c r="Y1" s="1167"/>
      <c r="Z1" s="1167"/>
      <c r="AA1" s="1167"/>
      <c r="AB1" s="1167"/>
      <c r="AC1" s="1167"/>
      <c r="AD1" s="1167"/>
      <c r="AE1" s="1167"/>
      <c r="AF1" s="1167"/>
      <c r="AG1" s="1167"/>
    </row>
    <row r="2" spans="1:34" ht="15.75" x14ac:dyDescent="0.25">
      <c r="C2" s="438" t="str">
        <f>'Списки участников'!C3</f>
        <v>22 октября 2016 г.</v>
      </c>
      <c r="D2" s="1093"/>
      <c r="E2" s="1093"/>
      <c r="F2" s="1093"/>
      <c r="G2" s="1093"/>
      <c r="H2" s="1093"/>
      <c r="I2" s="1093"/>
      <c r="J2" s="1093"/>
      <c r="K2" s="1093"/>
      <c r="L2" s="1093"/>
      <c r="M2" s="1093"/>
      <c r="N2" s="1093"/>
      <c r="O2" s="1093"/>
      <c r="P2" s="1093"/>
      <c r="Q2" s="1093"/>
      <c r="R2" s="1093"/>
      <c r="S2" s="1093"/>
      <c r="T2" s="1093"/>
      <c r="U2" s="1093"/>
      <c r="V2" s="1093"/>
      <c r="W2" s="1093"/>
      <c r="X2" s="1093"/>
      <c r="Y2" s="1093"/>
      <c r="Z2" s="1093"/>
      <c r="AA2" s="1093"/>
      <c r="AB2" s="1168" t="str">
        <f>'Списки участников'!F3</f>
        <v xml:space="preserve">                                               г. Н. Новгород</v>
      </c>
      <c r="AC2" s="1168"/>
      <c r="AD2" s="1168"/>
      <c r="AE2" s="1168"/>
      <c r="AF2" s="1168"/>
      <c r="AG2" s="1168"/>
    </row>
    <row r="3" spans="1:34" ht="15.75" x14ac:dyDescent="0.25">
      <c r="A3" s="128"/>
      <c r="B3" s="128"/>
      <c r="C3" s="787"/>
      <c r="D3" s="128"/>
      <c r="E3" s="128"/>
      <c r="F3" s="128"/>
      <c r="G3" s="1169" t="s">
        <v>959</v>
      </c>
      <c r="H3" s="1169"/>
      <c r="I3" s="1169"/>
      <c r="J3" s="1169"/>
      <c r="K3" s="1169"/>
      <c r="L3" s="1169"/>
      <c r="M3" s="1169"/>
      <c r="N3" s="1169"/>
      <c r="O3" s="1169"/>
      <c r="P3" s="1169"/>
      <c r="Q3" s="1169"/>
      <c r="R3" s="1169"/>
      <c r="S3" s="1169"/>
      <c r="T3" s="1169"/>
      <c r="U3" s="1169"/>
      <c r="V3" s="1169"/>
      <c r="W3" s="1169"/>
      <c r="X3" s="1169"/>
      <c r="Y3" s="1169"/>
      <c r="Z3" s="1169"/>
      <c r="AA3" s="1169"/>
      <c r="AB3" s="128"/>
      <c r="AC3" s="128"/>
      <c r="AD3" s="128"/>
      <c r="AE3" s="128"/>
      <c r="AF3" s="128"/>
      <c r="AG3" s="128"/>
      <c r="AH3" s="128"/>
    </row>
    <row r="4" spans="1:34" ht="12" customHeight="1" x14ac:dyDescent="0.2">
      <c r="A4" s="129" t="s">
        <v>3</v>
      </c>
      <c r="B4" s="843"/>
      <c r="C4" s="131" t="s">
        <v>757</v>
      </c>
      <c r="D4" s="1170">
        <v>1</v>
      </c>
      <c r="E4" s="1171"/>
      <c r="F4" s="1172"/>
      <c r="G4" s="1170">
        <v>2</v>
      </c>
      <c r="H4" s="1171"/>
      <c r="I4" s="1172"/>
      <c r="J4" s="1170">
        <v>3</v>
      </c>
      <c r="K4" s="1171"/>
      <c r="L4" s="1172"/>
      <c r="M4" s="1170">
        <v>4</v>
      </c>
      <c r="N4" s="1171"/>
      <c r="O4" s="1172"/>
      <c r="P4" s="1170">
        <v>5</v>
      </c>
      <c r="Q4" s="1171"/>
      <c r="R4" s="1172"/>
      <c r="S4" s="1170">
        <v>6</v>
      </c>
      <c r="T4" s="1171"/>
      <c r="U4" s="1172"/>
      <c r="V4" s="1170">
        <v>7</v>
      </c>
      <c r="W4" s="1171"/>
      <c r="X4" s="1172"/>
      <c r="Y4" s="1170">
        <v>8</v>
      </c>
      <c r="Z4" s="1171"/>
      <c r="AA4" s="1172"/>
      <c r="AB4" s="1170">
        <v>9</v>
      </c>
      <c r="AC4" s="1171"/>
      <c r="AD4" s="1172"/>
      <c r="AE4" s="1173" t="s">
        <v>758</v>
      </c>
      <c r="AF4" s="1174"/>
      <c r="AG4" s="844" t="s">
        <v>759</v>
      </c>
      <c r="AH4" s="440" t="s">
        <v>100</v>
      </c>
    </row>
    <row r="5" spans="1:34" ht="12" customHeight="1" x14ac:dyDescent="0.2">
      <c r="A5" s="1175">
        <v>1</v>
      </c>
      <c r="B5" s="1177">
        <v>9</v>
      </c>
      <c r="C5" s="441" t="str">
        <f>IF(B5="","",VLOOKUP(B5,'Списки участников'!A:H,3,FALSE))</f>
        <v>ШИРЯЕВ Петр</v>
      </c>
      <c r="D5" s="1179"/>
      <c r="E5" s="1179"/>
      <c r="F5" s="1180"/>
      <c r="G5" s="1183"/>
      <c r="H5" s="1184"/>
      <c r="I5" s="1185"/>
      <c r="J5" s="1183"/>
      <c r="K5" s="1184"/>
      <c r="L5" s="1185"/>
      <c r="M5" s="1183"/>
      <c r="N5" s="1184"/>
      <c r="O5" s="1185"/>
      <c r="P5" s="1183"/>
      <c r="Q5" s="1184"/>
      <c r="R5" s="1185"/>
      <c r="S5" s="1183"/>
      <c r="T5" s="1184"/>
      <c r="U5" s="1185"/>
      <c r="V5" s="1183"/>
      <c r="W5" s="1184"/>
      <c r="X5" s="1185"/>
      <c r="Y5" s="1183"/>
      <c r="Z5" s="1184"/>
      <c r="AA5" s="1185"/>
      <c r="AB5" s="1183"/>
      <c r="AC5" s="1184"/>
      <c r="AD5" s="1185"/>
      <c r="AE5" s="1196">
        <f>IF(B5="","",SUM(G5,J5,M5,P5,S5,V5,Y5,AB5,))</f>
        <v>0</v>
      </c>
      <c r="AF5" s="1197"/>
      <c r="AG5" s="1187"/>
      <c r="AH5" s="1186">
        <f>IF(B5="","",RANK(AE5,ГР5О))</f>
        <v>1</v>
      </c>
    </row>
    <row r="6" spans="1:34" ht="12" customHeight="1" x14ac:dyDescent="0.2">
      <c r="A6" s="1176"/>
      <c r="B6" s="1178"/>
      <c r="C6" s="442" t="str">
        <f>IF(B5="","",VLOOKUP(B5,'Списки участников'!A:H,6,FALSE))</f>
        <v>ОАО "НИАЭП"</v>
      </c>
      <c r="D6" s="1181"/>
      <c r="E6" s="1181"/>
      <c r="F6" s="1182"/>
      <c r="G6" s="443"/>
      <c r="H6" s="444" t="str">
        <f>IF(G5="","",":")</f>
        <v/>
      </c>
      <c r="I6" s="445"/>
      <c r="J6" s="443"/>
      <c r="K6" s="444" t="str">
        <f>IF(J5="","",":")</f>
        <v/>
      </c>
      <c r="L6" s="445"/>
      <c r="M6" s="443"/>
      <c r="N6" s="444" t="str">
        <f>IF(M6="","",":")</f>
        <v/>
      </c>
      <c r="O6" s="445"/>
      <c r="P6" s="443"/>
      <c r="Q6" s="444" t="str">
        <f>IF(P6="","",":")</f>
        <v/>
      </c>
      <c r="R6" s="445"/>
      <c r="S6" s="443"/>
      <c r="T6" s="444" t="str">
        <f>IF(S6="","",":")</f>
        <v/>
      </c>
      <c r="U6" s="445"/>
      <c r="V6" s="443"/>
      <c r="W6" s="444" t="str">
        <f>IF(V6="","",":")</f>
        <v/>
      </c>
      <c r="X6" s="445"/>
      <c r="Y6" s="443"/>
      <c r="Z6" s="444" t="str">
        <f>IF(Y6="","",":")</f>
        <v/>
      </c>
      <c r="AA6" s="445"/>
      <c r="AB6" s="443"/>
      <c r="AC6" s="444" t="str">
        <f>IF(AB6="","",":")</f>
        <v/>
      </c>
      <c r="AD6" s="445"/>
      <c r="AE6" s="1198"/>
      <c r="AF6" s="1199"/>
      <c r="AG6" s="1188"/>
      <c r="AH6" s="1186"/>
    </row>
    <row r="7" spans="1:34" ht="12" customHeight="1" x14ac:dyDescent="0.2">
      <c r="A7" s="1175">
        <v>2</v>
      </c>
      <c r="B7" s="1177">
        <v>25</v>
      </c>
      <c r="C7" s="441" t="str">
        <f>IF(B7="","",VLOOKUP(B7,'Списки участников'!A:H,3,FALSE))</f>
        <v>ФИЛЬЧУГОВ Сергей</v>
      </c>
      <c r="D7" s="1189" t="str">
        <f>IF(G5="","",IF(G6="W",0,IF(G5=2,1,IF(G5=1,2,IF(G5=0,2)))))</f>
        <v/>
      </c>
      <c r="E7" s="1190"/>
      <c r="F7" s="1191"/>
      <c r="G7" s="1192"/>
      <c r="H7" s="1193"/>
      <c r="I7" s="1194"/>
      <c r="J7" s="1183"/>
      <c r="K7" s="1184"/>
      <c r="L7" s="1185"/>
      <c r="M7" s="1183"/>
      <c r="N7" s="1184"/>
      <c r="O7" s="1185"/>
      <c r="P7" s="1183"/>
      <c r="Q7" s="1184"/>
      <c r="R7" s="1185"/>
      <c r="S7" s="1183"/>
      <c r="T7" s="1184"/>
      <c r="U7" s="1185"/>
      <c r="V7" s="1183"/>
      <c r="W7" s="1184"/>
      <c r="X7" s="1185"/>
      <c r="Y7" s="1183"/>
      <c r="Z7" s="1184"/>
      <c r="AA7" s="1185"/>
      <c r="AB7" s="1183"/>
      <c r="AC7" s="1184"/>
      <c r="AD7" s="1185"/>
      <c r="AE7" s="1196">
        <f>IF(B7="","",SUM(D7,J7,M7,P7,S7,V7,Y7,AB7,))</f>
        <v>0</v>
      </c>
      <c r="AF7" s="1197"/>
      <c r="AG7" s="1187"/>
      <c r="AH7" s="1186">
        <f>IF(B7="","",RANK(AE7,ГР5О))</f>
        <v>1</v>
      </c>
    </row>
    <row r="8" spans="1:34" ht="12" customHeight="1" x14ac:dyDescent="0.2">
      <c r="A8" s="1176"/>
      <c r="B8" s="1178"/>
      <c r="C8" s="442" t="str">
        <f>IF(B7="","",VLOOKUP(B7,'Списки участников'!A:H,6,FALSE))</f>
        <v>"КРАСНОЕ СОРМОВО"</v>
      </c>
      <c r="D8" s="446" t="str">
        <f>IF(G6="","",IF(I6="l","W",I6))</f>
        <v/>
      </c>
      <c r="E8" s="447" t="str">
        <f>IF(G5="","",":")</f>
        <v/>
      </c>
      <c r="F8" s="448" t="str">
        <f>IF(I6="","",IF(G6="W","L",G6))</f>
        <v/>
      </c>
      <c r="G8" s="1195"/>
      <c r="H8" s="1181"/>
      <c r="I8" s="1182"/>
      <c r="J8" s="443"/>
      <c r="K8" s="444" t="str">
        <f>IF(J7="","",":")</f>
        <v/>
      </c>
      <c r="L8" s="445"/>
      <c r="M8" s="443"/>
      <c r="N8" s="444" t="str">
        <f>IF(M7="","",":")</f>
        <v/>
      </c>
      <c r="O8" s="445"/>
      <c r="P8" s="443"/>
      <c r="Q8" s="444" t="str">
        <f>IF(P7="","",":")</f>
        <v/>
      </c>
      <c r="R8" s="445"/>
      <c r="S8" s="443"/>
      <c r="T8" s="444" t="str">
        <f>IF(S8="","",":")</f>
        <v/>
      </c>
      <c r="U8" s="445"/>
      <c r="V8" s="443"/>
      <c r="W8" s="444" t="str">
        <f>IF(V8="","",":")</f>
        <v/>
      </c>
      <c r="X8" s="445"/>
      <c r="Y8" s="443"/>
      <c r="Z8" s="444" t="str">
        <f>IF(Y8="","",":")</f>
        <v/>
      </c>
      <c r="AA8" s="445"/>
      <c r="AB8" s="443"/>
      <c r="AC8" s="444" t="str">
        <f>IF(AB8="","",":")</f>
        <v/>
      </c>
      <c r="AD8" s="445"/>
      <c r="AE8" s="1198"/>
      <c r="AF8" s="1199"/>
      <c r="AG8" s="1188"/>
      <c r="AH8" s="1186"/>
    </row>
    <row r="9" spans="1:34" ht="12" customHeight="1" x14ac:dyDescent="0.2">
      <c r="A9" s="1175">
        <v>3</v>
      </c>
      <c r="B9" s="1177">
        <v>6</v>
      </c>
      <c r="C9" s="441" t="str">
        <f>IF(B9="","",VLOOKUP(B9,'Списки участников'!A:H,3,FALSE))</f>
        <v>ЯШУНИН Андрей</v>
      </c>
      <c r="D9" s="1189" t="str">
        <f>IF(J5="","",IF(J6="W",0,IF(J5=2,1,IF(J5=1,2,IF(J5=0,2)))))</f>
        <v/>
      </c>
      <c r="E9" s="1190"/>
      <c r="F9" s="1191"/>
      <c r="G9" s="1183" t="str">
        <f>IF(J7="","",IF(J8="W",0,IF(J7=2,1,IF(J7=1,2,IF(J7=0,2)))))</f>
        <v/>
      </c>
      <c r="H9" s="1184"/>
      <c r="I9" s="1185"/>
      <c r="J9" s="1192"/>
      <c r="K9" s="1193"/>
      <c r="L9" s="1194"/>
      <c r="M9" s="1183"/>
      <c r="N9" s="1184"/>
      <c r="O9" s="1185"/>
      <c r="P9" s="1183"/>
      <c r="Q9" s="1184"/>
      <c r="R9" s="1185"/>
      <c r="S9" s="1183"/>
      <c r="T9" s="1184"/>
      <c r="U9" s="1185"/>
      <c r="V9" s="1183"/>
      <c r="W9" s="1184"/>
      <c r="X9" s="1185"/>
      <c r="Y9" s="1183"/>
      <c r="Z9" s="1184"/>
      <c r="AA9" s="1185"/>
      <c r="AB9" s="1183"/>
      <c r="AC9" s="1184"/>
      <c r="AD9" s="1185"/>
      <c r="AE9" s="1196">
        <f>IF(B9="","",SUM(D9,G9,M9,P9,S9,V9,Y9,AB9,))</f>
        <v>0</v>
      </c>
      <c r="AF9" s="1197"/>
      <c r="AG9" s="1200"/>
      <c r="AH9" s="1186">
        <f>IF(B9="","",RANK(AE9,ГР5О))</f>
        <v>1</v>
      </c>
    </row>
    <row r="10" spans="1:34" ht="12" customHeight="1" x14ac:dyDescent="0.2">
      <c r="A10" s="1176"/>
      <c r="B10" s="1178"/>
      <c r="C10" s="442" t="str">
        <f>IF(B9="","",VLOOKUP(B9,'Списки участников'!A:H,6,FALSE))</f>
        <v>ОАО АНПП "ТЕМП-АВИА"</v>
      </c>
      <c r="D10" s="449" t="str">
        <f>IF(J6="","",IF(L6="l","W",L6))</f>
        <v/>
      </c>
      <c r="E10" s="444" t="str">
        <f>IF(K6="","",":")</f>
        <v/>
      </c>
      <c r="F10" s="450" t="str">
        <f>IF(L6="","",IF(J6="W","L",J6))</f>
        <v/>
      </c>
      <c r="G10" s="449" t="str">
        <f>IF(J8="","",IF(L8="l","W",L8))</f>
        <v/>
      </c>
      <c r="H10" s="444" t="str">
        <f>IF(K8="","",":")</f>
        <v/>
      </c>
      <c r="I10" s="450" t="str">
        <f>IF(L8="","",IF(J8="W","L",J8))</f>
        <v/>
      </c>
      <c r="J10" s="1195"/>
      <c r="K10" s="1181"/>
      <c r="L10" s="1182"/>
      <c r="M10" s="443"/>
      <c r="N10" s="444" t="str">
        <f>IF(M9="","",":")</f>
        <v/>
      </c>
      <c r="O10" s="445"/>
      <c r="P10" s="443"/>
      <c r="Q10" s="444" t="str">
        <f>IF(P9="","",":")</f>
        <v/>
      </c>
      <c r="R10" s="445"/>
      <c r="S10" s="443"/>
      <c r="T10" s="444" t="str">
        <f>IF(S9="","",":")</f>
        <v/>
      </c>
      <c r="U10" s="445"/>
      <c r="V10" s="443"/>
      <c r="W10" s="444" t="str">
        <f>IF(V10="","",":")</f>
        <v/>
      </c>
      <c r="X10" s="445"/>
      <c r="Y10" s="443"/>
      <c r="Z10" s="444" t="str">
        <f>IF(Y10="","",":")</f>
        <v/>
      </c>
      <c r="AA10" s="445"/>
      <c r="AB10" s="443"/>
      <c r="AC10" s="444" t="str">
        <f>IF(AB10="","",":")</f>
        <v/>
      </c>
      <c r="AD10" s="445"/>
      <c r="AE10" s="1198"/>
      <c r="AF10" s="1199"/>
      <c r="AG10" s="1201"/>
      <c r="AH10" s="1186"/>
    </row>
    <row r="11" spans="1:34" ht="12" customHeight="1" x14ac:dyDescent="0.2">
      <c r="A11" s="1175">
        <v>4</v>
      </c>
      <c r="B11" s="1177">
        <v>23</v>
      </c>
      <c r="C11" s="441" t="str">
        <f>IF(B11="","",VLOOKUP(B11,'Списки участников'!A:H,3,FALSE))</f>
        <v>КОРНИЛАЕВ Михаил</v>
      </c>
      <c r="D11" s="1183" t="str">
        <f>IF(M5="","",IF(M6="W",0,IF(M5=2,1,IF(M5=1,2,IF(M5=0,2)))))</f>
        <v/>
      </c>
      <c r="E11" s="1184"/>
      <c r="F11" s="1185"/>
      <c r="G11" s="1183" t="str">
        <f>IF(M7="","",IF(M8="W",0,IF(M7=2,1,IF(M7=1,2,IF(M7=0,2)))))</f>
        <v/>
      </c>
      <c r="H11" s="1184"/>
      <c r="I11" s="1185"/>
      <c r="J11" s="1183" t="str">
        <f>IF(M9="","",IF(M10="W",0,IF(M9=2,1,IF(M9=1,2,IF(M9=0,2)))))</f>
        <v/>
      </c>
      <c r="K11" s="1184"/>
      <c r="L11" s="1185"/>
      <c r="M11" s="1193"/>
      <c r="N11" s="1193"/>
      <c r="O11" s="1193"/>
      <c r="P11" s="1183"/>
      <c r="Q11" s="1184"/>
      <c r="R11" s="1185"/>
      <c r="S11" s="1183"/>
      <c r="T11" s="1184"/>
      <c r="U11" s="1185"/>
      <c r="V11" s="1183"/>
      <c r="W11" s="1184"/>
      <c r="X11" s="1185"/>
      <c r="Y11" s="1183"/>
      <c r="Z11" s="1184"/>
      <c r="AA11" s="1185"/>
      <c r="AB11" s="1183"/>
      <c r="AC11" s="1184"/>
      <c r="AD11" s="1185"/>
      <c r="AE11" s="1196">
        <f>IF(B11="","",SUM(D11,J11,G11,P11,S11,V11,Y11,AB11,))</f>
        <v>0</v>
      </c>
      <c r="AF11" s="1197"/>
      <c r="AG11" s="1200"/>
      <c r="AH11" s="1186">
        <f>IF(B11="","",RANK(AE11,ГР5О))</f>
        <v>1</v>
      </c>
    </row>
    <row r="12" spans="1:34" ht="12" customHeight="1" x14ac:dyDescent="0.2">
      <c r="A12" s="1176"/>
      <c r="B12" s="1178"/>
      <c r="C12" s="442" t="str">
        <f>IF(B11="","",VLOOKUP(B11,'Списки участников'!A:H,6,FALSE))</f>
        <v>НИИИС</v>
      </c>
      <c r="D12" s="449" t="str">
        <f>IF(M6="","",IF(O6="l","W",O6))</f>
        <v/>
      </c>
      <c r="E12" s="444" t="str">
        <f>IF(N6="","",":")</f>
        <v/>
      </c>
      <c r="F12" s="450" t="str">
        <f>IF(O6="","",IF(M6="W","L",M6))</f>
        <v/>
      </c>
      <c r="G12" s="449" t="str">
        <f>IF(M8="","",IF(O8="l","W",O8))</f>
        <v/>
      </c>
      <c r="H12" s="444" t="str">
        <f>IF(N8="","",":")</f>
        <v/>
      </c>
      <c r="I12" s="450" t="str">
        <f>IF(O8="","",IF(M8="W","L",M8))</f>
        <v/>
      </c>
      <c r="J12" s="449" t="str">
        <f>IF(M10="","",IF(O10="l","W",O10))</f>
        <v/>
      </c>
      <c r="K12" s="444" t="str">
        <f>IF(N10="","",":")</f>
        <v/>
      </c>
      <c r="L12" s="450" t="str">
        <f>IF(O10="","",IF(M10="W","L",M10))</f>
        <v/>
      </c>
      <c r="M12" s="1202"/>
      <c r="N12" s="1202"/>
      <c r="O12" s="1202"/>
      <c r="P12" s="443"/>
      <c r="Q12" s="444" t="str">
        <f>IF(P11="","",":")</f>
        <v/>
      </c>
      <c r="R12" s="445"/>
      <c r="S12" s="443"/>
      <c r="T12" s="444" t="str">
        <f>IF(S11="","",":")</f>
        <v/>
      </c>
      <c r="U12" s="445"/>
      <c r="V12" s="443"/>
      <c r="W12" s="444" t="str">
        <f>IF(V11="","",":")</f>
        <v/>
      </c>
      <c r="X12" s="445"/>
      <c r="Y12" s="443"/>
      <c r="Z12" s="444" t="str">
        <f>IF(Y12="","",":")</f>
        <v/>
      </c>
      <c r="AA12" s="445"/>
      <c r="AB12" s="443"/>
      <c r="AC12" s="444" t="str">
        <f>IF(AB12="","",":")</f>
        <v/>
      </c>
      <c r="AD12" s="445"/>
      <c r="AE12" s="1198"/>
      <c r="AF12" s="1199"/>
      <c r="AG12" s="1201"/>
      <c r="AH12" s="1186"/>
    </row>
    <row r="13" spans="1:34" ht="12" customHeight="1" x14ac:dyDescent="0.2">
      <c r="A13" s="1175">
        <v>5</v>
      </c>
      <c r="B13" s="1177"/>
      <c r="C13" s="441" t="str">
        <f>IF(B13="","",VLOOKUP(B13,'Списки участников'!A:H,3,FALSE))</f>
        <v/>
      </c>
      <c r="D13" s="1183" t="str">
        <f>IF(P5="","",IF(P6="W",0,IF(P5=2,1,IF(P5=1,2,IF(P5=0,2)))))</f>
        <v/>
      </c>
      <c r="E13" s="1184"/>
      <c r="F13" s="1185"/>
      <c r="G13" s="1183" t="str">
        <f>IF(P7="","",IF(P8="W",0,IF(P7=2,1,IF(P7=1,2,IF(P7=0,2)))))</f>
        <v/>
      </c>
      <c r="H13" s="1184"/>
      <c r="I13" s="1185"/>
      <c r="J13" s="1183" t="str">
        <f>IF(P9="","",IF(P10="W",0,IF(P9=2,1,IF(P9=1,2,IF(P9=0,2)))))</f>
        <v/>
      </c>
      <c r="K13" s="1184"/>
      <c r="L13" s="1185"/>
      <c r="M13" s="1183" t="str">
        <f>IF(P11="","",IF(P12="W",0,IF(P11=2,1,IF(P11=1,2,IF(P11=0,2)))))</f>
        <v/>
      </c>
      <c r="N13" s="1184"/>
      <c r="O13" s="1185"/>
      <c r="P13" s="1192"/>
      <c r="Q13" s="1193"/>
      <c r="R13" s="1194"/>
      <c r="S13" s="1183"/>
      <c r="T13" s="1184"/>
      <c r="U13" s="1185"/>
      <c r="V13" s="1183"/>
      <c r="W13" s="1184"/>
      <c r="X13" s="1185"/>
      <c r="Y13" s="1183"/>
      <c r="Z13" s="1184"/>
      <c r="AA13" s="1185"/>
      <c r="AB13" s="1183"/>
      <c r="AC13" s="1184"/>
      <c r="AD13" s="1185"/>
      <c r="AE13" s="1196" t="str">
        <f>IF(B13="","",SUM(D13,J13,M13,G13,S13,V13,Y13,AB13,))</f>
        <v/>
      </c>
      <c r="AF13" s="1197"/>
      <c r="AG13" s="1200"/>
      <c r="AH13" s="1186" t="str">
        <f>IF(B13="","",RANK(AE13,ГР5О))</f>
        <v/>
      </c>
    </row>
    <row r="14" spans="1:34" ht="12" customHeight="1" x14ac:dyDescent="0.2">
      <c r="A14" s="1176"/>
      <c r="B14" s="1178"/>
      <c r="C14" s="442" t="str">
        <f>IF(B13="","",VLOOKUP(B13,'Списки участников'!A:H,6,FALSE))</f>
        <v/>
      </c>
      <c r="D14" s="449" t="str">
        <f>IF(P6="","",IF(R6="l","W",R6))</f>
        <v/>
      </c>
      <c r="E14" s="444" t="str">
        <f>IF(Q6="","",":")</f>
        <v/>
      </c>
      <c r="F14" s="450" t="str">
        <f>IF(R6="","",IF(P6="W","L",P6))</f>
        <v/>
      </c>
      <c r="G14" s="449" t="str">
        <f>IF(P8="","",IF(R8="l","W",R8))</f>
        <v/>
      </c>
      <c r="H14" s="444" t="str">
        <f>IF(Q8="","",":")</f>
        <v/>
      </c>
      <c r="I14" s="450" t="str">
        <f>IF(R8="","",IF(P8="W","L",P8))</f>
        <v/>
      </c>
      <c r="J14" s="449" t="str">
        <f>IF(P10="","",IF(R10="l","W",R10))</f>
        <v/>
      </c>
      <c r="K14" s="444" t="str">
        <f>IF(Q10="","",":")</f>
        <v/>
      </c>
      <c r="L14" s="450" t="str">
        <f>IF(R10="","",IF(P10="W","L",P10))</f>
        <v/>
      </c>
      <c r="M14" s="449" t="str">
        <f>IF(P12="","",IF(R12="l","W",R12))</f>
        <v/>
      </c>
      <c r="N14" s="444" t="str">
        <f>IF(Q12="","",":")</f>
        <v/>
      </c>
      <c r="O14" s="450" t="str">
        <f>IF(R12="","",IF(P12="W","L",P12))</f>
        <v/>
      </c>
      <c r="P14" s="1195"/>
      <c r="Q14" s="1181"/>
      <c r="R14" s="1182"/>
      <c r="S14" s="443"/>
      <c r="T14" s="444" t="str">
        <f>IF(S13="","",":")</f>
        <v/>
      </c>
      <c r="U14" s="445"/>
      <c r="V14" s="443"/>
      <c r="W14" s="444" t="str">
        <f>IF(V13="","",":")</f>
        <v/>
      </c>
      <c r="X14" s="445"/>
      <c r="Y14" s="443"/>
      <c r="Z14" s="444" t="str">
        <f>IF(Y13="","",":")</f>
        <v/>
      </c>
      <c r="AA14" s="445"/>
      <c r="AB14" s="443"/>
      <c r="AC14" s="444" t="str">
        <f>IF(AB14="","",":")</f>
        <v/>
      </c>
      <c r="AD14" s="445"/>
      <c r="AE14" s="1198"/>
      <c r="AF14" s="1199"/>
      <c r="AG14" s="1201"/>
      <c r="AH14" s="1186"/>
    </row>
    <row r="15" spans="1:34" ht="12" hidden="1" customHeight="1" x14ac:dyDescent="0.2">
      <c r="A15" s="1175">
        <v>6</v>
      </c>
      <c r="B15" s="1177"/>
      <c r="C15" s="441" t="str">
        <f>IF(B15="","",VLOOKUP(B15,'Списки участников'!A:H,3,FALSE))</f>
        <v/>
      </c>
      <c r="D15" s="1183" t="str">
        <f>IF(S5="","",IF(S6="W",0,IF(S5=2,1,IF(S5=1,2,IF(S5=0,2)))))</f>
        <v/>
      </c>
      <c r="E15" s="1184"/>
      <c r="F15" s="1185"/>
      <c r="G15" s="1183" t="str">
        <f>IF(S7="","",IF(S8="W",0,IF(S7=2,1,IF(S7=1,2,IF(S7=0,2)))))</f>
        <v/>
      </c>
      <c r="H15" s="1184"/>
      <c r="I15" s="1185"/>
      <c r="J15" s="1183" t="str">
        <f>IF(S9="","",IF(S10="W",0,IF(S9=2,1,IF(S9=1,2,IF(S9=0,2)))))</f>
        <v/>
      </c>
      <c r="K15" s="1184"/>
      <c r="L15" s="1185"/>
      <c r="M15" s="1183" t="str">
        <f>IF(S11="","",IF(S12="W",0,IF(S11=2,1,IF(S11=1,2,IF(S11=0,2)))))</f>
        <v/>
      </c>
      <c r="N15" s="1184"/>
      <c r="O15" s="1185"/>
      <c r="P15" s="1183" t="str">
        <f>IF(S13="","",IF(S14="W",0,IF(S13=2,1,IF(S13=1,2,IF(S13=0,2)))))</f>
        <v/>
      </c>
      <c r="Q15" s="1184"/>
      <c r="R15" s="1185"/>
      <c r="S15" s="1192"/>
      <c r="T15" s="1193"/>
      <c r="U15" s="1194"/>
      <c r="V15" s="1183"/>
      <c r="W15" s="1184"/>
      <c r="X15" s="1185"/>
      <c r="Y15" s="1183"/>
      <c r="Z15" s="1184"/>
      <c r="AA15" s="1185"/>
      <c r="AB15" s="1183"/>
      <c r="AC15" s="1184"/>
      <c r="AD15" s="1185"/>
      <c r="AE15" s="1196" t="str">
        <f>IF(B15="","",SUM(D15,J15,M15,P15,G15,V15,Y15,AB15,))</f>
        <v/>
      </c>
      <c r="AF15" s="1197"/>
      <c r="AG15" s="1200"/>
      <c r="AH15" s="1186" t="str">
        <f>IF(B15="","",RANK(AE15,ГР5О))</f>
        <v/>
      </c>
    </row>
    <row r="16" spans="1:34" ht="12" hidden="1" customHeight="1" x14ac:dyDescent="0.2">
      <c r="A16" s="1176"/>
      <c r="B16" s="1178"/>
      <c r="C16" s="442" t="str">
        <f>IF(B15="","",VLOOKUP(B15,'Списки участников'!A:H,6,FALSE))</f>
        <v/>
      </c>
      <c r="D16" s="449" t="str">
        <f>IF(S6="","",IF(U6="l","W",U6))</f>
        <v/>
      </c>
      <c r="E16" s="444" t="str">
        <f>IF(T6="","",":")</f>
        <v/>
      </c>
      <c r="F16" s="450" t="str">
        <f>IF(U6="","",IF(S6="W","L",S6))</f>
        <v/>
      </c>
      <c r="G16" s="449" t="str">
        <f>IF(S8="","",IF(U8="l","W",U8))</f>
        <v/>
      </c>
      <c r="H16" s="444" t="str">
        <f>IF(T8="","",":")</f>
        <v/>
      </c>
      <c r="I16" s="450" t="str">
        <f>IF(U8="","",IF(S8="W","L",S8))</f>
        <v/>
      </c>
      <c r="J16" s="449" t="str">
        <f>IF(S10="","",IF(U10="l","W",U10))</f>
        <v/>
      </c>
      <c r="K16" s="444" t="str">
        <f>IF(T10="","",":")</f>
        <v/>
      </c>
      <c r="L16" s="450" t="str">
        <f>IF(U10="","",IF(S10="W","L",S10))</f>
        <v/>
      </c>
      <c r="M16" s="449" t="str">
        <f>IF(S12="","",IF(U12="l","W",U12))</f>
        <v/>
      </c>
      <c r="N16" s="444" t="str">
        <f>IF(T12="","",":")</f>
        <v/>
      </c>
      <c r="O16" s="450" t="str">
        <f>IF(U12="","",IF(S12="W","L",S12))</f>
        <v/>
      </c>
      <c r="P16" s="449" t="str">
        <f>IF(S14="","",IF(U14="l","W",U14))</f>
        <v/>
      </c>
      <c r="Q16" s="444" t="str">
        <f>IF(T14="","",":")</f>
        <v/>
      </c>
      <c r="R16" s="450" t="str">
        <f>IF(U14="","",IF(S14="W","L",S14))</f>
        <v/>
      </c>
      <c r="S16" s="1195"/>
      <c r="T16" s="1181"/>
      <c r="U16" s="1182"/>
      <c r="V16" s="443"/>
      <c r="W16" s="444" t="str">
        <f>IF(V15="","",":")</f>
        <v/>
      </c>
      <c r="X16" s="445"/>
      <c r="Y16" s="443"/>
      <c r="Z16" s="444" t="str">
        <f>IF(Y15="","",":")</f>
        <v/>
      </c>
      <c r="AA16" s="445"/>
      <c r="AB16" s="443"/>
      <c r="AC16" s="444" t="str">
        <f>IF(AB15="","",":")</f>
        <v/>
      </c>
      <c r="AD16" s="445"/>
      <c r="AE16" s="1198"/>
      <c r="AF16" s="1199"/>
      <c r="AG16" s="1201"/>
      <c r="AH16" s="1186"/>
    </row>
    <row r="17" spans="1:34" ht="12" hidden="1" customHeight="1" x14ac:dyDescent="0.2">
      <c r="A17" s="1175">
        <v>7</v>
      </c>
      <c r="B17" s="1177"/>
      <c r="C17" s="441" t="str">
        <f>IF(B17="","",VLOOKUP(B17,'Списки участников'!A:H,3,FALSE))</f>
        <v/>
      </c>
      <c r="D17" s="1183" t="str">
        <f>IF(V5="","",IF(V6="W",0,IF(V5=2,1,IF(V5=1,2,IF(V5=0,2)))))</f>
        <v/>
      </c>
      <c r="E17" s="1184"/>
      <c r="F17" s="1185"/>
      <c r="G17" s="1183" t="str">
        <f>IF(V7="","",IF(V8="W",0,IF(V7=2,1,IF(V7=1,2,IF(V7=0,2)))))</f>
        <v/>
      </c>
      <c r="H17" s="1184"/>
      <c r="I17" s="1185"/>
      <c r="J17" s="1183" t="str">
        <f>IF(V9="","",IF(V10="W",0,IF(V9=2,1,IF(V9=1,2,IF(V9=0,2)))))</f>
        <v/>
      </c>
      <c r="K17" s="1184"/>
      <c r="L17" s="1185"/>
      <c r="M17" s="1183" t="str">
        <f>IF(V11="","",IF(V12="W",0,IF(V11=2,1,IF(V11=1,2,IF(V11=0,2)))))</f>
        <v/>
      </c>
      <c r="N17" s="1184"/>
      <c r="O17" s="1185"/>
      <c r="P17" s="1183" t="str">
        <f>IF(V13="","",IF(V14="W",0,IF(V13=2,1,IF(V13=1,2,IF(V13=0,2)))))</f>
        <v/>
      </c>
      <c r="Q17" s="1184"/>
      <c r="R17" s="1185"/>
      <c r="S17" s="1183" t="str">
        <f>IF(V15="","",IF(V16="W",0,IF(V15=2,1,IF(V15=1,2,IF(V15=0,2)))))</f>
        <v/>
      </c>
      <c r="T17" s="1184"/>
      <c r="U17" s="1185"/>
      <c r="V17" s="1203"/>
      <c r="W17" s="1179"/>
      <c r="X17" s="1180"/>
      <c r="Y17" s="1183"/>
      <c r="Z17" s="1184"/>
      <c r="AA17" s="1185"/>
      <c r="AB17" s="1183"/>
      <c r="AC17" s="1184"/>
      <c r="AD17" s="1185"/>
      <c r="AE17" s="1196" t="str">
        <f>IF(B17="","",SUM(D17,J17,M17,P17,S17,G17,Y17,AB17,))</f>
        <v/>
      </c>
      <c r="AF17" s="1197"/>
      <c r="AG17" s="1200"/>
      <c r="AH17" s="1186" t="str">
        <f>IF(B17="","",RANK(AE17,ГР5О))</f>
        <v/>
      </c>
    </row>
    <row r="18" spans="1:34" ht="12" hidden="1" customHeight="1" x14ac:dyDescent="0.2">
      <c r="A18" s="1176"/>
      <c r="B18" s="1178"/>
      <c r="C18" s="442" t="str">
        <f>IF(B17="","",VLOOKUP(B17,'Списки участников'!A:H,6,FALSE))</f>
        <v/>
      </c>
      <c r="D18" s="449" t="str">
        <f>IF(V6="","",IF(X6="l","W",X6))</f>
        <v/>
      </c>
      <c r="E18" s="444" t="str">
        <f>IF(W6="","",":")</f>
        <v/>
      </c>
      <c r="F18" s="450" t="str">
        <f>IF(X6="","",IF(V6="W","L",V6))</f>
        <v/>
      </c>
      <c r="G18" s="449" t="str">
        <f>IF(V8="","",IF(X8="l","W",X8))</f>
        <v/>
      </c>
      <c r="H18" s="444" t="str">
        <f>IF(W8="","",":")</f>
        <v/>
      </c>
      <c r="I18" s="450" t="str">
        <f>IF(X8="","",IF(V8="W","L",V8))</f>
        <v/>
      </c>
      <c r="J18" s="449" t="str">
        <f>IF(V10="","",IF(X10="l","W",X10))</f>
        <v/>
      </c>
      <c r="K18" s="444" t="str">
        <f>IF(W10="","",":")</f>
        <v/>
      </c>
      <c r="L18" s="450" t="str">
        <f>IF(X10="","",IF(V10="W","L",V10))</f>
        <v/>
      </c>
      <c r="M18" s="449" t="str">
        <f>IF(V12="","",IF(X12="l","W",X12))</f>
        <v/>
      </c>
      <c r="N18" s="444" t="str">
        <f>IF(W12="","",":")</f>
        <v/>
      </c>
      <c r="O18" s="450" t="str">
        <f>IF(X12="","",IF(V12="W","L",V12))</f>
        <v/>
      </c>
      <c r="P18" s="449" t="str">
        <f>IF(V14="","",IF(X14="l","W",X14))</f>
        <v/>
      </c>
      <c r="Q18" s="444" t="str">
        <f>IF(W14="","",":")</f>
        <v/>
      </c>
      <c r="R18" s="450" t="str">
        <f>IF(X14="","",IF(V14="W","L",V14))</f>
        <v/>
      </c>
      <c r="S18" s="449" t="str">
        <f>IF(V16="","",IF(X16="l","W",X16))</f>
        <v/>
      </c>
      <c r="T18" s="444" t="str">
        <f>IF(W16="","",":")</f>
        <v/>
      </c>
      <c r="U18" s="450" t="str">
        <f>IF(X16="","",IF(V16="W","L",V16))</f>
        <v/>
      </c>
      <c r="V18" s="1195"/>
      <c r="W18" s="1181"/>
      <c r="X18" s="1182"/>
      <c r="Y18" s="443"/>
      <c r="Z18" s="444" t="str">
        <f>IF(Y17="","",":")</f>
        <v/>
      </c>
      <c r="AA18" s="445"/>
      <c r="AB18" s="443"/>
      <c r="AC18" s="444" t="str">
        <f>IF(AB17="","",":")</f>
        <v/>
      </c>
      <c r="AD18" s="445"/>
      <c r="AE18" s="1198"/>
      <c r="AF18" s="1199"/>
      <c r="AG18" s="1201"/>
      <c r="AH18" s="1186"/>
    </row>
    <row r="19" spans="1:34" ht="12" hidden="1" customHeight="1" x14ac:dyDescent="0.2">
      <c r="A19" s="1175">
        <v>8</v>
      </c>
      <c r="B19" s="1177"/>
      <c r="C19" s="441" t="str">
        <f>IF(B19="","",VLOOKUP(B19,'Списки участников'!A:H,3,FALSE))</f>
        <v/>
      </c>
      <c r="D19" s="1183" t="str">
        <f>IF(Y5="","",IF(Y6="W",0,IF(Y5=2,1,IF(Y5=1,2,IF(Y5=0,2)))))</f>
        <v/>
      </c>
      <c r="E19" s="1184"/>
      <c r="F19" s="1185"/>
      <c r="G19" s="1183" t="str">
        <f>IF(Y7="","",IF(Y8="W",0,IF(Y7=2,1,IF(Y7=1,2,IF(Y7=0,2)))))</f>
        <v/>
      </c>
      <c r="H19" s="1184"/>
      <c r="I19" s="1185"/>
      <c r="J19" s="1183" t="str">
        <f>IF(Y9="","",IF(Y10="W",0,IF(Y9=2,1,IF(Y9=1,2,IF(Y9=0,2)))))</f>
        <v/>
      </c>
      <c r="K19" s="1184"/>
      <c r="L19" s="1185"/>
      <c r="M19" s="1183" t="str">
        <f>IF(Y11="","",IF(Y12="W",0,IF(Y11=2,1,IF(Y11=1,2,IF(Y11=0,2)))))</f>
        <v/>
      </c>
      <c r="N19" s="1184"/>
      <c r="O19" s="1185"/>
      <c r="P19" s="1183" t="str">
        <f>IF(Y13="","",IF(Y14="W",0,IF(Y13=2,1,IF(Y13=1,2,IF(Y13=0,2)))))</f>
        <v/>
      </c>
      <c r="Q19" s="1184"/>
      <c r="R19" s="1185"/>
      <c r="S19" s="1183" t="str">
        <f>IF(Y15="","",IF(Y16="W",0,IF(Y15=2,1,IF(Y15=1,2,IF(Y15=0,2)))))</f>
        <v/>
      </c>
      <c r="T19" s="1184"/>
      <c r="U19" s="1185"/>
      <c r="V19" s="1183" t="str">
        <f>IF(Y17="","",IF(Y18="W",0,IF(Y17=2,1,IF(Y17=1,2,IF(Y17=0,2)))))</f>
        <v/>
      </c>
      <c r="W19" s="1184"/>
      <c r="X19" s="1185"/>
      <c r="Y19" s="1192"/>
      <c r="Z19" s="1193"/>
      <c r="AA19" s="1194"/>
      <c r="AB19" s="1183"/>
      <c r="AC19" s="1184"/>
      <c r="AD19" s="1185"/>
      <c r="AE19" s="1196" t="str">
        <f>IF(B19="","",SUM(D19,J19,M19,P19,S19,V19,G19,AB19,))</f>
        <v/>
      </c>
      <c r="AF19" s="1197"/>
      <c r="AG19" s="1200"/>
      <c r="AH19" s="1186" t="str">
        <f>IF(B19="","",RANK(AE19,ГР5О))</f>
        <v/>
      </c>
    </row>
    <row r="20" spans="1:34" ht="12" hidden="1" customHeight="1" x14ac:dyDescent="0.2">
      <c r="A20" s="1176"/>
      <c r="B20" s="1178"/>
      <c r="C20" s="442" t="str">
        <f>IF(B19="","",VLOOKUP(B19,'Списки участников'!A:H,6,FALSE))</f>
        <v/>
      </c>
      <c r="D20" s="449" t="str">
        <f>IF(Y6="","",IF(AA6="l","W",AA6))</f>
        <v/>
      </c>
      <c r="E20" s="444" t="str">
        <f>IF(Z6="","",":")</f>
        <v/>
      </c>
      <c r="F20" s="450" t="str">
        <f>IF(AA6="","",IF(Y6="W","L",Y6))</f>
        <v/>
      </c>
      <c r="G20" s="449" t="str">
        <f>IF(Y8="","",IF(AA8="l","W",AA8))</f>
        <v/>
      </c>
      <c r="H20" s="444" t="str">
        <f>IF(Z8="","",":")</f>
        <v/>
      </c>
      <c r="I20" s="450" t="str">
        <f>IF(AA8="","",IF(Y8="W","L",Y8))</f>
        <v/>
      </c>
      <c r="J20" s="449" t="str">
        <f>IF(Y10="","",IF(AA10="l","W",AA10))</f>
        <v/>
      </c>
      <c r="K20" s="444" t="str">
        <f>IF(Z10="","",":")</f>
        <v/>
      </c>
      <c r="L20" s="450" t="str">
        <f>IF(AA10="","",IF(Y10="W","L",Y10))</f>
        <v/>
      </c>
      <c r="M20" s="449" t="str">
        <f>IF(Y12="","",IF(AA12="l","W",AA12))</f>
        <v/>
      </c>
      <c r="N20" s="444" t="str">
        <f>IF(Z12="","",":")</f>
        <v/>
      </c>
      <c r="O20" s="450" t="str">
        <f>IF(AA12="","",IF(Y12="W","L",Y12))</f>
        <v/>
      </c>
      <c r="P20" s="449" t="str">
        <f>IF(Y14="","",IF(AA14="l","W",AA14))</f>
        <v/>
      </c>
      <c r="Q20" s="444" t="str">
        <f>IF(Z14="","",":")</f>
        <v/>
      </c>
      <c r="R20" s="450" t="str">
        <f>IF(AA14="","",IF(Y14="W","L",Y14))</f>
        <v/>
      </c>
      <c r="S20" s="449" t="str">
        <f>IF(Y16="","",IF(AA16="l","W",AA16))</f>
        <v/>
      </c>
      <c r="T20" s="444" t="str">
        <f>IF(Z16="","",":")</f>
        <v/>
      </c>
      <c r="U20" s="450" t="str">
        <f>IF(AA16="","",IF(Y16="W","L",Y16))</f>
        <v/>
      </c>
      <c r="V20" s="449" t="str">
        <f>IF(Y18="","",IF(AA18="l","W",AA18))</f>
        <v/>
      </c>
      <c r="W20" s="444" t="str">
        <f>IF(Z18="","",":")</f>
        <v/>
      </c>
      <c r="X20" s="450" t="str">
        <f>IF(AA18="","",IF(Y18="W","L",Y18))</f>
        <v/>
      </c>
      <c r="Y20" s="1195"/>
      <c r="Z20" s="1181"/>
      <c r="AA20" s="1182"/>
      <c r="AB20" s="443"/>
      <c r="AC20" s="444" t="str">
        <f>IF(AB19="","",":")</f>
        <v/>
      </c>
      <c r="AD20" s="445"/>
      <c r="AE20" s="1198"/>
      <c r="AF20" s="1199"/>
      <c r="AG20" s="1201"/>
      <c r="AH20" s="1186"/>
    </row>
    <row r="21" spans="1:34" ht="12" hidden="1" customHeight="1" x14ac:dyDescent="0.2">
      <c r="A21" s="1175">
        <v>9</v>
      </c>
      <c r="B21" s="1177"/>
      <c r="C21" s="441" t="str">
        <f>IF(B21="","",VLOOKUP(B21,'Списки участников'!A:H,3,FALSE))</f>
        <v/>
      </c>
      <c r="D21" s="1183" t="str">
        <f>IF(AB5="","",IF(AB6="W",0,IF(AB5=2,1,IF(AB5=1,2,IF(AB5=0,2)))))</f>
        <v/>
      </c>
      <c r="E21" s="1184"/>
      <c r="F21" s="1185"/>
      <c r="G21" s="1183" t="str">
        <f>IF(AB7="","",IF(AB8="W",0,IF(AB7=2,1,IF(AB7=1,2,IF(AB7=0,2)))))</f>
        <v/>
      </c>
      <c r="H21" s="1184"/>
      <c r="I21" s="1185"/>
      <c r="J21" s="1183" t="str">
        <f>IF(AB9="","",IF(AB10="W",0,IF(AB9=2,1,IF(AB9=1,2,IF(AB9=0,2)))))</f>
        <v/>
      </c>
      <c r="K21" s="1184"/>
      <c r="L21" s="1185"/>
      <c r="M21" s="1183" t="str">
        <f>IF(AB11="","",IF(AB12="W",0,IF(AB11=2,1,IF(AB11=1,2,IF(AB11=0,2)))))</f>
        <v/>
      </c>
      <c r="N21" s="1184"/>
      <c r="O21" s="1185"/>
      <c r="P21" s="1183" t="str">
        <f>IF(AB13="","",IF(AB14="W",0,IF(AB13=2,1,IF(AB13=1,2,IF(AB13=0,2)))))</f>
        <v/>
      </c>
      <c r="Q21" s="1184"/>
      <c r="R21" s="1185"/>
      <c r="S21" s="1183" t="str">
        <f>IF(AB15="","",IF(AB16="W",0,IF(AB15=2,1,IF(AB15=1,2,IF(AB15=0,2)))))</f>
        <v/>
      </c>
      <c r="T21" s="1184"/>
      <c r="U21" s="1185"/>
      <c r="V21" s="1183" t="str">
        <f>IF(AB17="","",IF(AB18="W",0,IF(AB17=2,1,IF(AB17=1,2,IF(AB17=0,2)))))</f>
        <v/>
      </c>
      <c r="W21" s="1184"/>
      <c r="X21" s="1185"/>
      <c r="Y21" s="1183" t="str">
        <f>IF(AB19="","",IF(AB20="W",0,IF(AB19=2,1,IF(AB19=1,2,IF(AB19=0,2)))))</f>
        <v/>
      </c>
      <c r="Z21" s="1184"/>
      <c r="AA21" s="1185"/>
      <c r="AB21" s="1203"/>
      <c r="AC21" s="1179"/>
      <c r="AD21" s="1180"/>
      <c r="AE21" s="1196" t="str">
        <f>IF(B21="","",SUM(D21,J21,M21,P21,S21,V21,Y21,G21,))</f>
        <v/>
      </c>
      <c r="AF21" s="1197"/>
      <c r="AG21" s="1200"/>
      <c r="AH21" s="1186" t="str">
        <f>IF(B21="","",RANK(AE21,ГР5О))</f>
        <v/>
      </c>
    </row>
    <row r="22" spans="1:34" ht="12" hidden="1" customHeight="1" x14ac:dyDescent="0.2">
      <c r="A22" s="1176"/>
      <c r="B22" s="1178"/>
      <c r="C22" s="442" t="str">
        <f>IF(B21="","",VLOOKUP(B21,'Списки участников'!A:H,6,FALSE))</f>
        <v/>
      </c>
      <c r="D22" s="449" t="str">
        <f>IF(AB6="","",IF(AD6="l","W",AD6))</f>
        <v/>
      </c>
      <c r="E22" s="444" t="str">
        <f>IF(AC6="","",":")</f>
        <v/>
      </c>
      <c r="F22" s="450" t="str">
        <f>IF(AD6="","",IF(AB6="W","L",AB6))</f>
        <v/>
      </c>
      <c r="G22" s="449" t="str">
        <f>IF(AB8="","",IF(AD8="l","W",AD8))</f>
        <v/>
      </c>
      <c r="H22" s="444" t="str">
        <f>IF(AC8="","",":")</f>
        <v/>
      </c>
      <c r="I22" s="450" t="str">
        <f>IF(AD8="","",IF(AB8="W","L",AB8))</f>
        <v/>
      </c>
      <c r="J22" s="449" t="str">
        <f>IF(AB10="","",IF(AD10="l","W",AD10))</f>
        <v/>
      </c>
      <c r="K22" s="444" t="str">
        <f>IF(AC10="","",":")</f>
        <v/>
      </c>
      <c r="L22" s="450" t="str">
        <f>IF(AD10="","",IF(AB10="W","L",AB10))</f>
        <v/>
      </c>
      <c r="M22" s="449" t="str">
        <f>IF(AB12="","",IF(AD12="l","W",AD12))</f>
        <v/>
      </c>
      <c r="N22" s="444" t="str">
        <f>IF(AC12="","",":")</f>
        <v/>
      </c>
      <c r="O22" s="450" t="str">
        <f>IF(AD12="","",IF(AB12="W","L",AB12))</f>
        <v/>
      </c>
      <c r="P22" s="449" t="str">
        <f>IF(AB14="","",IF(AD14="l","W",AD14))</f>
        <v/>
      </c>
      <c r="Q22" s="444" t="str">
        <f>IF(AC14="","",":")</f>
        <v/>
      </c>
      <c r="R22" s="450" t="str">
        <f>IF(AD14="","",IF(AB14="W","L",AB14))</f>
        <v/>
      </c>
      <c r="S22" s="449" t="str">
        <f>IF(AB16="","",IF(AD16="l","W",AD16))</f>
        <v/>
      </c>
      <c r="T22" s="444" t="str">
        <f>IF(AC16="","",":")</f>
        <v/>
      </c>
      <c r="U22" s="450" t="str">
        <f>IF(AD16="","",IF(AB16="W","L",AB16))</f>
        <v/>
      </c>
      <c r="V22" s="449" t="str">
        <f>IF(AB18="","",IF(AD18="l","W",AD18))</f>
        <v/>
      </c>
      <c r="W22" s="444" t="str">
        <f>IF(AC18="","",":")</f>
        <v/>
      </c>
      <c r="X22" s="450" t="str">
        <f>IF(AD18="","",IF(AB18="W","L",AB18))</f>
        <v/>
      </c>
      <c r="Y22" s="449" t="str">
        <f>IF(AB20="","",IF(AD20="l","W",AD20))</f>
        <v/>
      </c>
      <c r="Z22" s="444" t="str">
        <f>IF(AC20="","",":")</f>
        <v/>
      </c>
      <c r="AA22" s="450" t="str">
        <f>IF(AD20="","",IF(AB20="W","L",AB20))</f>
        <v/>
      </c>
      <c r="AB22" s="1195"/>
      <c r="AC22" s="1181"/>
      <c r="AD22" s="1182"/>
      <c r="AE22" s="1198"/>
      <c r="AF22" s="1199"/>
      <c r="AG22" s="1201"/>
      <c r="AH22" s="1186"/>
    </row>
    <row r="23" spans="1:34" ht="12" customHeight="1" x14ac:dyDescent="0.25">
      <c r="A23" s="128"/>
      <c r="B23" s="128"/>
      <c r="C23" s="451"/>
      <c r="D23" s="128"/>
      <c r="E23" s="128"/>
      <c r="F23" s="128"/>
      <c r="G23" s="1204" t="s">
        <v>960</v>
      </c>
      <c r="H23" s="1204"/>
      <c r="I23" s="1204"/>
      <c r="J23" s="1204"/>
      <c r="K23" s="1204"/>
      <c r="L23" s="1204"/>
      <c r="M23" s="1204"/>
      <c r="N23" s="1204"/>
      <c r="O23" s="1204"/>
      <c r="P23" s="1204"/>
      <c r="Q23" s="1204"/>
      <c r="R23" s="1204"/>
      <c r="S23" s="1204"/>
      <c r="T23" s="1204"/>
      <c r="U23" s="1204"/>
      <c r="V23" s="1204"/>
      <c r="W23" s="1204"/>
      <c r="X23" s="1204"/>
      <c r="Y23" s="1204"/>
      <c r="Z23" s="1204"/>
      <c r="AA23" s="1204"/>
      <c r="AB23" s="128"/>
      <c r="AC23" s="128"/>
      <c r="AD23" s="128"/>
      <c r="AE23" s="128"/>
      <c r="AF23" s="128"/>
      <c r="AG23" s="128"/>
      <c r="AH23" s="128"/>
    </row>
    <row r="24" spans="1:34" ht="12" customHeight="1" x14ac:dyDescent="0.2">
      <c r="A24" s="129" t="s">
        <v>3</v>
      </c>
      <c r="B24" s="843"/>
      <c r="C24" s="131" t="s">
        <v>757</v>
      </c>
      <c r="D24" s="1170">
        <v>1</v>
      </c>
      <c r="E24" s="1171"/>
      <c r="F24" s="1172"/>
      <c r="G24" s="1170">
        <v>2</v>
      </c>
      <c r="H24" s="1171"/>
      <c r="I24" s="1172"/>
      <c r="J24" s="1170">
        <v>3</v>
      </c>
      <c r="K24" s="1171"/>
      <c r="L24" s="1172"/>
      <c r="M24" s="1170">
        <v>4</v>
      </c>
      <c r="N24" s="1171"/>
      <c r="O24" s="1172"/>
      <c r="P24" s="1170">
        <v>5</v>
      </c>
      <c r="Q24" s="1171"/>
      <c r="R24" s="1172"/>
      <c r="S24" s="1170">
        <v>6</v>
      </c>
      <c r="T24" s="1171"/>
      <c r="U24" s="1172"/>
      <c r="V24" s="1170">
        <v>7</v>
      </c>
      <c r="W24" s="1171"/>
      <c r="X24" s="1172"/>
      <c r="Y24" s="1170">
        <v>8</v>
      </c>
      <c r="Z24" s="1171"/>
      <c r="AA24" s="1172"/>
      <c r="AB24" s="1170">
        <v>9</v>
      </c>
      <c r="AC24" s="1171"/>
      <c r="AD24" s="1172"/>
      <c r="AE24" s="1173" t="s">
        <v>758</v>
      </c>
      <c r="AF24" s="1174"/>
      <c r="AG24" s="844" t="s">
        <v>759</v>
      </c>
      <c r="AH24" s="440" t="s">
        <v>100</v>
      </c>
    </row>
    <row r="25" spans="1:34" ht="12" customHeight="1" x14ac:dyDescent="0.2">
      <c r="A25" s="1175">
        <v>1</v>
      </c>
      <c r="B25" s="1205">
        <v>17</v>
      </c>
      <c r="C25" s="441" t="str">
        <f>IF(B25="","",VLOOKUP(B25,'Списки участников'!A:H,3,FALSE))</f>
        <v>ЕГОРОВ Игорь</v>
      </c>
      <c r="D25" s="1179"/>
      <c r="E25" s="1179"/>
      <c r="F25" s="1180"/>
      <c r="G25" s="1183"/>
      <c r="H25" s="1184"/>
      <c r="I25" s="1185"/>
      <c r="J25" s="1183"/>
      <c r="K25" s="1184"/>
      <c r="L25" s="1185"/>
      <c r="M25" s="1183"/>
      <c r="N25" s="1184"/>
      <c r="O25" s="1185"/>
      <c r="P25" s="1183"/>
      <c r="Q25" s="1184"/>
      <c r="R25" s="1185"/>
      <c r="S25" s="1183"/>
      <c r="T25" s="1184"/>
      <c r="U25" s="1185"/>
      <c r="V25" s="1183"/>
      <c r="W25" s="1184"/>
      <c r="X25" s="1185"/>
      <c r="Y25" s="1183"/>
      <c r="Z25" s="1184"/>
      <c r="AA25" s="1185"/>
      <c r="AB25" s="1183"/>
      <c r="AC25" s="1184"/>
      <c r="AD25" s="1185"/>
      <c r="AE25" s="1196">
        <f>IF(B25="","",SUM(G25,J25,M25,P25,S25,V25,Y25,AB25,))</f>
        <v>0</v>
      </c>
      <c r="AF25" s="1197"/>
      <c r="AG25" s="1187"/>
      <c r="AH25" s="1186">
        <f>IF(B25="","",RANK(AE25,ГР6О))</f>
        <v>1</v>
      </c>
    </row>
    <row r="26" spans="1:34" ht="12" customHeight="1" x14ac:dyDescent="0.2">
      <c r="A26" s="1176"/>
      <c r="B26" s="1206"/>
      <c r="C26" s="442" t="str">
        <f>IF(B25="","",VLOOKUP(B25,'Списки участников'!A:H,6,FALSE))</f>
        <v>НПАП №1</v>
      </c>
      <c r="D26" s="1181"/>
      <c r="E26" s="1181"/>
      <c r="F26" s="1182"/>
      <c r="G26" s="443"/>
      <c r="H26" s="444" t="str">
        <f>IF(G25="","",":")</f>
        <v/>
      </c>
      <c r="I26" s="445"/>
      <c r="J26" s="443"/>
      <c r="K26" s="444" t="str">
        <f>IF(J25="","",":")</f>
        <v/>
      </c>
      <c r="L26" s="445"/>
      <c r="M26" s="443"/>
      <c r="N26" s="444" t="str">
        <f>IF(M26="","",":")</f>
        <v/>
      </c>
      <c r="O26" s="445"/>
      <c r="P26" s="443"/>
      <c r="Q26" s="444" t="str">
        <f>IF(P26="","",":")</f>
        <v/>
      </c>
      <c r="R26" s="445"/>
      <c r="S26" s="443"/>
      <c r="T26" s="444" t="str">
        <f>IF(S26="","",":")</f>
        <v/>
      </c>
      <c r="U26" s="445"/>
      <c r="V26" s="443"/>
      <c r="W26" s="444" t="str">
        <f>IF(V26="","",":")</f>
        <v/>
      </c>
      <c r="X26" s="445"/>
      <c r="Y26" s="443"/>
      <c r="Z26" s="444" t="str">
        <f>IF(Y26="","",":")</f>
        <v/>
      </c>
      <c r="AA26" s="445"/>
      <c r="AB26" s="443"/>
      <c r="AC26" s="444" t="str">
        <f>IF(AB26="","",":")</f>
        <v/>
      </c>
      <c r="AD26" s="445"/>
      <c r="AE26" s="1198"/>
      <c r="AF26" s="1199"/>
      <c r="AG26" s="1188"/>
      <c r="AH26" s="1186"/>
    </row>
    <row r="27" spans="1:34" ht="12" customHeight="1" x14ac:dyDescent="0.2">
      <c r="A27" s="1175">
        <v>2</v>
      </c>
      <c r="B27" s="1205">
        <v>34</v>
      </c>
      <c r="C27" s="441" t="str">
        <f>IF(B27="","",VLOOKUP(B27,'Списки участников'!A:H,3,FALSE))</f>
        <v>ТИНЬКОВ Александр</v>
      </c>
      <c r="D27" s="1189" t="str">
        <f>IF(G25="","",IF(G26="W",0,IF(G25=2,1,IF(G25=1,2,IF(G25=0,2)))))</f>
        <v/>
      </c>
      <c r="E27" s="1190"/>
      <c r="F27" s="1191"/>
      <c r="G27" s="1192"/>
      <c r="H27" s="1193"/>
      <c r="I27" s="1194"/>
      <c r="J27" s="1183"/>
      <c r="K27" s="1184"/>
      <c r="L27" s="1185"/>
      <c r="M27" s="1183"/>
      <c r="N27" s="1184"/>
      <c r="O27" s="1185"/>
      <c r="P27" s="1183"/>
      <c r="Q27" s="1184"/>
      <c r="R27" s="1185"/>
      <c r="S27" s="1183"/>
      <c r="T27" s="1184"/>
      <c r="U27" s="1185"/>
      <c r="V27" s="1183"/>
      <c r="W27" s="1184"/>
      <c r="X27" s="1185"/>
      <c r="Y27" s="1183"/>
      <c r="Z27" s="1184"/>
      <c r="AA27" s="1185"/>
      <c r="AB27" s="1183"/>
      <c r="AC27" s="1184"/>
      <c r="AD27" s="1185"/>
      <c r="AE27" s="1196">
        <f>IF(B27="","",SUM(D27,J27,M27,P27,S27,V27,Y27,AB27,))</f>
        <v>0</v>
      </c>
      <c r="AF27" s="1197"/>
      <c r="AG27" s="1187"/>
      <c r="AH27" s="1186">
        <f>IF(B27="","",RANK(AE27,ГР6О))</f>
        <v>1</v>
      </c>
    </row>
    <row r="28" spans="1:34" ht="12" customHeight="1" x14ac:dyDescent="0.2">
      <c r="A28" s="1176"/>
      <c r="B28" s="1206"/>
      <c r="C28" s="442" t="str">
        <f>IF(B27="","",VLOOKUP(B27,'Списки участников'!A:H,6,FALSE))</f>
        <v>АО "ОКБМ"</v>
      </c>
      <c r="D28" s="446" t="str">
        <f>IF(G26="","",IF(I26="l","W",I26))</f>
        <v/>
      </c>
      <c r="E28" s="447" t="str">
        <f>IF(G25="","",":")</f>
        <v/>
      </c>
      <c r="F28" s="448" t="str">
        <f>IF(I26="","",IF(G26="W","L",G26))</f>
        <v/>
      </c>
      <c r="G28" s="1195"/>
      <c r="H28" s="1181"/>
      <c r="I28" s="1182"/>
      <c r="J28" s="443"/>
      <c r="K28" s="444" t="str">
        <f>IF(J27="","",":")</f>
        <v/>
      </c>
      <c r="L28" s="445"/>
      <c r="M28" s="443"/>
      <c r="N28" s="444" t="str">
        <f>IF(M27="","",":")</f>
        <v/>
      </c>
      <c r="O28" s="445"/>
      <c r="P28" s="443"/>
      <c r="Q28" s="444" t="str">
        <f>IF(P27="","",":")</f>
        <v/>
      </c>
      <c r="R28" s="445"/>
      <c r="S28" s="443"/>
      <c r="T28" s="444" t="str">
        <f>IF(S28="","",":")</f>
        <v/>
      </c>
      <c r="U28" s="445"/>
      <c r="V28" s="443"/>
      <c r="W28" s="444" t="str">
        <f>IF(V28="","",":")</f>
        <v/>
      </c>
      <c r="X28" s="445"/>
      <c r="Y28" s="443"/>
      <c r="Z28" s="444" t="str">
        <f>IF(Y28="","",":")</f>
        <v/>
      </c>
      <c r="AA28" s="445"/>
      <c r="AB28" s="443"/>
      <c r="AC28" s="444" t="str">
        <f>IF(AB28="","",":")</f>
        <v/>
      </c>
      <c r="AD28" s="445"/>
      <c r="AE28" s="1198"/>
      <c r="AF28" s="1199"/>
      <c r="AG28" s="1188"/>
      <c r="AH28" s="1186"/>
    </row>
    <row r="29" spans="1:34" ht="12" customHeight="1" x14ac:dyDescent="0.2">
      <c r="A29" s="1175">
        <v>3</v>
      </c>
      <c r="B29" s="1205">
        <v>46</v>
      </c>
      <c r="C29" s="441" t="str">
        <f>IF(B29="","",VLOOKUP(B29,'Списки участников'!A:H,3,FALSE))</f>
        <v>МАТВЕЕВ Сергей</v>
      </c>
      <c r="D29" s="1189" t="str">
        <f>IF(J25="","",IF(J26="W",0,IF(J25=2,1,IF(J25=1,2,IF(J25=0,2)))))</f>
        <v/>
      </c>
      <c r="E29" s="1190"/>
      <c r="F29" s="1191"/>
      <c r="G29" s="1183" t="str">
        <f>IF(J27="","",IF(J28="W",0,IF(J27=2,1,IF(J27=1,2,IF(J27=0,2)))))</f>
        <v/>
      </c>
      <c r="H29" s="1184"/>
      <c r="I29" s="1185"/>
      <c r="J29" s="1192"/>
      <c r="K29" s="1193"/>
      <c r="L29" s="1194"/>
      <c r="M29" s="1183"/>
      <c r="N29" s="1184"/>
      <c r="O29" s="1185"/>
      <c r="P29" s="1183"/>
      <c r="Q29" s="1184"/>
      <c r="R29" s="1185"/>
      <c r="S29" s="1183"/>
      <c r="T29" s="1184"/>
      <c r="U29" s="1185"/>
      <c r="V29" s="1183"/>
      <c r="W29" s="1184"/>
      <c r="X29" s="1185"/>
      <c r="Y29" s="1183"/>
      <c r="Z29" s="1184"/>
      <c r="AA29" s="1185"/>
      <c r="AB29" s="1183"/>
      <c r="AC29" s="1184"/>
      <c r="AD29" s="1185"/>
      <c r="AE29" s="1196">
        <f>IF(B29="","",SUM(G29,D29,M29,P29,S29,V29,Y29,AB29,))</f>
        <v>0</v>
      </c>
      <c r="AF29" s="1197"/>
      <c r="AG29" s="1200"/>
      <c r="AH29" s="1186">
        <f>IF(B29="","",RANK(AE29,ГР6О))</f>
        <v>1</v>
      </c>
    </row>
    <row r="30" spans="1:34" ht="12" customHeight="1" x14ac:dyDescent="0.2">
      <c r="A30" s="1176"/>
      <c r="B30" s="1207"/>
      <c r="C30" s="442" t="str">
        <f>IF(B29="","",VLOOKUP(B29,'Списки участников'!A:H,6,FALSE))</f>
        <v>ПАО НАЗ "СОКОЛ"</v>
      </c>
      <c r="D30" s="449" t="str">
        <f>IF(J26="","",IF(L26="l","W",L26))</f>
        <v/>
      </c>
      <c r="E30" s="444" t="str">
        <f>IF(K26="","",":")</f>
        <v/>
      </c>
      <c r="F30" s="450" t="str">
        <f>IF(L26="","",IF(J26="W","L",J26))</f>
        <v/>
      </c>
      <c r="G30" s="449" t="str">
        <f>IF(J28="","",IF(L28="l","W",L28))</f>
        <v/>
      </c>
      <c r="H30" s="444" t="str">
        <f>IF(K28="","",":")</f>
        <v/>
      </c>
      <c r="I30" s="450" t="str">
        <f>IF(L28="","",IF(J28="W","L",J28))</f>
        <v/>
      </c>
      <c r="J30" s="1195"/>
      <c r="K30" s="1181"/>
      <c r="L30" s="1182"/>
      <c r="M30" s="443"/>
      <c r="N30" s="444" t="str">
        <f>IF(M29="","",":")</f>
        <v/>
      </c>
      <c r="O30" s="445"/>
      <c r="P30" s="443"/>
      <c r="Q30" s="444" t="str">
        <f>IF(P29="","",":")</f>
        <v/>
      </c>
      <c r="R30" s="445"/>
      <c r="S30" s="443"/>
      <c r="T30" s="444" t="str">
        <f>IF(S29="","",":")</f>
        <v/>
      </c>
      <c r="U30" s="445"/>
      <c r="V30" s="443"/>
      <c r="W30" s="444" t="str">
        <f>IF(V30="","",":")</f>
        <v/>
      </c>
      <c r="X30" s="445"/>
      <c r="Y30" s="443"/>
      <c r="Z30" s="444" t="str">
        <f>IF(Y30="","",":")</f>
        <v/>
      </c>
      <c r="AA30" s="445"/>
      <c r="AB30" s="443"/>
      <c r="AC30" s="444" t="str">
        <f>IF(AB30="","",":")</f>
        <v/>
      </c>
      <c r="AD30" s="445"/>
      <c r="AE30" s="1198"/>
      <c r="AF30" s="1199"/>
      <c r="AG30" s="1201"/>
      <c r="AH30" s="1186"/>
    </row>
    <row r="31" spans="1:34" ht="12" customHeight="1" x14ac:dyDescent="0.2">
      <c r="A31" s="1175">
        <v>4</v>
      </c>
      <c r="B31" s="1205">
        <v>11</v>
      </c>
      <c r="C31" s="441" t="str">
        <f>IF(B31="","",VLOOKUP(B31,'Списки участников'!A:H,3,FALSE))</f>
        <v>ФИНАГИН Кирилл</v>
      </c>
      <c r="D31" s="1183" t="str">
        <f>IF(M25="","",IF(M26="W",0,IF(M25=2,1,IF(M25=1,2,IF(M25=0,2)))))</f>
        <v/>
      </c>
      <c r="E31" s="1184"/>
      <c r="F31" s="1185"/>
      <c r="G31" s="1183" t="str">
        <f>IF(M27="","",IF(M28="W",0,IF(M27=2,1,IF(M27=1,2,IF(M27=0,2)))))</f>
        <v/>
      </c>
      <c r="H31" s="1184"/>
      <c r="I31" s="1185"/>
      <c r="J31" s="1183" t="str">
        <f>IF(M29="","",IF(M30="W",0,IF(M29=2,1,IF(M29=1,2,IF(M29=0,2)))))</f>
        <v/>
      </c>
      <c r="K31" s="1184"/>
      <c r="L31" s="1185"/>
      <c r="M31" s="1193"/>
      <c r="N31" s="1193"/>
      <c r="O31" s="1193"/>
      <c r="P31" s="1183"/>
      <c r="Q31" s="1184"/>
      <c r="R31" s="1185"/>
      <c r="S31" s="1183"/>
      <c r="T31" s="1184"/>
      <c r="U31" s="1185"/>
      <c r="V31" s="1183"/>
      <c r="W31" s="1184"/>
      <c r="X31" s="1185"/>
      <c r="Y31" s="1183"/>
      <c r="Z31" s="1184"/>
      <c r="AA31" s="1185"/>
      <c r="AB31" s="1183"/>
      <c r="AC31" s="1184"/>
      <c r="AD31" s="1185"/>
      <c r="AE31" s="1196">
        <f>IF(B31="","",SUM(G31,J31,D31,P31,S31,V31,Y31,AB31,))</f>
        <v>0</v>
      </c>
      <c r="AF31" s="1197"/>
      <c r="AG31" s="1200"/>
      <c r="AH31" s="1186">
        <f>IF(B31="","",RANK(AE31,ГР6О))</f>
        <v>1</v>
      </c>
    </row>
    <row r="32" spans="1:34" ht="12" customHeight="1" x14ac:dyDescent="0.2">
      <c r="A32" s="1176"/>
      <c r="B32" s="1207"/>
      <c r="C32" s="442" t="str">
        <f>IF(B31="","",VLOOKUP(B31,'Списки участников'!A:H,6,FALSE))</f>
        <v>ОАО "НИАЭП"</v>
      </c>
      <c r="D32" s="449" t="str">
        <f>IF(M26="","",IF(O26="l","W",O26))</f>
        <v/>
      </c>
      <c r="E32" s="444" t="str">
        <f>IF(N26="","",":")</f>
        <v/>
      </c>
      <c r="F32" s="450" t="str">
        <f>IF(O26="","",IF(M26="W","L",M26))</f>
        <v/>
      </c>
      <c r="G32" s="449" t="str">
        <f>IF(M28="","",IF(O28="l","W",O28))</f>
        <v/>
      </c>
      <c r="H32" s="444" t="str">
        <f>IF(N28="","",":")</f>
        <v/>
      </c>
      <c r="I32" s="450" t="str">
        <f>IF(O28="","",IF(M28="W","L",M28))</f>
        <v/>
      </c>
      <c r="J32" s="449" t="str">
        <f>IF(M30="","",IF(O30="l","W",O30))</f>
        <v/>
      </c>
      <c r="K32" s="444" t="str">
        <f>IF(N30="","",":")</f>
        <v/>
      </c>
      <c r="L32" s="450" t="str">
        <f>IF(O30="","",IF(M30="W","L",M30))</f>
        <v/>
      </c>
      <c r="M32" s="1202"/>
      <c r="N32" s="1202"/>
      <c r="O32" s="1202"/>
      <c r="P32" s="443"/>
      <c r="Q32" s="444" t="str">
        <f>IF(P31="","",":")</f>
        <v/>
      </c>
      <c r="R32" s="445"/>
      <c r="S32" s="443"/>
      <c r="T32" s="444" t="str">
        <f>IF(S31="","",":")</f>
        <v/>
      </c>
      <c r="U32" s="445"/>
      <c r="V32" s="443"/>
      <c r="W32" s="444" t="str">
        <f>IF(V31="","",":")</f>
        <v/>
      </c>
      <c r="X32" s="445"/>
      <c r="Y32" s="443"/>
      <c r="Z32" s="444" t="str">
        <f>IF(Y32="","",":")</f>
        <v/>
      </c>
      <c r="AA32" s="445"/>
      <c r="AB32" s="443"/>
      <c r="AC32" s="444" t="str">
        <f>IF(AB32="","",":")</f>
        <v/>
      </c>
      <c r="AD32" s="445"/>
      <c r="AE32" s="1198"/>
      <c r="AF32" s="1199"/>
      <c r="AG32" s="1201"/>
      <c r="AH32" s="1186"/>
    </row>
    <row r="33" spans="1:34" ht="12" customHeight="1" x14ac:dyDescent="0.2">
      <c r="A33" s="1175">
        <v>5</v>
      </c>
      <c r="B33" s="1208"/>
      <c r="C33" s="441" t="str">
        <f>IF(B33="","",VLOOKUP(B33,'Списки участников'!A:H,3,FALSE))</f>
        <v/>
      </c>
      <c r="D33" s="1183" t="str">
        <f>IF(P25="","",IF(P26="W",0,IF(P25=2,1,IF(P25=1,2,IF(P25=0,2)))))</f>
        <v/>
      </c>
      <c r="E33" s="1184"/>
      <c r="F33" s="1185"/>
      <c r="G33" s="1183" t="str">
        <f>IF(P27="","",IF(P28="W",0,IF(P27=2,1,IF(P27=1,2,IF(P27=0,2)))))</f>
        <v/>
      </c>
      <c r="H33" s="1184"/>
      <c r="I33" s="1185"/>
      <c r="J33" s="1183" t="str">
        <f>IF(P29="","",IF(P30="W",0,IF(P29=2,1,IF(P29=1,2,IF(P29=0,2)))))</f>
        <v/>
      </c>
      <c r="K33" s="1184"/>
      <c r="L33" s="1185"/>
      <c r="M33" s="1183" t="str">
        <f>IF(P31="","",IF(P32="W",0,IF(P31=2,1,IF(P31=1,2,IF(P31=0,2)))))</f>
        <v/>
      </c>
      <c r="N33" s="1184"/>
      <c r="O33" s="1185"/>
      <c r="P33" s="1192"/>
      <c r="Q33" s="1193"/>
      <c r="R33" s="1194"/>
      <c r="S33" s="1183"/>
      <c r="T33" s="1184"/>
      <c r="U33" s="1185"/>
      <c r="V33" s="1183"/>
      <c r="W33" s="1184"/>
      <c r="X33" s="1185"/>
      <c r="Y33" s="1183"/>
      <c r="Z33" s="1184"/>
      <c r="AA33" s="1185"/>
      <c r="AB33" s="1183"/>
      <c r="AC33" s="1184"/>
      <c r="AD33" s="1185"/>
      <c r="AE33" s="1196" t="str">
        <f>IF(B33="","",SUM(G33,J33,M33,D33,S33,V33,Y33,AB33,))</f>
        <v/>
      </c>
      <c r="AF33" s="1197"/>
      <c r="AG33" s="1200"/>
      <c r="AH33" s="1186" t="str">
        <f>IF(B33="","",RANK(AE33,ГР6О))</f>
        <v/>
      </c>
    </row>
    <row r="34" spans="1:34" ht="12" customHeight="1" x14ac:dyDescent="0.2">
      <c r="A34" s="1176"/>
      <c r="B34" s="1209"/>
      <c r="C34" s="442" t="str">
        <f>IF(B33="","",VLOOKUP(B33,'Списки участников'!A:H,6,FALSE))</f>
        <v/>
      </c>
      <c r="D34" s="449" t="str">
        <f>IF(P26="","",IF(R26="l","W",R26))</f>
        <v/>
      </c>
      <c r="E34" s="444" t="str">
        <f>IF(Q26="","",":")</f>
        <v/>
      </c>
      <c r="F34" s="450" t="str">
        <f>IF(R26="","",IF(P26="W","L",P26))</f>
        <v/>
      </c>
      <c r="G34" s="449" t="str">
        <f>IF(P28="","",IF(R28="l","W",R28))</f>
        <v/>
      </c>
      <c r="H34" s="444" t="str">
        <f>IF(Q28="","",":")</f>
        <v/>
      </c>
      <c r="I34" s="450" t="str">
        <f>IF(R28="","",IF(P28="W","L",P28))</f>
        <v/>
      </c>
      <c r="J34" s="449" t="str">
        <f>IF(P30="","",IF(R30="l","W",R30))</f>
        <v/>
      </c>
      <c r="K34" s="444" t="str">
        <f>IF(Q30="","",":")</f>
        <v/>
      </c>
      <c r="L34" s="450" t="str">
        <f>IF(R30="","",IF(P30="W","L",P30))</f>
        <v/>
      </c>
      <c r="M34" s="449" t="str">
        <f>IF(P32="","",IF(R32="l","W",R32))</f>
        <v/>
      </c>
      <c r="N34" s="444" t="str">
        <f>IF(Q32="","",":")</f>
        <v/>
      </c>
      <c r="O34" s="450" t="str">
        <f>IF(R32="","",IF(P32="W","L",P32))</f>
        <v/>
      </c>
      <c r="P34" s="1195"/>
      <c r="Q34" s="1181"/>
      <c r="R34" s="1182"/>
      <c r="S34" s="443"/>
      <c r="T34" s="444" t="str">
        <f>IF(S33="","",":")</f>
        <v/>
      </c>
      <c r="U34" s="445"/>
      <c r="V34" s="443"/>
      <c r="W34" s="444" t="str">
        <f>IF(V33="","",":")</f>
        <v/>
      </c>
      <c r="X34" s="445"/>
      <c r="Y34" s="443"/>
      <c r="Z34" s="444" t="str">
        <f>IF(Y33="","",":")</f>
        <v/>
      </c>
      <c r="AA34" s="445"/>
      <c r="AB34" s="443"/>
      <c r="AC34" s="444" t="str">
        <f>IF(AB34="","",":")</f>
        <v/>
      </c>
      <c r="AD34" s="445"/>
      <c r="AE34" s="1198"/>
      <c r="AF34" s="1199"/>
      <c r="AG34" s="1201"/>
      <c r="AH34" s="1186"/>
    </row>
    <row r="35" spans="1:34" ht="12" hidden="1" customHeight="1" x14ac:dyDescent="0.2">
      <c r="A35" s="1175">
        <v>6</v>
      </c>
      <c r="B35" s="1208"/>
      <c r="C35" s="441" t="str">
        <f>IF(B35="","",VLOOKUP(B35,'Списки участников'!A:H,3,FALSE))</f>
        <v/>
      </c>
      <c r="D35" s="1183" t="str">
        <f>IF(S25="","",IF(S26="W",0,IF(S25=2,1,IF(S25=1,2,IF(S25=0,2)))))</f>
        <v/>
      </c>
      <c r="E35" s="1184"/>
      <c r="F35" s="1185"/>
      <c r="G35" s="1183" t="str">
        <f>IF(S27="","",IF(S28="W",0,IF(S27=2,1,IF(S27=1,2,IF(S27=0,2)))))</f>
        <v/>
      </c>
      <c r="H35" s="1184"/>
      <c r="I35" s="1185"/>
      <c r="J35" s="1183" t="str">
        <f>IF(S29="","",IF(S30="W",0,IF(S29=2,1,IF(S29=1,2,IF(S29=0,2)))))</f>
        <v/>
      </c>
      <c r="K35" s="1184"/>
      <c r="L35" s="1185"/>
      <c r="M35" s="1183" t="str">
        <f>IF(S31="","",IF(S32="W",0,IF(S31=2,1,IF(S31=1,2,IF(S31=0,2)))))</f>
        <v/>
      </c>
      <c r="N35" s="1184"/>
      <c r="O35" s="1185"/>
      <c r="P35" s="1183" t="str">
        <f>IF(S33="","",IF(S34="W",0,IF(S33=2,1,IF(S33=1,2,IF(S33=0,2)))))</f>
        <v/>
      </c>
      <c r="Q35" s="1184"/>
      <c r="R35" s="1185"/>
      <c r="S35" s="1192"/>
      <c r="T35" s="1193"/>
      <c r="U35" s="1194"/>
      <c r="V35" s="1183"/>
      <c r="W35" s="1184"/>
      <c r="X35" s="1185"/>
      <c r="Y35" s="1183"/>
      <c r="Z35" s="1184"/>
      <c r="AA35" s="1185"/>
      <c r="AB35" s="1183"/>
      <c r="AC35" s="1184"/>
      <c r="AD35" s="1185"/>
      <c r="AE35" s="1196" t="str">
        <f>IF(B35="","",SUM(G35,J35,M35,P35,D35,V35,Y35,AB35,))</f>
        <v/>
      </c>
      <c r="AF35" s="1197"/>
      <c r="AG35" s="1200"/>
      <c r="AH35" s="1186" t="str">
        <f>IF(B35="","",RANK(AE35,ГР6О))</f>
        <v/>
      </c>
    </row>
    <row r="36" spans="1:34" ht="12" hidden="1" customHeight="1" x14ac:dyDescent="0.2">
      <c r="A36" s="1176"/>
      <c r="B36" s="1209"/>
      <c r="C36" s="442" t="str">
        <f>IF(B35="","",VLOOKUP(B35,'Списки участников'!A:H,6,FALSE))</f>
        <v/>
      </c>
      <c r="D36" s="449" t="str">
        <f>IF(S26="","",IF(U26="l","W",U26))</f>
        <v/>
      </c>
      <c r="E36" s="444" t="str">
        <f>IF(T26="","",":")</f>
        <v/>
      </c>
      <c r="F36" s="450" t="str">
        <f>IF(U26="","",IF(S26="W","L",S26))</f>
        <v/>
      </c>
      <c r="G36" s="449" t="str">
        <f>IF(S28="","",IF(U28="l","W",U28))</f>
        <v/>
      </c>
      <c r="H36" s="444" t="str">
        <f>IF(Q28="","",":")</f>
        <v/>
      </c>
      <c r="I36" s="450" t="str">
        <f>IF(U28="","",IF(S28="W","L",S28))</f>
        <v/>
      </c>
      <c r="J36" s="449" t="str">
        <f>IF(S30="","",IF(U30="l","W",U30))</f>
        <v/>
      </c>
      <c r="K36" s="444" t="str">
        <f>IF(T30="","",":")</f>
        <v/>
      </c>
      <c r="L36" s="450" t="str">
        <f>IF(U30="","",IF(S30="W","L",S30))</f>
        <v/>
      </c>
      <c r="M36" s="449" t="str">
        <f>IF(S32="","",IF(U32="l","W",U32))</f>
        <v/>
      </c>
      <c r="N36" s="444" t="str">
        <f>IF(T32="","",":")</f>
        <v/>
      </c>
      <c r="O36" s="450" t="str">
        <f>IF(U32="","",IF(S32="W","L",S32))</f>
        <v/>
      </c>
      <c r="P36" s="449" t="str">
        <f>IF(S34="","",IF(U34="l","W",U34))</f>
        <v/>
      </c>
      <c r="Q36" s="444" t="str">
        <f>IF(T34="","",":")</f>
        <v/>
      </c>
      <c r="R36" s="450" t="str">
        <f>IF(U34="","",IF(S34="W","L",S34))</f>
        <v/>
      </c>
      <c r="S36" s="1195"/>
      <c r="T36" s="1181"/>
      <c r="U36" s="1182"/>
      <c r="V36" s="443"/>
      <c r="W36" s="444" t="str">
        <f>IF(V35="","",":")</f>
        <v/>
      </c>
      <c r="X36" s="445"/>
      <c r="Y36" s="443"/>
      <c r="Z36" s="444" t="str">
        <f>IF(Y35="","",":")</f>
        <v/>
      </c>
      <c r="AA36" s="445"/>
      <c r="AB36" s="443"/>
      <c r="AC36" s="444" t="str">
        <f>IF(AB35="","",":")</f>
        <v/>
      </c>
      <c r="AD36" s="445"/>
      <c r="AE36" s="1198"/>
      <c r="AF36" s="1199"/>
      <c r="AG36" s="1201"/>
      <c r="AH36" s="1186"/>
    </row>
    <row r="37" spans="1:34" ht="12" hidden="1" customHeight="1" x14ac:dyDescent="0.2">
      <c r="A37" s="1175">
        <v>7</v>
      </c>
      <c r="B37" s="1208"/>
      <c r="C37" s="441" t="str">
        <f>IF(B37="","",VLOOKUP(B37,'Списки участников'!A:H,3,FALSE))</f>
        <v/>
      </c>
      <c r="D37" s="1183" t="str">
        <f>IF(V25="","",IF(V26="W",0,IF(V25=2,1,IF(V25=1,2,IF(V25=0,2)))))</f>
        <v/>
      </c>
      <c r="E37" s="1184"/>
      <c r="F37" s="1185"/>
      <c r="G37" s="1183" t="str">
        <f>IF(V27="","",IF(V28="W",0,IF(V27=2,1,IF(V27=1,2,IF(V27=0,2)))))</f>
        <v/>
      </c>
      <c r="H37" s="1184"/>
      <c r="I37" s="1185"/>
      <c r="J37" s="1183" t="str">
        <f>IF(V29="","",IF(V30="W",0,IF(V29=2,1,IF(V29=1,2,IF(V29=0,2)))))</f>
        <v/>
      </c>
      <c r="K37" s="1184"/>
      <c r="L37" s="1185"/>
      <c r="M37" s="1183" t="str">
        <f>IF(V31="","",IF(V32="W",0,IF(V31=2,1,IF(V31=1,2,IF(V31=0,2)))))</f>
        <v/>
      </c>
      <c r="N37" s="1184"/>
      <c r="O37" s="1185"/>
      <c r="P37" s="1183" t="str">
        <f>IF(V33="","",IF(V34="W",0,IF(V33=2,1,IF(V33=1,2,IF(V33=0,2)))))</f>
        <v/>
      </c>
      <c r="Q37" s="1184"/>
      <c r="R37" s="1185"/>
      <c r="S37" s="1183" t="str">
        <f>IF(V35="","",IF(V36="W",0,IF(V35=2,1,IF(V35=1,2,IF(V35=0,2)))))</f>
        <v/>
      </c>
      <c r="T37" s="1184"/>
      <c r="U37" s="1185"/>
      <c r="V37" s="1203"/>
      <c r="W37" s="1179"/>
      <c r="X37" s="1180"/>
      <c r="Y37" s="1183"/>
      <c r="Z37" s="1184"/>
      <c r="AA37" s="1185"/>
      <c r="AB37" s="1183"/>
      <c r="AC37" s="1184"/>
      <c r="AD37" s="1185"/>
      <c r="AE37" s="1196" t="str">
        <f>IF(B37="","",SUM(G37,J37,M37,P37,S37,D37,Y37,AB37,))</f>
        <v/>
      </c>
      <c r="AF37" s="1197"/>
      <c r="AG37" s="1200"/>
      <c r="AH37" s="1186" t="str">
        <f>IF(B37="","",RANK(AE37,ГР6О))</f>
        <v/>
      </c>
    </row>
    <row r="38" spans="1:34" ht="12" hidden="1" customHeight="1" x14ac:dyDescent="0.2">
      <c r="A38" s="1176"/>
      <c r="B38" s="1209"/>
      <c r="C38" s="442" t="str">
        <f>IF(B37="","",VLOOKUP(B37,'Списки участников'!A:H,6,FALSE))</f>
        <v/>
      </c>
      <c r="D38" s="449" t="str">
        <f>IF(V26="","",IF(X26="l","W",X26))</f>
        <v/>
      </c>
      <c r="E38" s="444" t="str">
        <f>IF(W26="","",":")</f>
        <v/>
      </c>
      <c r="F38" s="450" t="str">
        <f>IF(X26="","",IF(V26="W","L",V26))</f>
        <v/>
      </c>
      <c r="G38" s="449" t="str">
        <f>IF(V28="","",IF(X28="l","W",X28))</f>
        <v/>
      </c>
      <c r="H38" s="444" t="str">
        <f>IF(W28="","",":")</f>
        <v/>
      </c>
      <c r="I38" s="450" t="str">
        <f>IF(X28="","",IF(V28="W","L",V28))</f>
        <v/>
      </c>
      <c r="J38" s="449" t="str">
        <f>IF(V30="","",IF(X30="l","W",X30))</f>
        <v/>
      </c>
      <c r="K38" s="444" t="str">
        <f>IF(W30="","",":")</f>
        <v/>
      </c>
      <c r="L38" s="450" t="str">
        <f>IF(X30="","",IF(V30="W","L",V30))</f>
        <v/>
      </c>
      <c r="M38" s="449" t="str">
        <f>IF(V32="","",IF(X32="l","W",X32))</f>
        <v/>
      </c>
      <c r="N38" s="444" t="str">
        <f>IF(W32="","",":")</f>
        <v/>
      </c>
      <c r="O38" s="450" t="str">
        <f>IF(X32="","",IF(V32="W","L",V32))</f>
        <v/>
      </c>
      <c r="P38" s="449" t="str">
        <f>IF(V34="","",IF(X34="l","W",X34))</f>
        <v/>
      </c>
      <c r="Q38" s="444" t="str">
        <f>IF(W34="","",":")</f>
        <v/>
      </c>
      <c r="R38" s="450" t="str">
        <f>IF(X34="","",IF(V34="W","L",V34))</f>
        <v/>
      </c>
      <c r="S38" s="449" t="str">
        <f>IF(V36="","",IF(X36="l","W",X36))</f>
        <v/>
      </c>
      <c r="T38" s="444" t="str">
        <f>IF(W36="","",":")</f>
        <v/>
      </c>
      <c r="U38" s="450" t="str">
        <f>IF(X36="","",IF(V36="W","L",V36))</f>
        <v/>
      </c>
      <c r="V38" s="1195"/>
      <c r="W38" s="1181"/>
      <c r="X38" s="1182"/>
      <c r="Y38" s="443"/>
      <c r="Z38" s="444" t="str">
        <f>IF(Y37="","",":")</f>
        <v/>
      </c>
      <c r="AA38" s="445"/>
      <c r="AB38" s="443"/>
      <c r="AC38" s="444" t="str">
        <f>IF(AB37="","",":")</f>
        <v/>
      </c>
      <c r="AD38" s="445"/>
      <c r="AE38" s="1198"/>
      <c r="AF38" s="1199"/>
      <c r="AG38" s="1201"/>
      <c r="AH38" s="1186"/>
    </row>
    <row r="39" spans="1:34" ht="12" hidden="1" customHeight="1" x14ac:dyDescent="0.2">
      <c r="A39" s="1175">
        <v>8</v>
      </c>
      <c r="B39" s="1208"/>
      <c r="C39" s="441" t="str">
        <f>IF(B39="","",VLOOKUP(B39,'Списки участников'!A:H,3,FALSE))</f>
        <v/>
      </c>
      <c r="D39" s="1183" t="str">
        <f>IF(Y25="","",IF(Y26="W",0,IF(Y25=2,1,IF(Y25=1,2,IF(Y25=0,2)))))</f>
        <v/>
      </c>
      <c r="E39" s="1184"/>
      <c r="F39" s="1185"/>
      <c r="G39" s="1183" t="str">
        <f>IF(Y27="","",IF(Y28="W",0,IF(Y27=2,1,IF(Y27=1,2,IF(Y27=0,2)))))</f>
        <v/>
      </c>
      <c r="H39" s="1184"/>
      <c r="I39" s="1185"/>
      <c r="J39" s="1183" t="str">
        <f>IF(Y29="","",IF(Y30="W",0,IF(Y29=2,1,IF(Y29=1,2,IF(Y29=0,2)))))</f>
        <v/>
      </c>
      <c r="K39" s="1184"/>
      <c r="L39" s="1185"/>
      <c r="M39" s="1183" t="str">
        <f>IF(Y31="","",IF(Y32="W",0,IF(Y31=2,1,IF(Y31=1,2,IF(Y31=0,2)))))</f>
        <v/>
      </c>
      <c r="N39" s="1184"/>
      <c r="O39" s="1185"/>
      <c r="P39" s="1183" t="str">
        <f>IF(Y33="","",IF(Y34="W",0,IF(Y33=2,1,IF(Y33=1,2,IF(Y33=0,2)))))</f>
        <v/>
      </c>
      <c r="Q39" s="1184"/>
      <c r="R39" s="1185"/>
      <c r="S39" s="1183" t="str">
        <f>IF(Y35="","",IF(Y36="W",0,IF(Y35=2,1,IF(Y35=1,2,IF(Y35=0,2)))))</f>
        <v/>
      </c>
      <c r="T39" s="1184"/>
      <c r="U39" s="1185"/>
      <c r="V39" s="1183" t="str">
        <f>IF(Y37="","",IF(Y38="W",0,IF(Y37=2,1,IF(Y37=1,2,IF(Y37=0,2)))))</f>
        <v/>
      </c>
      <c r="W39" s="1184"/>
      <c r="X39" s="1185"/>
      <c r="Y39" s="1192"/>
      <c r="Z39" s="1193"/>
      <c r="AA39" s="1194"/>
      <c r="AB39" s="1183"/>
      <c r="AC39" s="1184"/>
      <c r="AD39" s="1185"/>
      <c r="AE39" s="1196" t="str">
        <f>IF(B39="","",SUM(G39,J39,M39,P39,S39,V39,D39,AB39,))</f>
        <v/>
      </c>
      <c r="AF39" s="1197"/>
      <c r="AG39" s="1200"/>
      <c r="AH39" s="1186" t="str">
        <f>IF(B39="","",RANK(AE39,ГР6О))</f>
        <v/>
      </c>
    </row>
    <row r="40" spans="1:34" ht="12" hidden="1" customHeight="1" x14ac:dyDescent="0.2">
      <c r="A40" s="1176"/>
      <c r="B40" s="1209"/>
      <c r="C40" s="442" t="str">
        <f>IF(B39="","",VLOOKUP(B39,'Списки участников'!A:H,6,FALSE))</f>
        <v/>
      </c>
      <c r="D40" s="449" t="str">
        <f>IF(Y26="","",IF(AA26="l","W",AA26))</f>
        <v/>
      </c>
      <c r="E40" s="444" t="str">
        <f>IF(Z26="","",":")</f>
        <v/>
      </c>
      <c r="F40" s="450" t="str">
        <f>IF(AA26="","",IF(Y26="W","L",Y26))</f>
        <v/>
      </c>
      <c r="G40" s="449" t="str">
        <f>IF(Y28="","",IF(AA28="l","W",AA28))</f>
        <v/>
      </c>
      <c r="H40" s="444" t="str">
        <f>IF(Z28="","",":")</f>
        <v/>
      </c>
      <c r="I40" s="450" t="str">
        <f>IF(AA28="","",IF(Y28="W","L",Y28))</f>
        <v/>
      </c>
      <c r="J40" s="449" t="str">
        <f>IF(Y30="","",IF(AA30="l","W",AA30))</f>
        <v/>
      </c>
      <c r="K40" s="444" t="str">
        <f>IF(Z30="","",":")</f>
        <v/>
      </c>
      <c r="L40" s="450" t="str">
        <f>IF(AA30="","",IF(Y30="W","L",Y30))</f>
        <v/>
      </c>
      <c r="M40" s="449" t="str">
        <f>IF(Y32="","",IF(AA32="l","W",AA32))</f>
        <v/>
      </c>
      <c r="N40" s="444" t="str">
        <f>IF(Z32="","",":")</f>
        <v/>
      </c>
      <c r="O40" s="450" t="str">
        <f>IF(AA32="","",IF(Y32="W","L",Y32))</f>
        <v/>
      </c>
      <c r="P40" s="449" t="str">
        <f>IF(Y34="","",IF(AA34="l","W",AA34))</f>
        <v/>
      </c>
      <c r="Q40" s="444" t="str">
        <f>IF(Z34="","",":")</f>
        <v/>
      </c>
      <c r="R40" s="450" t="str">
        <f>IF(AA34="","",IF(Y34="W","L",Y34))</f>
        <v/>
      </c>
      <c r="S40" s="449" t="str">
        <f>IF(Y36="","",IF(AA36="l","W",AA36))</f>
        <v/>
      </c>
      <c r="T40" s="444" t="str">
        <f>IF(Z36="","",":")</f>
        <v/>
      </c>
      <c r="U40" s="450" t="str">
        <f>IF(AA36="","",IF(Y36="W","L",Y36))</f>
        <v/>
      </c>
      <c r="V40" s="449" t="str">
        <f>IF(Y38="","",IF(AA38="l","W",AA38))</f>
        <v/>
      </c>
      <c r="W40" s="444" t="str">
        <f>IF(Z38="","",":")</f>
        <v/>
      </c>
      <c r="X40" s="450" t="str">
        <f>IF(AA38="","",IF(Y38="W","L",Y38))</f>
        <v/>
      </c>
      <c r="Y40" s="1195"/>
      <c r="Z40" s="1181"/>
      <c r="AA40" s="1182"/>
      <c r="AB40" s="443"/>
      <c r="AC40" s="444" t="str">
        <f>IF(AB39="","",":")</f>
        <v/>
      </c>
      <c r="AD40" s="445"/>
      <c r="AE40" s="1198"/>
      <c r="AF40" s="1199"/>
      <c r="AG40" s="1201"/>
      <c r="AH40" s="1186"/>
    </row>
    <row r="41" spans="1:34" ht="12" hidden="1" customHeight="1" x14ac:dyDescent="0.2">
      <c r="A41" s="1175">
        <v>9</v>
      </c>
      <c r="B41" s="1177"/>
      <c r="C41" s="441" t="str">
        <f>IF(B41="","",VLOOKUP(B41,'Списки участников'!A:H,3,FALSE))</f>
        <v/>
      </c>
      <c r="D41" s="1183" t="str">
        <f>IF(AB25="","",IF(AB26="W",0,IF(AB25=2,1,IF(AB25=1,2,IF(AB25=0,2)))))</f>
        <v/>
      </c>
      <c r="E41" s="1184"/>
      <c r="F41" s="1185"/>
      <c r="G41" s="1183" t="str">
        <f>IF(AB27="","",IF(AB28="W",0,IF(AB27=2,1,IF(AB27=1,2,IF(AB27=0,2)))))</f>
        <v/>
      </c>
      <c r="H41" s="1184"/>
      <c r="I41" s="1185"/>
      <c r="J41" s="1183" t="str">
        <f>IF(AB29="","",IF(AB30="W",0,IF(AB29=2,1,IF(AB29=1,2,IF(AB29=0,2)))))</f>
        <v/>
      </c>
      <c r="K41" s="1184"/>
      <c r="L41" s="1185"/>
      <c r="M41" s="1183" t="str">
        <f>IF(AB31="","",IF(AB32="W",0,IF(AB31=2,1,IF(AB31=1,2,IF(AB31=0,2)))))</f>
        <v/>
      </c>
      <c r="N41" s="1184"/>
      <c r="O41" s="1185"/>
      <c r="P41" s="1183" t="str">
        <f>IF(AB33="","",IF(AB34="W",0,IF(AB33=2,1,IF(AB33=1,2,IF(AB33=0,2)))))</f>
        <v/>
      </c>
      <c r="Q41" s="1184"/>
      <c r="R41" s="1185"/>
      <c r="S41" s="1183" t="str">
        <f>IF(AB35="","",IF(AB36="W",0,IF(AB35=2,1,IF(AB35=1,2,IF(AB35=0,2)))))</f>
        <v/>
      </c>
      <c r="T41" s="1184"/>
      <c r="U41" s="1185"/>
      <c r="V41" s="1183" t="str">
        <f>IF(AB37="","",IF(AB38="W",0,IF(AB37=2,1,IF(AB37=1,2,IF(AB37=0,2)))))</f>
        <v/>
      </c>
      <c r="W41" s="1184"/>
      <c r="X41" s="1185"/>
      <c r="Y41" s="1183" t="str">
        <f>IF(AB39="","",IF(AB40="W",0,IF(AB39=2,1,IF(AB39=1,2,IF(AB39=0,2)))))</f>
        <v/>
      </c>
      <c r="Z41" s="1184"/>
      <c r="AA41" s="1185"/>
      <c r="AB41" s="1203"/>
      <c r="AC41" s="1179"/>
      <c r="AD41" s="1180"/>
      <c r="AE41" s="1196" t="str">
        <f>IF(B41="","",SUM(G41,J41,M41,P41,S41,V41,Y41,D41,))</f>
        <v/>
      </c>
      <c r="AF41" s="1197"/>
      <c r="AG41" s="1200"/>
      <c r="AH41" s="1186" t="str">
        <f>IF(B41="","",RANK(AE41,ГР6О))</f>
        <v/>
      </c>
    </row>
    <row r="42" spans="1:34" ht="12" hidden="1" customHeight="1" x14ac:dyDescent="0.2">
      <c r="A42" s="1176"/>
      <c r="B42" s="1178"/>
      <c r="C42" s="442" t="str">
        <f>IF(B41="","",VLOOKUP(B41,'Списки участников'!A:H,6,FALSE))</f>
        <v/>
      </c>
      <c r="D42" s="449" t="str">
        <f>IF(AB26="","",IF(AD26="l","W",AD26))</f>
        <v/>
      </c>
      <c r="E42" s="444" t="str">
        <f>IF(AC26="","",":")</f>
        <v/>
      </c>
      <c r="F42" s="450" t="str">
        <f>IF(AD26="","",IF(AB26="W","L",AB26))</f>
        <v/>
      </c>
      <c r="G42" s="449" t="str">
        <f>IF(AB28="","",IF(AD28="l","W",AD28))</f>
        <v/>
      </c>
      <c r="H42" s="444" t="str">
        <f>IF(AC28="","",":")</f>
        <v/>
      </c>
      <c r="I42" s="450" t="str">
        <f>IF(AD28="","",IF(AB28="W","L",AB28))</f>
        <v/>
      </c>
      <c r="J42" s="449" t="str">
        <f>IF(AB30="","",IF(AD30="l","W",AD30))</f>
        <v/>
      </c>
      <c r="K42" s="444" t="str">
        <f>IF(AC30="","",":")</f>
        <v/>
      </c>
      <c r="L42" s="450" t="str">
        <f>IF(AD30="","",IF(AB30="W","L",AB30))</f>
        <v/>
      </c>
      <c r="M42" s="449" t="str">
        <f>IF(AB32="","",IF(AD32="l","W",AD32))</f>
        <v/>
      </c>
      <c r="N42" s="444" t="str">
        <f>IF(AC32="","",":")</f>
        <v/>
      </c>
      <c r="O42" s="450" t="str">
        <f>IF(AD32="","",IF(AB32="W","L",AB32))</f>
        <v/>
      </c>
      <c r="P42" s="449" t="str">
        <f>IF(AB34="","",IF(AD34="l","W",AD34))</f>
        <v/>
      </c>
      <c r="Q42" s="444" t="str">
        <f>IF(AC34="","",":")</f>
        <v/>
      </c>
      <c r="R42" s="450" t="str">
        <f>IF(AD34="","",IF(AB34="W","L",AB34))</f>
        <v/>
      </c>
      <c r="S42" s="449" t="str">
        <f>IF(AB36="","",IF(AD36="l","W",AD36))</f>
        <v/>
      </c>
      <c r="T42" s="444" t="str">
        <f>IF(AC36="","",":")</f>
        <v/>
      </c>
      <c r="U42" s="450" t="str">
        <f>IF(AD36="","",IF(AB36="W","L",AB36))</f>
        <v/>
      </c>
      <c r="V42" s="449" t="str">
        <f>IF(AB38="","",IF(AD38="l","W",AD38))</f>
        <v/>
      </c>
      <c r="W42" s="444" t="str">
        <f>IF(AC38="","",":")</f>
        <v/>
      </c>
      <c r="X42" s="450" t="str">
        <f>IF(AD38="","",IF(AB38="W","L",AB38))</f>
        <v/>
      </c>
      <c r="Y42" s="449" t="str">
        <f>IF(AB40="","",IF(AD40="l","W",AD40))</f>
        <v/>
      </c>
      <c r="Z42" s="444" t="str">
        <f>IF(AC40="","",":")</f>
        <v/>
      </c>
      <c r="AA42" s="450" t="str">
        <f>IF(AD40="","",IF(AB40="W","L",AB40))</f>
        <v/>
      </c>
      <c r="AB42" s="1195"/>
      <c r="AC42" s="1181"/>
      <c r="AD42" s="1182"/>
      <c r="AE42" s="1198"/>
      <c r="AF42" s="1199"/>
      <c r="AG42" s="1201"/>
      <c r="AH42" s="1186"/>
    </row>
    <row r="43" spans="1:34" ht="12" customHeight="1" x14ac:dyDescent="0.25">
      <c r="A43" s="128"/>
      <c r="B43" s="128"/>
      <c r="C43" s="452"/>
      <c r="D43" s="128"/>
      <c r="E43" s="128"/>
      <c r="F43" s="128"/>
      <c r="G43" s="1204" t="s">
        <v>961</v>
      </c>
      <c r="H43" s="1204"/>
      <c r="I43" s="1204"/>
      <c r="J43" s="1204"/>
      <c r="K43" s="1204"/>
      <c r="L43" s="1204"/>
      <c r="M43" s="1204"/>
      <c r="N43" s="1204"/>
      <c r="O43" s="1204"/>
      <c r="P43" s="1204"/>
      <c r="Q43" s="1204"/>
      <c r="R43" s="1204"/>
      <c r="S43" s="1204"/>
      <c r="T43" s="1204"/>
      <c r="U43" s="1204"/>
      <c r="V43" s="1204"/>
      <c r="W43" s="1204"/>
      <c r="X43" s="1204"/>
      <c r="Y43" s="1204"/>
      <c r="Z43" s="1204"/>
      <c r="AA43" s="1204"/>
      <c r="AB43" s="128"/>
      <c r="AC43" s="128"/>
      <c r="AD43" s="128"/>
      <c r="AE43" s="128"/>
      <c r="AF43" s="128"/>
      <c r="AG43" s="128"/>
      <c r="AH43" s="128"/>
    </row>
    <row r="44" spans="1:34" ht="12" customHeight="1" x14ac:dyDescent="0.2">
      <c r="A44" s="129" t="s">
        <v>3</v>
      </c>
      <c r="B44" s="843"/>
      <c r="C44" s="131" t="s">
        <v>757</v>
      </c>
      <c r="D44" s="1170">
        <v>1</v>
      </c>
      <c r="E44" s="1171"/>
      <c r="F44" s="1172"/>
      <c r="G44" s="1170">
        <v>2</v>
      </c>
      <c r="H44" s="1171"/>
      <c r="I44" s="1172"/>
      <c r="J44" s="1170">
        <v>3</v>
      </c>
      <c r="K44" s="1171"/>
      <c r="L44" s="1172"/>
      <c r="M44" s="1170">
        <v>4</v>
      </c>
      <c r="N44" s="1171"/>
      <c r="O44" s="1172"/>
      <c r="P44" s="1170">
        <v>5</v>
      </c>
      <c r="Q44" s="1171"/>
      <c r="R44" s="1172"/>
      <c r="S44" s="1170">
        <v>6</v>
      </c>
      <c r="T44" s="1171"/>
      <c r="U44" s="1172"/>
      <c r="V44" s="1170">
        <v>7</v>
      </c>
      <c r="W44" s="1171"/>
      <c r="X44" s="1172"/>
      <c r="Y44" s="1170">
        <v>8</v>
      </c>
      <c r="Z44" s="1171"/>
      <c r="AA44" s="1172"/>
      <c r="AB44" s="1170">
        <v>9</v>
      </c>
      <c r="AC44" s="1171"/>
      <c r="AD44" s="1172"/>
      <c r="AE44" s="1173" t="s">
        <v>758</v>
      </c>
      <c r="AF44" s="1174"/>
      <c r="AG44" s="844" t="s">
        <v>759</v>
      </c>
      <c r="AH44" s="440" t="s">
        <v>100</v>
      </c>
    </row>
    <row r="45" spans="1:34" ht="12" customHeight="1" x14ac:dyDescent="0.2">
      <c r="A45" s="1175">
        <v>1</v>
      </c>
      <c r="B45" s="1205">
        <v>13</v>
      </c>
      <c r="C45" s="441" t="str">
        <f>IF(B45="","",VLOOKUP(B45,'Списки участников'!A:H,3,FALSE))</f>
        <v>ВАХРОМОВ Андрей</v>
      </c>
      <c r="D45" s="1179"/>
      <c r="E45" s="1179"/>
      <c r="F45" s="1180"/>
      <c r="G45" s="1183"/>
      <c r="H45" s="1184"/>
      <c r="I45" s="1185"/>
      <c r="J45" s="1183"/>
      <c r="K45" s="1184"/>
      <c r="L45" s="1185"/>
      <c r="M45" s="1183"/>
      <c r="N45" s="1184"/>
      <c r="O45" s="1185"/>
      <c r="P45" s="1183"/>
      <c r="Q45" s="1184"/>
      <c r="R45" s="1185"/>
      <c r="S45" s="1183"/>
      <c r="T45" s="1184"/>
      <c r="U45" s="1185"/>
      <c r="V45" s="1183"/>
      <c r="W45" s="1184"/>
      <c r="X45" s="1185"/>
      <c r="Y45" s="1183"/>
      <c r="Z45" s="1184"/>
      <c r="AA45" s="1185"/>
      <c r="AB45" s="1183"/>
      <c r="AC45" s="1184"/>
      <c r="AD45" s="1185"/>
      <c r="AE45" s="1196">
        <f>IF(B45="","",SUM(G45,J45,M45,P45,S45,V45,Y45,AB45,))</f>
        <v>0</v>
      </c>
      <c r="AF45" s="1197"/>
      <c r="AG45" s="1187"/>
      <c r="AH45" s="1186">
        <f>IF(B45="","",RANK(AE45,ГР7О))</f>
        <v>1</v>
      </c>
    </row>
    <row r="46" spans="1:34" ht="12" customHeight="1" x14ac:dyDescent="0.2">
      <c r="A46" s="1176"/>
      <c r="B46" s="1206"/>
      <c r="C46" s="442" t="str">
        <f>IF(B45="","",VLOOKUP(B45,'Списки участников'!A:H,6,FALSE))</f>
        <v>ТПП</v>
      </c>
      <c r="D46" s="1181"/>
      <c r="E46" s="1181"/>
      <c r="F46" s="1182"/>
      <c r="G46" s="443"/>
      <c r="H46" s="444" t="str">
        <f>IF(G45="","",":")</f>
        <v/>
      </c>
      <c r="I46" s="445"/>
      <c r="J46" s="443"/>
      <c r="K46" s="444" t="str">
        <f>IF(J45="","",":")</f>
        <v/>
      </c>
      <c r="L46" s="445"/>
      <c r="M46" s="443"/>
      <c r="N46" s="444" t="str">
        <f>IF(M46="","",":")</f>
        <v/>
      </c>
      <c r="O46" s="445"/>
      <c r="P46" s="443"/>
      <c r="Q46" s="444" t="str">
        <f>IF(P46="","",":")</f>
        <v/>
      </c>
      <c r="R46" s="445"/>
      <c r="S46" s="443"/>
      <c r="T46" s="444" t="str">
        <f>IF(S46="","",":")</f>
        <v/>
      </c>
      <c r="U46" s="445"/>
      <c r="V46" s="443"/>
      <c r="W46" s="444" t="str">
        <f>IF(V46="","",":")</f>
        <v/>
      </c>
      <c r="X46" s="445"/>
      <c r="Y46" s="443"/>
      <c r="Z46" s="444" t="str">
        <f>IF(Y46="","",":")</f>
        <v/>
      </c>
      <c r="AA46" s="445"/>
      <c r="AB46" s="443"/>
      <c r="AC46" s="444" t="str">
        <f>IF(AB46="","",":")</f>
        <v/>
      </c>
      <c r="AD46" s="445"/>
      <c r="AE46" s="1198"/>
      <c r="AF46" s="1199"/>
      <c r="AG46" s="1188"/>
      <c r="AH46" s="1186"/>
    </row>
    <row r="47" spans="1:34" ht="12" customHeight="1" x14ac:dyDescent="0.2">
      <c r="A47" s="1175">
        <v>2</v>
      </c>
      <c r="B47" s="1205">
        <v>18</v>
      </c>
      <c r="C47" s="441" t="str">
        <f>IF(B47="","",VLOOKUP(B47,'Списки участников'!A:H,3,FALSE))</f>
        <v>ВОЛКОВ Валерий</v>
      </c>
      <c r="D47" s="1189" t="str">
        <f>IF(G45="","",IF(G46="W",0,IF(G45=2,1,IF(G45=1,2,IF(G45=0,2)))))</f>
        <v/>
      </c>
      <c r="E47" s="1190"/>
      <c r="F47" s="1191"/>
      <c r="G47" s="1192"/>
      <c r="H47" s="1193"/>
      <c r="I47" s="1194"/>
      <c r="J47" s="1183"/>
      <c r="K47" s="1184"/>
      <c r="L47" s="1185"/>
      <c r="M47" s="1183"/>
      <c r="N47" s="1184"/>
      <c r="O47" s="1185"/>
      <c r="P47" s="1183"/>
      <c r="Q47" s="1184"/>
      <c r="R47" s="1185"/>
      <c r="S47" s="1183"/>
      <c r="T47" s="1184"/>
      <c r="U47" s="1185"/>
      <c r="V47" s="1183"/>
      <c r="W47" s="1184"/>
      <c r="X47" s="1185"/>
      <c r="Y47" s="1183"/>
      <c r="Z47" s="1184"/>
      <c r="AA47" s="1185"/>
      <c r="AB47" s="1183"/>
      <c r="AC47" s="1184"/>
      <c r="AD47" s="1185"/>
      <c r="AE47" s="1196">
        <f>IF(B47="","",SUM(D47,J47,M47,P47,S47,V47,Y47,AB47,))</f>
        <v>0</v>
      </c>
      <c r="AF47" s="1197"/>
      <c r="AG47" s="1200"/>
      <c r="AH47" s="1186">
        <f>IF(B47="","",RANK(AE47,ГР7О))</f>
        <v>1</v>
      </c>
    </row>
    <row r="48" spans="1:34" ht="12" customHeight="1" x14ac:dyDescent="0.2">
      <c r="A48" s="1176"/>
      <c r="B48" s="1206"/>
      <c r="C48" s="442" t="str">
        <f>IF(B47="","",VLOOKUP(B47,'Списки участников'!A:H,6,FALSE))</f>
        <v>НПАП №1</v>
      </c>
      <c r="D48" s="446" t="str">
        <f>IF(G46="","",IF(I46="l","W",I46))</f>
        <v/>
      </c>
      <c r="E48" s="447" t="str">
        <f>IF(G45="","",":")</f>
        <v/>
      </c>
      <c r="F48" s="448" t="str">
        <f>IF(I46="","",IF(G46="W","L",G46))</f>
        <v/>
      </c>
      <c r="G48" s="1195"/>
      <c r="H48" s="1181"/>
      <c r="I48" s="1182"/>
      <c r="J48" s="443"/>
      <c r="K48" s="444" t="str">
        <f>IF(J47="","",":")</f>
        <v/>
      </c>
      <c r="L48" s="445"/>
      <c r="M48" s="443"/>
      <c r="N48" s="444" t="str">
        <f>IF(M47="","",":")</f>
        <v/>
      </c>
      <c r="O48" s="445"/>
      <c r="P48" s="443"/>
      <c r="Q48" s="444" t="str">
        <f>IF(P47="","",":")</f>
        <v/>
      </c>
      <c r="R48" s="445"/>
      <c r="S48" s="443"/>
      <c r="T48" s="444" t="str">
        <f>IF(S48="","",":")</f>
        <v/>
      </c>
      <c r="U48" s="445"/>
      <c r="V48" s="443"/>
      <c r="W48" s="444" t="str">
        <f>IF(V48="","",":")</f>
        <v/>
      </c>
      <c r="X48" s="445"/>
      <c r="Y48" s="443"/>
      <c r="Z48" s="444" t="str">
        <f>IF(Y48="","",":")</f>
        <v/>
      </c>
      <c r="AA48" s="445"/>
      <c r="AB48" s="443"/>
      <c r="AC48" s="444" t="str">
        <f>IF(AB48="","",":")</f>
        <v/>
      </c>
      <c r="AD48" s="445"/>
      <c r="AE48" s="1198"/>
      <c r="AF48" s="1199"/>
      <c r="AG48" s="1201"/>
      <c r="AH48" s="1186"/>
    </row>
    <row r="49" spans="1:34" ht="12" customHeight="1" x14ac:dyDescent="0.2">
      <c r="A49" s="1175">
        <v>3</v>
      </c>
      <c r="B49" s="1205">
        <v>22</v>
      </c>
      <c r="C49" s="441" t="str">
        <f>IF(B49="","",VLOOKUP(B49,'Списки участников'!A:H,3,FALSE))</f>
        <v>ГОГОЛЬ Александр</v>
      </c>
      <c r="D49" s="1189" t="str">
        <f>IF(J45="","",IF(J46="W",0,IF(J45=2,1,IF(J45=1,2,IF(J45=0,2)))))</f>
        <v/>
      </c>
      <c r="E49" s="1190"/>
      <c r="F49" s="1191"/>
      <c r="G49" s="1183" t="str">
        <f>IF(J47="","",IF(J48="W",0,IF(J47=2,1,IF(J47=1,2,IF(J47=0,2)))))</f>
        <v/>
      </c>
      <c r="H49" s="1184"/>
      <c r="I49" s="1185"/>
      <c r="J49" s="1192"/>
      <c r="K49" s="1193"/>
      <c r="L49" s="1194"/>
      <c r="M49" s="1183"/>
      <c r="N49" s="1184"/>
      <c r="O49" s="1185"/>
      <c r="P49" s="1183"/>
      <c r="Q49" s="1184"/>
      <c r="R49" s="1185"/>
      <c r="S49" s="1183"/>
      <c r="T49" s="1184"/>
      <c r="U49" s="1185"/>
      <c r="V49" s="1183"/>
      <c r="W49" s="1184"/>
      <c r="X49" s="1185"/>
      <c r="Y49" s="1183"/>
      <c r="Z49" s="1184"/>
      <c r="AA49" s="1185"/>
      <c r="AB49" s="1183"/>
      <c r="AC49" s="1184"/>
      <c r="AD49" s="1185"/>
      <c r="AE49" s="1196">
        <f>IF(B49="","",SUM(G49,D49,M49,P49,S49,V49,Y49,AB49,))</f>
        <v>0</v>
      </c>
      <c r="AF49" s="1197"/>
      <c r="AG49" s="1200"/>
      <c r="AH49" s="1186">
        <f>IF(B49="","",RANK(AE49,ГР7О))</f>
        <v>1</v>
      </c>
    </row>
    <row r="50" spans="1:34" ht="12" customHeight="1" x14ac:dyDescent="0.2">
      <c r="A50" s="1176"/>
      <c r="B50" s="1206"/>
      <c r="C50" s="442" t="str">
        <f>IF(B49="","",VLOOKUP(B49,'Списки участников'!A:H,6,FALSE))</f>
        <v>НИИИС</v>
      </c>
      <c r="D50" s="449" t="str">
        <f>IF(J46="","",IF(L46="l","W",L46))</f>
        <v/>
      </c>
      <c r="E50" s="444" t="str">
        <f>IF(K46="","",":")</f>
        <v/>
      </c>
      <c r="F50" s="450" t="str">
        <f>IF(L46="","",IF(J46="W","L",J46))</f>
        <v/>
      </c>
      <c r="G50" s="449" t="str">
        <f>IF(J48="","",IF(L48="l","W",L48))</f>
        <v/>
      </c>
      <c r="H50" s="444" t="str">
        <f>IF(K48="","",":")</f>
        <v/>
      </c>
      <c r="I50" s="450" t="str">
        <f>IF(L48="","",IF(J48="W","L",J48))</f>
        <v/>
      </c>
      <c r="J50" s="1195"/>
      <c r="K50" s="1181"/>
      <c r="L50" s="1182"/>
      <c r="M50" s="443"/>
      <c r="N50" s="444" t="str">
        <f>IF(M49="","",":")</f>
        <v/>
      </c>
      <c r="O50" s="445"/>
      <c r="P50" s="443"/>
      <c r="Q50" s="444" t="str">
        <f>IF(P49="","",":")</f>
        <v/>
      </c>
      <c r="R50" s="445"/>
      <c r="S50" s="443"/>
      <c r="T50" s="444" t="str">
        <f>IF(S49="","",":")</f>
        <v/>
      </c>
      <c r="U50" s="445"/>
      <c r="V50" s="443"/>
      <c r="W50" s="444" t="str">
        <f>IF(V50="","",":")</f>
        <v/>
      </c>
      <c r="X50" s="445"/>
      <c r="Y50" s="443"/>
      <c r="Z50" s="444" t="str">
        <f>IF(Y50="","",":")</f>
        <v/>
      </c>
      <c r="AA50" s="445"/>
      <c r="AB50" s="443"/>
      <c r="AC50" s="444" t="str">
        <f>IF(AB50="","",":")</f>
        <v/>
      </c>
      <c r="AD50" s="445"/>
      <c r="AE50" s="1198"/>
      <c r="AF50" s="1199"/>
      <c r="AG50" s="1201"/>
      <c r="AH50" s="1186"/>
    </row>
    <row r="51" spans="1:34" ht="12" customHeight="1" x14ac:dyDescent="0.2">
      <c r="A51" s="1175">
        <v>4</v>
      </c>
      <c r="B51" s="1205">
        <v>27</v>
      </c>
      <c r="C51" s="441" t="str">
        <f>IF(B51="","",VLOOKUP(B51,'Списки участников'!A:H,3,FALSE))</f>
        <v>ФИЛЬЧУГОВ Геннадий</v>
      </c>
      <c r="D51" s="1183" t="str">
        <f>IF(M45="","",IF(M46="W",0,IF(M45=2,1,IF(M45=1,2,IF(M45=0,2)))))</f>
        <v/>
      </c>
      <c r="E51" s="1184"/>
      <c r="F51" s="1185"/>
      <c r="G51" s="1183" t="str">
        <f>IF(M47="","",IF(M48="W",0,IF(M47=2,1,IF(M47=1,2,IF(M47=0,2)))))</f>
        <v/>
      </c>
      <c r="H51" s="1184"/>
      <c r="I51" s="1185"/>
      <c r="J51" s="1183" t="str">
        <f>IF(M49="","",IF(M50="W",0,IF(M49=2,1,IF(M49=1,2,IF(M49=0,2)))))</f>
        <v/>
      </c>
      <c r="K51" s="1184"/>
      <c r="L51" s="1185"/>
      <c r="M51" s="1193"/>
      <c r="N51" s="1193"/>
      <c r="O51" s="1193"/>
      <c r="P51" s="1183"/>
      <c r="Q51" s="1184"/>
      <c r="R51" s="1185"/>
      <c r="S51" s="1183"/>
      <c r="T51" s="1184"/>
      <c r="U51" s="1185"/>
      <c r="V51" s="1183"/>
      <c r="W51" s="1184"/>
      <c r="X51" s="1185"/>
      <c r="Y51" s="1183"/>
      <c r="Z51" s="1184"/>
      <c r="AA51" s="1185"/>
      <c r="AB51" s="1183"/>
      <c r="AC51" s="1184"/>
      <c r="AD51" s="1185"/>
      <c r="AE51" s="1196">
        <f>IF(B51="","",SUM(G51,J51,D51,P51,S51,V51,Y51,AB51,))</f>
        <v>0</v>
      </c>
      <c r="AF51" s="1197"/>
      <c r="AG51" s="1200"/>
      <c r="AH51" s="1186">
        <f>IF(B51="","",RANK(AE51,ГР7О))</f>
        <v>1</v>
      </c>
    </row>
    <row r="52" spans="1:34" ht="12" customHeight="1" x14ac:dyDescent="0.2">
      <c r="A52" s="1176"/>
      <c r="B52" s="1207"/>
      <c r="C52" s="442" t="str">
        <f>IF(B51="","",VLOOKUP(B51,'Списки участников'!A:H,6,FALSE))</f>
        <v>"КРАСНОЕ СОРМОВО"</v>
      </c>
      <c r="D52" s="449" t="str">
        <f>IF(M46="","",IF(O46="l","W",O46))</f>
        <v/>
      </c>
      <c r="E52" s="444" t="str">
        <f>IF(N46="","",":")</f>
        <v/>
      </c>
      <c r="F52" s="450" t="str">
        <f>IF(O46="","",IF(M46="W","L",M46))</f>
        <v/>
      </c>
      <c r="G52" s="449" t="str">
        <f>IF(M48="","",IF(O48="l","W",O48))</f>
        <v/>
      </c>
      <c r="H52" s="444" t="str">
        <f>IF(N48="","",":")</f>
        <v/>
      </c>
      <c r="I52" s="450" t="str">
        <f>IF(O48="","",IF(M48="W","L",M48))</f>
        <v/>
      </c>
      <c r="J52" s="449" t="str">
        <f>IF(M50="","",IF(O50="l","W",O50))</f>
        <v/>
      </c>
      <c r="K52" s="444" t="str">
        <f>IF(N50="","",":")</f>
        <v/>
      </c>
      <c r="L52" s="450" t="str">
        <f>IF(O50="","",IF(M50="W","L",M50))</f>
        <v/>
      </c>
      <c r="M52" s="1202"/>
      <c r="N52" s="1202"/>
      <c r="O52" s="1202"/>
      <c r="P52" s="443"/>
      <c r="Q52" s="444" t="str">
        <f>IF(P51="","",":")</f>
        <v/>
      </c>
      <c r="R52" s="445"/>
      <c r="S52" s="443"/>
      <c r="T52" s="444" t="str">
        <f>IF(S51="","",":")</f>
        <v/>
      </c>
      <c r="U52" s="445"/>
      <c r="V52" s="443"/>
      <c r="W52" s="444" t="str">
        <f>IF(V51="","",":")</f>
        <v/>
      </c>
      <c r="X52" s="445"/>
      <c r="Y52" s="443"/>
      <c r="Z52" s="444" t="str">
        <f>IF(Y52="","",":")</f>
        <v/>
      </c>
      <c r="AA52" s="445"/>
      <c r="AB52" s="443"/>
      <c r="AC52" s="444" t="str">
        <f>IF(AB52="","",":")</f>
        <v/>
      </c>
      <c r="AD52" s="445"/>
      <c r="AE52" s="1198"/>
      <c r="AF52" s="1199"/>
      <c r="AG52" s="1201"/>
      <c r="AH52" s="1186"/>
    </row>
    <row r="53" spans="1:34" ht="12" customHeight="1" x14ac:dyDescent="0.2">
      <c r="A53" s="1175">
        <v>5</v>
      </c>
      <c r="B53" s="1205">
        <v>47</v>
      </c>
      <c r="C53" s="441" t="str">
        <f>IF(B53="","",VLOOKUP(B53,'Списки участников'!A:H,3,FALSE))</f>
        <v>БЕЛОУС Денис</v>
      </c>
      <c r="D53" s="1183" t="str">
        <f>IF(P45="","",IF(P46="W",0,IF(P45=2,1,IF(P45=1,2,IF(P45=0,2)))))</f>
        <v/>
      </c>
      <c r="E53" s="1184"/>
      <c r="F53" s="1185"/>
      <c r="G53" s="1183" t="str">
        <f>IF(P47="","",IF(P48="W",0,IF(P47=2,1,IF(P47=1,2,IF(P47=0,2)))))</f>
        <v/>
      </c>
      <c r="H53" s="1184"/>
      <c r="I53" s="1185"/>
      <c r="J53" s="1183" t="str">
        <f>IF(P49="","",IF(P50="W",0,IF(P49=2,1,IF(P49=1,2,IF(P49=0,2)))))</f>
        <v/>
      </c>
      <c r="K53" s="1184"/>
      <c r="L53" s="1185"/>
      <c r="M53" s="1183" t="str">
        <f>IF(P51="","",IF(P52="W",0,IF(P51=2,1,IF(P51=1,2,IF(P51=0,2)))))</f>
        <v/>
      </c>
      <c r="N53" s="1184"/>
      <c r="O53" s="1185"/>
      <c r="P53" s="1192"/>
      <c r="Q53" s="1193"/>
      <c r="R53" s="1194"/>
      <c r="S53" s="1183"/>
      <c r="T53" s="1184"/>
      <c r="U53" s="1185"/>
      <c r="V53" s="1183"/>
      <c r="W53" s="1184"/>
      <c r="X53" s="1185"/>
      <c r="Y53" s="1183"/>
      <c r="Z53" s="1184"/>
      <c r="AA53" s="1185"/>
      <c r="AB53" s="1183"/>
      <c r="AC53" s="1184"/>
      <c r="AD53" s="1185"/>
      <c r="AE53" s="1196">
        <f>IF(B53="","",SUM(G53,J53,M53,D53,S53,V53,Y53,AB53,))</f>
        <v>0</v>
      </c>
      <c r="AF53" s="1197"/>
      <c r="AG53" s="1200"/>
      <c r="AH53" s="1186">
        <f>IF(B53="","",RANK(AE53,ГР7О))</f>
        <v>1</v>
      </c>
    </row>
    <row r="54" spans="1:34" ht="12" customHeight="1" x14ac:dyDescent="0.2">
      <c r="A54" s="1176"/>
      <c r="B54" s="1207"/>
      <c r="C54" s="442" t="str">
        <f>IF(B53="","",VLOOKUP(B53,'Списки участников'!A:H,6,FALSE))</f>
        <v>ПАО НАЗ "СОКОЛ"</v>
      </c>
      <c r="D54" s="449" t="str">
        <f>IF(P46="","",IF(R46="l","W",R46))</f>
        <v/>
      </c>
      <c r="E54" s="444" t="str">
        <f>IF(Q46="","",":")</f>
        <v/>
      </c>
      <c r="F54" s="450" t="str">
        <f>IF(R46="","",IF(P46="W","L",P46))</f>
        <v/>
      </c>
      <c r="G54" s="449" t="str">
        <f>IF(P48="","",IF(R48="l","W",R48))</f>
        <v/>
      </c>
      <c r="H54" s="444" t="str">
        <f>IF(Q48="","",":")</f>
        <v/>
      </c>
      <c r="I54" s="450" t="str">
        <f>IF(R48="","",IF(P48="W","L",P48))</f>
        <v/>
      </c>
      <c r="J54" s="449" t="str">
        <f>IF(P50="","",IF(R50="l","W",R50))</f>
        <v/>
      </c>
      <c r="K54" s="444" t="str">
        <f>IF(Q50="","",":")</f>
        <v/>
      </c>
      <c r="L54" s="450" t="str">
        <f>IF(R50="","",IF(P50="W","L",P50))</f>
        <v/>
      </c>
      <c r="M54" s="449" t="str">
        <f>IF(P52="","",IF(R52="l","W",R52))</f>
        <v/>
      </c>
      <c r="N54" s="444" t="str">
        <f>IF(Q52="","",":")</f>
        <v/>
      </c>
      <c r="O54" s="450" t="str">
        <f>IF(R52="","",IF(P52="W","L",P52))</f>
        <v/>
      </c>
      <c r="P54" s="1195"/>
      <c r="Q54" s="1181"/>
      <c r="R54" s="1182"/>
      <c r="S54" s="443"/>
      <c r="T54" s="444" t="str">
        <f>IF(S53="","",":")</f>
        <v/>
      </c>
      <c r="U54" s="445"/>
      <c r="V54" s="443"/>
      <c r="W54" s="444" t="str">
        <f>IF(V53="","",":")</f>
        <v/>
      </c>
      <c r="X54" s="445"/>
      <c r="Y54" s="443"/>
      <c r="Z54" s="444" t="str">
        <f>IF(Y53="","",":")</f>
        <v/>
      </c>
      <c r="AA54" s="445"/>
      <c r="AB54" s="443"/>
      <c r="AC54" s="444" t="str">
        <f>IF(AB54="","",":")</f>
        <v/>
      </c>
      <c r="AD54" s="445"/>
      <c r="AE54" s="1198"/>
      <c r="AF54" s="1199"/>
      <c r="AG54" s="1201"/>
      <c r="AH54" s="1186"/>
    </row>
    <row r="55" spans="1:34" ht="12" hidden="1" customHeight="1" x14ac:dyDescent="0.2">
      <c r="A55" s="1175">
        <v>6</v>
      </c>
      <c r="B55" s="1208"/>
      <c r="C55" s="441" t="str">
        <f>IF(B55="","",VLOOKUP(B55,'Списки участников'!A:H,3,FALSE))</f>
        <v/>
      </c>
      <c r="D55" s="1183" t="str">
        <f>IF(S45="","",IF(S46="W",0,IF(S45=2,1,IF(S45=1,2,IF(S45=0,2)))))</f>
        <v/>
      </c>
      <c r="E55" s="1184"/>
      <c r="F55" s="1185"/>
      <c r="G55" s="1183" t="str">
        <f>IF(S47="","",IF(S48="W",0,IF(S47=2,1,IF(S47=1,2,IF(S47=0,2)))))</f>
        <v/>
      </c>
      <c r="H55" s="1184"/>
      <c r="I55" s="1185"/>
      <c r="J55" s="1183" t="str">
        <f>IF(S49="","",IF(S50="W",0,IF(S49=2,1,IF(S49=1,2,IF(S49=0,2)))))</f>
        <v/>
      </c>
      <c r="K55" s="1184"/>
      <c r="L55" s="1185"/>
      <c r="M55" s="1183" t="str">
        <f>IF(S51="","",IF(S52="W",0,IF(S51=2,1,IF(S51=1,2,IF(S51=0,2)))))</f>
        <v/>
      </c>
      <c r="N55" s="1184"/>
      <c r="O55" s="1185"/>
      <c r="P55" s="1183" t="str">
        <f>IF(S53="","",IF(S54="W",0,IF(S53=2,1,IF(S53=1,2,IF(S53=0,2)))))</f>
        <v/>
      </c>
      <c r="Q55" s="1184"/>
      <c r="R55" s="1185"/>
      <c r="S55" s="1192"/>
      <c r="T55" s="1193"/>
      <c r="U55" s="1194"/>
      <c r="V55" s="1183"/>
      <c r="W55" s="1184"/>
      <c r="X55" s="1185"/>
      <c r="Y55" s="1183"/>
      <c r="Z55" s="1184"/>
      <c r="AA55" s="1185"/>
      <c r="AB55" s="1183"/>
      <c r="AC55" s="1184"/>
      <c r="AD55" s="1185"/>
      <c r="AE55" s="1196" t="str">
        <f>IF(B55="","",SUM(G55,J55,M55,P55,D55,V55,Y55,AB55,))</f>
        <v/>
      </c>
      <c r="AF55" s="1197"/>
      <c r="AG55" s="1200"/>
      <c r="AH55" s="1186" t="str">
        <f>IF(B55="","",RANK(AE55,ГР7О))</f>
        <v/>
      </c>
    </row>
    <row r="56" spans="1:34" ht="12" hidden="1" customHeight="1" x14ac:dyDescent="0.2">
      <c r="A56" s="1176"/>
      <c r="B56" s="1209"/>
      <c r="C56" s="442" t="str">
        <f>IF(B55="","",VLOOKUP(B55,'Списки участников'!A:H,6,FALSE))</f>
        <v/>
      </c>
      <c r="D56" s="449" t="str">
        <f>IF(S46="","",IF(U46="l","W",U46))</f>
        <v/>
      </c>
      <c r="E56" s="444" t="str">
        <f>IF(T46="","",":")</f>
        <v/>
      </c>
      <c r="F56" s="450" t="str">
        <f>IF(U46="","",IF(S46="W","L",S46))</f>
        <v/>
      </c>
      <c r="G56" s="449" t="str">
        <f>IF(S48="","",IF(U48="l","W",U48))</f>
        <v/>
      </c>
      <c r="H56" s="444" t="str">
        <f>IF(T48="","",":")</f>
        <v/>
      </c>
      <c r="I56" s="450" t="str">
        <f>IF(U48="","",IF(S48="W","L",S48))</f>
        <v/>
      </c>
      <c r="J56" s="449" t="str">
        <f>IF(S50="","",IF(U50="l","W",U50))</f>
        <v/>
      </c>
      <c r="K56" s="444" t="str">
        <f>IF(T50="","",":")</f>
        <v/>
      </c>
      <c r="L56" s="450" t="str">
        <f>IF(U50="","",IF(S50="W","L",S50))</f>
        <v/>
      </c>
      <c r="M56" s="449" t="str">
        <f>IF(S52="","",IF(U52="l","W",U52))</f>
        <v/>
      </c>
      <c r="N56" s="444" t="str">
        <f>IF(T52="","",":")</f>
        <v/>
      </c>
      <c r="O56" s="450" t="str">
        <f>IF(U52="","",IF(S52="W","L",S52))</f>
        <v/>
      </c>
      <c r="P56" s="449" t="str">
        <f>IF(S54="","",IF(U54="l","W",U54))</f>
        <v/>
      </c>
      <c r="Q56" s="444" t="str">
        <f>IF(T54="","",":")</f>
        <v/>
      </c>
      <c r="R56" s="450" t="str">
        <f>IF(U54="","",IF(S54="W","L",S54))</f>
        <v/>
      </c>
      <c r="S56" s="1195"/>
      <c r="T56" s="1181"/>
      <c r="U56" s="1182"/>
      <c r="V56" s="443"/>
      <c r="W56" s="444" t="str">
        <f>IF(V55="","",":")</f>
        <v/>
      </c>
      <c r="X56" s="445"/>
      <c r="Y56" s="443"/>
      <c r="Z56" s="444" t="str">
        <f>IF(Y55="","",":")</f>
        <v/>
      </c>
      <c r="AA56" s="445"/>
      <c r="AB56" s="443"/>
      <c r="AC56" s="444" t="str">
        <f>IF(AB55="","",":")</f>
        <v/>
      </c>
      <c r="AD56" s="445"/>
      <c r="AE56" s="1198"/>
      <c r="AF56" s="1199"/>
      <c r="AG56" s="1201"/>
      <c r="AH56" s="1186"/>
    </row>
    <row r="57" spans="1:34" ht="12" hidden="1" customHeight="1" x14ac:dyDescent="0.2">
      <c r="A57" s="1175">
        <v>7</v>
      </c>
      <c r="B57" s="1208"/>
      <c r="C57" s="441" t="str">
        <f>IF(B57="","",VLOOKUP(B57,'Списки участников'!A:H,3,FALSE))</f>
        <v/>
      </c>
      <c r="D57" s="1183" t="str">
        <f>IF(V45="","",IF(V46="W",0,IF(V45=2,1,IF(V45=1,2,IF(V45=0,2)))))</f>
        <v/>
      </c>
      <c r="E57" s="1184"/>
      <c r="F57" s="1185"/>
      <c r="G57" s="1183" t="str">
        <f>IF(V47="","",IF(V48="W",0,IF(V47=2,1,IF(V47=1,2,IF(V47=0,2)))))</f>
        <v/>
      </c>
      <c r="H57" s="1184"/>
      <c r="I57" s="1185"/>
      <c r="J57" s="1183" t="str">
        <f>IF(V49="","",IF(V50="W",0,IF(V49=2,1,IF(V49=1,2,IF(V49=0,2)))))</f>
        <v/>
      </c>
      <c r="K57" s="1184"/>
      <c r="L57" s="1185"/>
      <c r="M57" s="1183" t="str">
        <f>IF(V51="","",IF(V52="W",0,IF(V51=2,1,IF(V51=1,2,IF(V51=0,2)))))</f>
        <v/>
      </c>
      <c r="N57" s="1184"/>
      <c r="O57" s="1185"/>
      <c r="P57" s="1183" t="str">
        <f>IF(V53="","",IF(V54="W",0,IF(V53=2,1,IF(V53=1,2,IF(V53=0,2)))))</f>
        <v/>
      </c>
      <c r="Q57" s="1184"/>
      <c r="R57" s="1185"/>
      <c r="S57" s="1183" t="str">
        <f>IF(V55="","",IF(V56="W",0,IF(V55=2,1,IF(V55=1,2,IF(V55=0,2)))))</f>
        <v/>
      </c>
      <c r="T57" s="1184"/>
      <c r="U57" s="1185"/>
      <c r="V57" s="1203"/>
      <c r="W57" s="1179"/>
      <c r="X57" s="1180"/>
      <c r="Y57" s="1183"/>
      <c r="Z57" s="1184"/>
      <c r="AA57" s="1185"/>
      <c r="AB57" s="1183"/>
      <c r="AC57" s="1184"/>
      <c r="AD57" s="1185"/>
      <c r="AE57" s="1196" t="str">
        <f>IF(B57="","",SUM(G57,J57,M57,P57,S57,D57,Y57,AB57,))</f>
        <v/>
      </c>
      <c r="AF57" s="1197"/>
      <c r="AG57" s="1200"/>
      <c r="AH57" s="1186" t="str">
        <f>IF(B57="","",RANK(AE57,ГР7О))</f>
        <v/>
      </c>
    </row>
    <row r="58" spans="1:34" ht="12" hidden="1" customHeight="1" x14ac:dyDescent="0.2">
      <c r="A58" s="1176"/>
      <c r="B58" s="1209"/>
      <c r="C58" s="442" t="str">
        <f>IF(B57="","",VLOOKUP(B57,'Списки участников'!A:H,6,FALSE))</f>
        <v/>
      </c>
      <c r="D58" s="449" t="str">
        <f>IF(V46="","",IF(X46="l","W",X46))</f>
        <v/>
      </c>
      <c r="E58" s="444" t="str">
        <f>IF(W46="","",":")</f>
        <v/>
      </c>
      <c r="F58" s="450" t="str">
        <f>IF(X46="","",IF(V46="W","L",V46))</f>
        <v/>
      </c>
      <c r="G58" s="449" t="str">
        <f>IF(V48="","",IF(X48="l","W",X48))</f>
        <v/>
      </c>
      <c r="H58" s="444" t="str">
        <f>IF(W48="","",":")</f>
        <v/>
      </c>
      <c r="I58" s="450" t="str">
        <f>IF(X48="","",IF(V48="W","L",V48))</f>
        <v/>
      </c>
      <c r="J58" s="449" t="str">
        <f>IF(V50="","",IF(X50="l","W",X50))</f>
        <v/>
      </c>
      <c r="K58" s="444" t="str">
        <f>IF(W50="","",":")</f>
        <v/>
      </c>
      <c r="L58" s="450" t="str">
        <f>IF(X50="","",IF(V50="W","L",V50))</f>
        <v/>
      </c>
      <c r="M58" s="449" t="str">
        <f>IF(V52="","",IF(X52="l","W",X52))</f>
        <v/>
      </c>
      <c r="N58" s="444" t="str">
        <f>IF(W52="","",":")</f>
        <v/>
      </c>
      <c r="O58" s="450" t="str">
        <f>IF(X52="","",IF(V52="W","L",V52))</f>
        <v/>
      </c>
      <c r="P58" s="449" t="str">
        <f>IF(V54="","",IF(X54="l","W",X54))</f>
        <v/>
      </c>
      <c r="Q58" s="444" t="str">
        <f>IF(W54="","",":")</f>
        <v/>
      </c>
      <c r="R58" s="450" t="str">
        <f>IF(X54="","",IF(V54="W","L",V54))</f>
        <v/>
      </c>
      <c r="S58" s="449" t="str">
        <f>IF(V56="","",IF(X56="l","W",X56))</f>
        <v/>
      </c>
      <c r="T58" s="444" t="str">
        <f>IF(W56="","",":")</f>
        <v/>
      </c>
      <c r="U58" s="450" t="str">
        <f>IF(X56="","",IF(V56="W","L",V56))</f>
        <v/>
      </c>
      <c r="V58" s="1195"/>
      <c r="W58" s="1181"/>
      <c r="X58" s="1182"/>
      <c r="Y58" s="443"/>
      <c r="Z58" s="444" t="str">
        <f>IF(Y57="","",":")</f>
        <v/>
      </c>
      <c r="AA58" s="445"/>
      <c r="AB58" s="443"/>
      <c r="AC58" s="444" t="str">
        <f>IF(AB57="","",":")</f>
        <v/>
      </c>
      <c r="AD58" s="445"/>
      <c r="AE58" s="1198"/>
      <c r="AF58" s="1199"/>
      <c r="AG58" s="1201"/>
      <c r="AH58" s="1186"/>
    </row>
    <row r="59" spans="1:34" ht="12" hidden="1" customHeight="1" x14ac:dyDescent="0.2">
      <c r="A59" s="1175">
        <v>8</v>
      </c>
      <c r="B59" s="1208"/>
      <c r="C59" s="441" t="str">
        <f>IF(B59="","",VLOOKUP(B59,'Списки участников'!A:H,3,FALSE))</f>
        <v/>
      </c>
      <c r="D59" s="1183" t="str">
        <f>IF(Y45="","",IF(Y46="W",0,IF(Y45=2,1,IF(Y45=1,2,IF(Y45=0,2)))))</f>
        <v/>
      </c>
      <c r="E59" s="1184"/>
      <c r="F59" s="1185"/>
      <c r="G59" s="1183" t="str">
        <f>IF(Y47="","",IF(Y48="W",0,IF(Y47=2,1,IF(Y47=1,2,IF(Y47=0,2)))))</f>
        <v/>
      </c>
      <c r="H59" s="1184"/>
      <c r="I59" s="1185"/>
      <c r="J59" s="1183" t="str">
        <f>IF(Y49="","",IF(Y50="W",0,IF(Y49=2,1,IF(Y49=1,2,IF(Y49=0,2)))))</f>
        <v/>
      </c>
      <c r="K59" s="1184"/>
      <c r="L59" s="1185"/>
      <c r="M59" s="1183" t="str">
        <f>IF(Y51="","",IF(Y52="W",0,IF(Y51=2,1,IF(Y51=1,2,IF(Y51=0,2)))))</f>
        <v/>
      </c>
      <c r="N59" s="1184"/>
      <c r="O59" s="1185"/>
      <c r="P59" s="1183" t="str">
        <f>IF(Y53="","",IF(Y54="W",0,IF(Y53=2,1,IF(Y53=1,2,IF(Y53=0,2)))))</f>
        <v/>
      </c>
      <c r="Q59" s="1184"/>
      <c r="R59" s="1185"/>
      <c r="S59" s="1183" t="str">
        <f>IF(Y55="","",IF(Y56="W",0,IF(Y55=2,1,IF(Y55=1,2,IF(Y55=0,2)))))</f>
        <v/>
      </c>
      <c r="T59" s="1184"/>
      <c r="U59" s="1185"/>
      <c r="V59" s="1183" t="str">
        <f>IF(Y57="","",IF(Y58="W",0,IF(Y57=2,1,IF(Y57=1,2,IF(Y57=0,2)))))</f>
        <v/>
      </c>
      <c r="W59" s="1184"/>
      <c r="X59" s="1185"/>
      <c r="Y59" s="1192"/>
      <c r="Z59" s="1193"/>
      <c r="AA59" s="1194"/>
      <c r="AB59" s="1183"/>
      <c r="AC59" s="1184"/>
      <c r="AD59" s="1185"/>
      <c r="AE59" s="1196" t="str">
        <f>IF(B59="","",SUM(G59,J59,M59,P59,S59,V59,D59,AB59,))</f>
        <v/>
      </c>
      <c r="AF59" s="1197"/>
      <c r="AG59" s="1200"/>
      <c r="AH59" s="1186" t="str">
        <f>IF(B59="","",RANK(AE59,ГР7О))</f>
        <v/>
      </c>
    </row>
    <row r="60" spans="1:34" ht="12" hidden="1" customHeight="1" x14ac:dyDescent="0.2">
      <c r="A60" s="1176"/>
      <c r="B60" s="1209"/>
      <c r="C60" s="442" t="str">
        <f>IF(B59="","",VLOOKUP(B59,'Списки участников'!A:H,6,FALSE))</f>
        <v/>
      </c>
      <c r="D60" s="449" t="str">
        <f>IF(Y46="","",IF(AA46="l","W",AA46))</f>
        <v/>
      </c>
      <c r="E60" s="444" t="str">
        <f>IF(Z46="","",":")</f>
        <v/>
      </c>
      <c r="F60" s="450" t="str">
        <f>IF(AA46="","",IF(Y46="W","L",Y46))</f>
        <v/>
      </c>
      <c r="G60" s="449" t="str">
        <f>IF(Y48="","",IF(AA48="l","W",AA48))</f>
        <v/>
      </c>
      <c r="H60" s="444" t="str">
        <f>IF(Z48="","",":")</f>
        <v/>
      </c>
      <c r="I60" s="450" t="str">
        <f>IF(AA48="","",IF(Y48="W","L",Y48))</f>
        <v/>
      </c>
      <c r="J60" s="449" t="str">
        <f>IF(Y50="","",IF(AA50="l","W",AA50))</f>
        <v/>
      </c>
      <c r="K60" s="444" t="str">
        <f>IF(Z50="","",":")</f>
        <v/>
      </c>
      <c r="L60" s="450" t="str">
        <f>IF(AA50="","",IF(Y50="W","L",Y50))</f>
        <v/>
      </c>
      <c r="M60" s="449" t="str">
        <f>IF(Y52="","",IF(AA52="l","W",AA52))</f>
        <v/>
      </c>
      <c r="N60" s="444" t="str">
        <f>IF(Z52="","",":")</f>
        <v/>
      </c>
      <c r="O60" s="450" t="str">
        <f>IF(AA52="","",IF(Y52="W","L",Y52))</f>
        <v/>
      </c>
      <c r="P60" s="449" t="str">
        <f>IF(Y54="","",IF(AA54="l","W",AA54))</f>
        <v/>
      </c>
      <c r="Q60" s="444" t="str">
        <f>IF(Z54="","",":")</f>
        <v/>
      </c>
      <c r="R60" s="450" t="str">
        <f>IF(AA54="","",IF(Y54="W","L",Y54))</f>
        <v/>
      </c>
      <c r="S60" s="449" t="str">
        <f>IF(Y56="","",IF(AA56="l","W",AA56))</f>
        <v/>
      </c>
      <c r="T60" s="444" t="str">
        <f>IF(Z56="","",":")</f>
        <v/>
      </c>
      <c r="U60" s="450" t="str">
        <f>IF(AA56="","",IF(Y56="W","L",Y56))</f>
        <v/>
      </c>
      <c r="V60" s="449" t="str">
        <f>IF(Y58="","",IF(AA58="l","W",AA58))</f>
        <v/>
      </c>
      <c r="W60" s="444" t="str">
        <f>IF(Z58="","",":")</f>
        <v/>
      </c>
      <c r="X60" s="450" t="str">
        <f>IF(AA58="","",IF(Y58="W","L",Y58))</f>
        <v/>
      </c>
      <c r="Y60" s="1195"/>
      <c r="Z60" s="1181"/>
      <c r="AA60" s="1182"/>
      <c r="AB60" s="443"/>
      <c r="AC60" s="444" t="str">
        <f>IF(AB59="","",":")</f>
        <v/>
      </c>
      <c r="AD60" s="445"/>
      <c r="AE60" s="1198"/>
      <c r="AF60" s="1199"/>
      <c r="AG60" s="1201"/>
      <c r="AH60" s="1186"/>
    </row>
    <row r="61" spans="1:34" ht="12" hidden="1" customHeight="1" x14ac:dyDescent="0.2">
      <c r="A61" s="1175">
        <v>9</v>
      </c>
      <c r="B61" s="1177"/>
      <c r="C61" s="441" t="str">
        <f>IF(B61="","",VLOOKUP(B61,'Списки участников'!A:H,3,FALSE))</f>
        <v/>
      </c>
      <c r="D61" s="1183" t="str">
        <f>IF(AB45="","",IF(AB46="W",0,IF(AB45=2,1,IF(AB45=1,2,IF(AB45=0,2)))))</f>
        <v/>
      </c>
      <c r="E61" s="1184"/>
      <c r="F61" s="1185"/>
      <c r="G61" s="1183" t="str">
        <f>IF(AB47="","",IF(AB48="W",0,IF(AB47=2,1,IF(AB47=1,2,IF(AB47=0,2)))))</f>
        <v/>
      </c>
      <c r="H61" s="1184"/>
      <c r="I61" s="1185"/>
      <c r="J61" s="1183" t="str">
        <f>IF(AB49="","",IF(AB50="W",0,IF(AB49=2,1,IF(AB49=1,2,IF(AB49=0,2)))))</f>
        <v/>
      </c>
      <c r="K61" s="1184"/>
      <c r="L61" s="1185"/>
      <c r="M61" s="1183" t="str">
        <f>IF(AB51="","",IF(AB52="W",0,IF(AB51=2,1,IF(AB51=1,2,IF(AB51=0,2)))))</f>
        <v/>
      </c>
      <c r="N61" s="1184"/>
      <c r="O61" s="1185"/>
      <c r="P61" s="1183" t="str">
        <f>IF(AB53="","",IF(AB54="W",0,IF(AB53=2,1,IF(AB53=1,2,IF(AB53=0,2)))))</f>
        <v/>
      </c>
      <c r="Q61" s="1184"/>
      <c r="R61" s="1185"/>
      <c r="S61" s="1183" t="str">
        <f>IF(AB55="","",IF(AB56="W",0,IF(AB55=2,1,IF(AB55=1,2,IF(AB55=0,2)))))</f>
        <v/>
      </c>
      <c r="T61" s="1184"/>
      <c r="U61" s="1185"/>
      <c r="V61" s="1183" t="str">
        <f>IF(AB57="","",IF(AB58="W",0,IF(AB57=2,1,IF(AB57=1,2,IF(AB57=0,2)))))</f>
        <v/>
      </c>
      <c r="W61" s="1184"/>
      <c r="X61" s="1185"/>
      <c r="Y61" s="1183" t="str">
        <f>IF(AB59="","",IF(AB60="W",0,IF(AB59=2,1,IF(AB59=1,2,IF(AB59=0,2)))))</f>
        <v/>
      </c>
      <c r="Z61" s="1184"/>
      <c r="AA61" s="1185"/>
      <c r="AB61" s="1203"/>
      <c r="AC61" s="1179"/>
      <c r="AD61" s="1180"/>
      <c r="AE61" s="1196" t="str">
        <f>IF(B61="","",SUM(G61,J61,M61,P61,S61,V61,Y61,D61,))</f>
        <v/>
      </c>
      <c r="AF61" s="1197"/>
      <c r="AG61" s="1200"/>
      <c r="AH61" s="1186" t="str">
        <f>IF(B61="","",RANK(AE61,ГР7О))</f>
        <v/>
      </c>
    </row>
    <row r="62" spans="1:34" ht="12" hidden="1" customHeight="1" x14ac:dyDescent="0.2">
      <c r="A62" s="1176"/>
      <c r="B62" s="1178"/>
      <c r="C62" s="442" t="str">
        <f>IF(B61="","",VLOOKUP(B61,'Списки участников'!A:H,6,FALSE))</f>
        <v/>
      </c>
      <c r="D62" s="449" t="str">
        <f>IF(AB46="","",IF(AD46="l","W",AD46))</f>
        <v/>
      </c>
      <c r="E62" s="444" t="str">
        <f>IF(AC46="","",":")</f>
        <v/>
      </c>
      <c r="F62" s="450" t="str">
        <f>IF(AD46="","",IF(AB46="W","L",AB46))</f>
        <v/>
      </c>
      <c r="G62" s="449" t="str">
        <f>IF(AB48="","",IF(AD48="l","W",AD48))</f>
        <v/>
      </c>
      <c r="H62" s="444" t="str">
        <f>IF(AC48="","",":")</f>
        <v/>
      </c>
      <c r="I62" s="450" t="str">
        <f>IF(AD48="","",IF(AB48="W","L",AB48))</f>
        <v/>
      </c>
      <c r="J62" s="449" t="str">
        <f>IF(AB50="","",IF(AD50="l","W",AD50))</f>
        <v/>
      </c>
      <c r="K62" s="444" t="str">
        <f>IF(AC50="","",":")</f>
        <v/>
      </c>
      <c r="L62" s="450" t="str">
        <f>IF(AD50="","",IF(AB50="W","L",AB50))</f>
        <v/>
      </c>
      <c r="M62" s="449" t="str">
        <f>IF(AB52="","",IF(AD52="l","W",AD52))</f>
        <v/>
      </c>
      <c r="N62" s="444" t="str">
        <f>IF(AC52="","",":")</f>
        <v/>
      </c>
      <c r="O62" s="450" t="str">
        <f>IF(AD52="","",IF(AB52="W","L",AB52))</f>
        <v/>
      </c>
      <c r="P62" s="449" t="str">
        <f>IF(AB54="","",IF(AD54="l","W",AD54))</f>
        <v/>
      </c>
      <c r="Q62" s="444" t="str">
        <f>IF(AC54="","",":")</f>
        <v/>
      </c>
      <c r="R62" s="450" t="str">
        <f>IF(AD54="","",IF(AB54="W","L",AB54))</f>
        <v/>
      </c>
      <c r="S62" s="449" t="str">
        <f>IF(AB56="","",IF(AD56="l","W",AD56))</f>
        <v/>
      </c>
      <c r="T62" s="444" t="str">
        <f>IF(AC56="","",":")</f>
        <v/>
      </c>
      <c r="U62" s="450" t="str">
        <f>IF(AD56="","",IF(AB56="W","L",AB56))</f>
        <v/>
      </c>
      <c r="V62" s="449" t="str">
        <f>IF(AB58="","",IF(AD58="l","W",AD58))</f>
        <v/>
      </c>
      <c r="W62" s="444" t="str">
        <f>IF(AC58="","",":")</f>
        <v/>
      </c>
      <c r="X62" s="450" t="str">
        <f>IF(AD58="","",IF(AB58="W","L",AB58))</f>
        <v/>
      </c>
      <c r="Y62" s="449" t="str">
        <f>IF(AB60="","",IF(AD60="l","W",AD60))</f>
        <v/>
      </c>
      <c r="Z62" s="444" t="str">
        <f>IF(AC60="","",":")</f>
        <v/>
      </c>
      <c r="AA62" s="450" t="str">
        <f>IF(AD60="","",IF(AB60="W","L",AB60))</f>
        <v/>
      </c>
      <c r="AB62" s="1195"/>
      <c r="AC62" s="1181"/>
      <c r="AD62" s="1182"/>
      <c r="AE62" s="1198"/>
      <c r="AF62" s="1199"/>
      <c r="AG62" s="1201"/>
      <c r="AH62" s="1186"/>
    </row>
    <row r="63" spans="1:34" ht="12" customHeight="1" x14ac:dyDescent="0.25">
      <c r="A63" s="128"/>
      <c r="B63" s="128"/>
      <c r="C63" s="128"/>
      <c r="D63" s="128"/>
      <c r="E63" s="128"/>
      <c r="F63" s="128"/>
      <c r="G63" s="1204" t="s">
        <v>962</v>
      </c>
      <c r="H63" s="1204"/>
      <c r="I63" s="1204"/>
      <c r="J63" s="1204"/>
      <c r="K63" s="1204"/>
      <c r="L63" s="1204"/>
      <c r="M63" s="1204"/>
      <c r="N63" s="1204"/>
      <c r="O63" s="1204"/>
      <c r="P63" s="1204"/>
      <c r="Q63" s="1204"/>
      <c r="R63" s="1204"/>
      <c r="S63" s="1204"/>
      <c r="T63" s="1204"/>
      <c r="U63" s="1204"/>
      <c r="V63" s="1204"/>
      <c r="W63" s="1204"/>
      <c r="X63" s="1204"/>
      <c r="Y63" s="1204"/>
      <c r="Z63" s="1204"/>
      <c r="AA63" s="1204"/>
      <c r="AB63" s="128"/>
      <c r="AC63" s="128"/>
      <c r="AD63" s="128"/>
      <c r="AE63" s="128"/>
      <c r="AF63" s="128"/>
      <c r="AG63" s="128"/>
      <c r="AH63" s="128"/>
    </row>
    <row r="64" spans="1:34" ht="12" customHeight="1" x14ac:dyDescent="0.2">
      <c r="A64" s="129" t="s">
        <v>3</v>
      </c>
      <c r="B64" s="843"/>
      <c r="C64" s="131" t="s">
        <v>757</v>
      </c>
      <c r="D64" s="1170">
        <v>1</v>
      </c>
      <c r="E64" s="1171"/>
      <c r="F64" s="1172"/>
      <c r="G64" s="1170">
        <v>2</v>
      </c>
      <c r="H64" s="1171"/>
      <c r="I64" s="1172"/>
      <c r="J64" s="1170">
        <v>3</v>
      </c>
      <c r="K64" s="1171"/>
      <c r="L64" s="1172"/>
      <c r="M64" s="1170">
        <v>4</v>
      </c>
      <c r="N64" s="1171"/>
      <c r="O64" s="1172"/>
      <c r="P64" s="1170">
        <v>5</v>
      </c>
      <c r="Q64" s="1171"/>
      <c r="R64" s="1172"/>
      <c r="S64" s="1170">
        <v>6</v>
      </c>
      <c r="T64" s="1171"/>
      <c r="U64" s="1172"/>
      <c r="V64" s="1170">
        <v>7</v>
      </c>
      <c r="W64" s="1171"/>
      <c r="X64" s="1172"/>
      <c r="Y64" s="1170">
        <v>8</v>
      </c>
      <c r="Z64" s="1171"/>
      <c r="AA64" s="1172"/>
      <c r="AB64" s="1170">
        <v>9</v>
      </c>
      <c r="AC64" s="1171"/>
      <c r="AD64" s="1172"/>
      <c r="AE64" s="1173" t="s">
        <v>758</v>
      </c>
      <c r="AF64" s="1174"/>
      <c r="AG64" s="844" t="s">
        <v>759</v>
      </c>
      <c r="AH64" s="440" t="s">
        <v>100</v>
      </c>
    </row>
    <row r="65" spans="1:34" ht="12" customHeight="1" x14ac:dyDescent="0.2">
      <c r="A65" s="1175">
        <v>1</v>
      </c>
      <c r="B65" s="1177">
        <v>37</v>
      </c>
      <c r="C65" s="441" t="str">
        <f>IF(B65="","",VLOOKUP(B65,'Списки участников'!A:H,3,FALSE))</f>
        <v>РОДИНОВ Андрей</v>
      </c>
      <c r="D65" s="1179"/>
      <c r="E65" s="1179"/>
      <c r="F65" s="1180"/>
      <c r="G65" s="1183"/>
      <c r="H65" s="1184"/>
      <c r="I65" s="1185"/>
      <c r="J65" s="1183"/>
      <c r="K65" s="1184"/>
      <c r="L65" s="1185"/>
      <c r="M65" s="1183"/>
      <c r="N65" s="1184"/>
      <c r="O65" s="1185"/>
      <c r="P65" s="1183"/>
      <c r="Q65" s="1184"/>
      <c r="R65" s="1185"/>
      <c r="S65" s="1183"/>
      <c r="T65" s="1184"/>
      <c r="U65" s="1185"/>
      <c r="V65" s="1183"/>
      <c r="W65" s="1184"/>
      <c r="X65" s="1185"/>
      <c r="Y65" s="1183"/>
      <c r="Z65" s="1184"/>
      <c r="AA65" s="1185"/>
      <c r="AB65" s="1183"/>
      <c r="AC65" s="1184"/>
      <c r="AD65" s="1185"/>
      <c r="AE65" s="1196">
        <f>IF(B65="","",SUM(G65,J65,M65,P65,S65,V65,Y65,AB65,))</f>
        <v>0</v>
      </c>
      <c r="AF65" s="1197"/>
      <c r="AG65" s="1187"/>
      <c r="AH65" s="1186">
        <f>IF(B65="","",RANK(AE65,ГР8О))</f>
        <v>1</v>
      </c>
    </row>
    <row r="66" spans="1:34" ht="12" customHeight="1" x14ac:dyDescent="0.2">
      <c r="A66" s="1176"/>
      <c r="B66" s="1178"/>
      <c r="C66" s="442" t="str">
        <f>IF(B65="","",VLOOKUP(B65,'Списки участников'!A:H,6,FALSE))</f>
        <v>"ГЖД"</v>
      </c>
      <c r="D66" s="1181"/>
      <c r="E66" s="1181"/>
      <c r="F66" s="1182"/>
      <c r="G66" s="443"/>
      <c r="H66" s="444" t="str">
        <f>IF(G65="","",":")</f>
        <v/>
      </c>
      <c r="I66" s="445"/>
      <c r="J66" s="443"/>
      <c r="K66" s="444" t="str">
        <f>IF(J65="","",":")</f>
        <v/>
      </c>
      <c r="L66" s="445"/>
      <c r="M66" s="443"/>
      <c r="N66" s="444" t="str">
        <f>IF(M66="","",":")</f>
        <v/>
      </c>
      <c r="O66" s="445"/>
      <c r="P66" s="443"/>
      <c r="Q66" s="444" t="str">
        <f>IF(P66="","",":")</f>
        <v/>
      </c>
      <c r="R66" s="445"/>
      <c r="S66" s="443"/>
      <c r="T66" s="444" t="str">
        <f>IF(S66="","",":")</f>
        <v/>
      </c>
      <c r="U66" s="445"/>
      <c r="V66" s="443"/>
      <c r="W66" s="444" t="str">
        <f>IF(V66="","",":")</f>
        <v/>
      </c>
      <c r="X66" s="445"/>
      <c r="Y66" s="443"/>
      <c r="Z66" s="444" t="str">
        <f>IF(Y66="","",":")</f>
        <v/>
      </c>
      <c r="AA66" s="445"/>
      <c r="AB66" s="443"/>
      <c r="AC66" s="444" t="str">
        <f>IF(AB66="","",":")</f>
        <v/>
      </c>
      <c r="AD66" s="445"/>
      <c r="AE66" s="1198"/>
      <c r="AF66" s="1199"/>
      <c r="AG66" s="1188"/>
      <c r="AH66" s="1186"/>
    </row>
    <row r="67" spans="1:34" ht="12" customHeight="1" x14ac:dyDescent="0.2">
      <c r="A67" s="1175">
        <v>2</v>
      </c>
      <c r="B67" s="1177">
        <v>41</v>
      </c>
      <c r="C67" s="441" t="str">
        <f>IF(B67="","",VLOOKUP(B67,'Списки участников'!A:H,3,FALSE))</f>
        <v>ГЛЕБОВ Игорь</v>
      </c>
      <c r="D67" s="1189" t="str">
        <f>IF(G65="","",IF(G66="W",0,IF(G65=2,1,IF(G65=1,2,IF(G65=0,2)))))</f>
        <v/>
      </c>
      <c r="E67" s="1190"/>
      <c r="F67" s="1191"/>
      <c r="G67" s="1192"/>
      <c r="H67" s="1193"/>
      <c r="I67" s="1194"/>
      <c r="J67" s="1183"/>
      <c r="K67" s="1184"/>
      <c r="L67" s="1185"/>
      <c r="M67" s="1183"/>
      <c r="N67" s="1184"/>
      <c r="O67" s="1185"/>
      <c r="P67" s="1183"/>
      <c r="Q67" s="1184"/>
      <c r="R67" s="1185"/>
      <c r="S67" s="1183"/>
      <c r="T67" s="1184"/>
      <c r="U67" s="1185"/>
      <c r="V67" s="1183"/>
      <c r="W67" s="1184"/>
      <c r="X67" s="1185"/>
      <c r="Y67" s="1183"/>
      <c r="Z67" s="1184"/>
      <c r="AA67" s="1185"/>
      <c r="AB67" s="1183"/>
      <c r="AC67" s="1184"/>
      <c r="AD67" s="1185"/>
      <c r="AE67" s="1196">
        <f>IF(B67="","",SUM(D67,J67,M67,P67,S67,V67,Y67,AB67,))</f>
        <v>0</v>
      </c>
      <c r="AF67" s="1197"/>
      <c r="AG67" s="1187"/>
      <c r="AH67" s="1186">
        <f>IF(B67="","",RANK(AE67,ГР8О))</f>
        <v>1</v>
      </c>
    </row>
    <row r="68" spans="1:34" ht="12" customHeight="1" x14ac:dyDescent="0.2">
      <c r="A68" s="1176"/>
      <c r="B68" s="1178"/>
      <c r="C68" s="442" t="str">
        <f>IF(B67="","",VLOOKUP(B67,'Списки участников'!A:H,6,FALSE))</f>
        <v>ЗАО "НПП "Салют-27"</v>
      </c>
      <c r="D68" s="446" t="str">
        <f>IF(G66="","",IF(I66="l","W",I66))</f>
        <v/>
      </c>
      <c r="E68" s="447" t="str">
        <f>IF(G65="","",":")</f>
        <v/>
      </c>
      <c r="F68" s="448" t="str">
        <f>IF(I66="","",IF(G66="W","L",G66))</f>
        <v/>
      </c>
      <c r="G68" s="1195"/>
      <c r="H68" s="1181"/>
      <c r="I68" s="1182"/>
      <c r="J68" s="443"/>
      <c r="K68" s="444" t="str">
        <f>IF(J67="","",":")</f>
        <v/>
      </c>
      <c r="L68" s="445"/>
      <c r="M68" s="443"/>
      <c r="N68" s="444" t="str">
        <f>IF(M67="","",":")</f>
        <v/>
      </c>
      <c r="O68" s="445"/>
      <c r="P68" s="443"/>
      <c r="Q68" s="444" t="str">
        <f>IF(P67="","",":")</f>
        <v/>
      </c>
      <c r="R68" s="445"/>
      <c r="S68" s="443"/>
      <c r="T68" s="444" t="str">
        <f>IF(S68="","",":")</f>
        <v/>
      </c>
      <c r="U68" s="445"/>
      <c r="V68" s="443"/>
      <c r="W68" s="444" t="str">
        <f>IF(V68="","",":")</f>
        <v/>
      </c>
      <c r="X68" s="445"/>
      <c r="Y68" s="443"/>
      <c r="Z68" s="444" t="str">
        <f>IF(Y68="","",":")</f>
        <v/>
      </c>
      <c r="AA68" s="445"/>
      <c r="AB68" s="443"/>
      <c r="AC68" s="444" t="str">
        <f>IF(AB68="","",":")</f>
        <v/>
      </c>
      <c r="AD68" s="445"/>
      <c r="AE68" s="1198"/>
      <c r="AF68" s="1199"/>
      <c r="AG68" s="1188"/>
      <c r="AH68" s="1186"/>
    </row>
    <row r="69" spans="1:34" ht="12" customHeight="1" x14ac:dyDescent="0.2">
      <c r="A69" s="1175">
        <v>3</v>
      </c>
      <c r="B69" s="1177">
        <v>10</v>
      </c>
      <c r="C69" s="441" t="str">
        <f>IF(B69="","",VLOOKUP(B69,'Списки участников'!A:H,3,FALSE))</f>
        <v>ЕРАСТОВ Андрей</v>
      </c>
      <c r="D69" s="1189" t="str">
        <f>IF(J65="","",IF(J66="W",0,IF(J65=2,1,IF(J65=1,2,IF(J65=0,2)))))</f>
        <v/>
      </c>
      <c r="E69" s="1190"/>
      <c r="F69" s="1191"/>
      <c r="G69" s="1183" t="str">
        <f>IF(J67="","",IF(J68="W",0,IF(J67=2,1,IF(J67=1,2,IF(J67=0,2)))))</f>
        <v/>
      </c>
      <c r="H69" s="1184"/>
      <c r="I69" s="1185"/>
      <c r="J69" s="1192"/>
      <c r="K69" s="1193"/>
      <c r="L69" s="1194"/>
      <c r="M69" s="1183"/>
      <c r="N69" s="1184"/>
      <c r="O69" s="1185"/>
      <c r="P69" s="1183"/>
      <c r="Q69" s="1184"/>
      <c r="R69" s="1185"/>
      <c r="S69" s="1183"/>
      <c r="T69" s="1184"/>
      <c r="U69" s="1185"/>
      <c r="V69" s="1183"/>
      <c r="W69" s="1184"/>
      <c r="X69" s="1185"/>
      <c r="Y69" s="1183"/>
      <c r="Z69" s="1184"/>
      <c r="AA69" s="1185"/>
      <c r="AB69" s="1183"/>
      <c r="AC69" s="1184"/>
      <c r="AD69" s="1185"/>
      <c r="AE69" s="1196">
        <f>IF(B69="","",SUM(G69,D69,M69,P69,S69,V69,Y69,AB69,))</f>
        <v>0</v>
      </c>
      <c r="AF69" s="1197"/>
      <c r="AG69" s="1200"/>
      <c r="AH69" s="1186">
        <f>IF(B69="","",RANK(AE69,ГР8О))</f>
        <v>1</v>
      </c>
    </row>
    <row r="70" spans="1:34" ht="12" customHeight="1" x14ac:dyDescent="0.2">
      <c r="A70" s="1176"/>
      <c r="B70" s="1178"/>
      <c r="C70" s="442" t="str">
        <f>IF(B69="","",VLOOKUP(B69,'Списки участников'!A:H,6,FALSE))</f>
        <v>ОАО "НИАЭП"</v>
      </c>
      <c r="D70" s="449" t="str">
        <f>IF(J66="","",IF(L66="l","W",L66))</f>
        <v/>
      </c>
      <c r="E70" s="444" t="str">
        <f>IF(K66="","",":")</f>
        <v/>
      </c>
      <c r="F70" s="450" t="str">
        <f>IF(L66="","",IF(J66="W","L",J66))</f>
        <v/>
      </c>
      <c r="G70" s="449" t="str">
        <f>IF(J68="","",IF(L68="l","W",L68))</f>
        <v/>
      </c>
      <c r="H70" s="444" t="str">
        <f>IF(K68="","",":")</f>
        <v/>
      </c>
      <c r="I70" s="450" t="str">
        <f>IF(L68="","",IF(J68="W","L",J68))</f>
        <v/>
      </c>
      <c r="J70" s="1195"/>
      <c r="K70" s="1181"/>
      <c r="L70" s="1182"/>
      <c r="M70" s="443"/>
      <c r="N70" s="444" t="str">
        <f>IF(M69="","",":")</f>
        <v/>
      </c>
      <c r="O70" s="445"/>
      <c r="P70" s="443"/>
      <c r="Q70" s="444" t="str">
        <f>IF(P69="","",":")</f>
        <v/>
      </c>
      <c r="R70" s="445"/>
      <c r="S70" s="443"/>
      <c r="T70" s="444" t="str">
        <f>IF(S69="","",":")</f>
        <v/>
      </c>
      <c r="U70" s="445"/>
      <c r="V70" s="443"/>
      <c r="W70" s="444" t="str">
        <f>IF(V70="","",":")</f>
        <v/>
      </c>
      <c r="X70" s="445"/>
      <c r="Y70" s="443"/>
      <c r="Z70" s="444" t="str">
        <f>IF(Y70="","",":")</f>
        <v/>
      </c>
      <c r="AA70" s="445"/>
      <c r="AB70" s="443"/>
      <c r="AC70" s="444" t="str">
        <f>IF(AB70="","",":")</f>
        <v/>
      </c>
      <c r="AD70" s="445"/>
      <c r="AE70" s="1198"/>
      <c r="AF70" s="1199"/>
      <c r="AG70" s="1201"/>
      <c r="AH70" s="1186"/>
    </row>
    <row r="71" spans="1:34" ht="12" customHeight="1" x14ac:dyDescent="0.2">
      <c r="A71" s="1175">
        <v>4</v>
      </c>
      <c r="B71" s="1177">
        <v>15</v>
      </c>
      <c r="C71" s="441" t="str">
        <f>IF(B71="","",VLOOKUP(B71,'Списки участников'!A:H,3,FALSE))</f>
        <v>ГРАЧЕВ Дмитрий</v>
      </c>
      <c r="D71" s="1183" t="str">
        <f>IF(M65="","",IF(M66="W",0,IF(M65=2,1,IF(M65=1,2,IF(M65=0,2)))))</f>
        <v/>
      </c>
      <c r="E71" s="1184"/>
      <c r="F71" s="1185"/>
      <c r="G71" s="1183" t="str">
        <f>IF(M67="","",IF(M68="W",0,IF(M67=2,1,IF(M67=1,2,IF(M67=0,2)))))</f>
        <v/>
      </c>
      <c r="H71" s="1184"/>
      <c r="I71" s="1185"/>
      <c r="J71" s="1183" t="str">
        <f>IF(M69="","",IF(M70="W",0,IF(M69=2,1,IF(M69=1,2,IF(M69=0,2)))))</f>
        <v/>
      </c>
      <c r="K71" s="1184"/>
      <c r="L71" s="1185"/>
      <c r="M71" s="1193"/>
      <c r="N71" s="1193"/>
      <c r="O71" s="1193"/>
      <c r="P71" s="1183"/>
      <c r="Q71" s="1184"/>
      <c r="R71" s="1185"/>
      <c r="S71" s="1183"/>
      <c r="T71" s="1184"/>
      <c r="U71" s="1185"/>
      <c r="V71" s="1183"/>
      <c r="W71" s="1184"/>
      <c r="X71" s="1185"/>
      <c r="Y71" s="1183"/>
      <c r="Z71" s="1184"/>
      <c r="AA71" s="1185"/>
      <c r="AB71" s="1183"/>
      <c r="AC71" s="1184"/>
      <c r="AD71" s="1185"/>
      <c r="AE71" s="1196">
        <f>IF(B71="","",SUM(G71,J71,D71,P71,S71,V71,Y71,AB71,))</f>
        <v>0</v>
      </c>
      <c r="AF71" s="1197"/>
      <c r="AG71" s="1200"/>
      <c r="AH71" s="1186">
        <f>IF(B71="","",RANK(AE71,ГР8О))</f>
        <v>1</v>
      </c>
    </row>
    <row r="72" spans="1:34" ht="12" customHeight="1" x14ac:dyDescent="0.2">
      <c r="A72" s="1176"/>
      <c r="B72" s="1178"/>
      <c r="C72" s="442" t="str">
        <f>IF(B71="","",VLOOKUP(B71,'Списки участников'!A:H,6,FALSE))</f>
        <v>ТПП</v>
      </c>
      <c r="D72" s="449" t="str">
        <f>IF(M66="","",IF(O66="l","W",O66))</f>
        <v/>
      </c>
      <c r="E72" s="444" t="str">
        <f>IF(N66="","",":")</f>
        <v/>
      </c>
      <c r="F72" s="450" t="str">
        <f>IF(O66="","",IF(M66="W","L",M66))</f>
        <v/>
      </c>
      <c r="G72" s="449" t="str">
        <f>IF(M68="","",IF(O68="l","W",O68))</f>
        <v/>
      </c>
      <c r="H72" s="444" t="str">
        <f>IF(N68="","",":")</f>
        <v/>
      </c>
      <c r="I72" s="450" t="str">
        <f>IF(O68="","",IF(M68="W","L",M68))</f>
        <v/>
      </c>
      <c r="J72" s="449" t="str">
        <f>IF(M70="","",IF(O70="l","W",O70))</f>
        <v/>
      </c>
      <c r="K72" s="444" t="str">
        <f>IF(N70="","",":")</f>
        <v/>
      </c>
      <c r="L72" s="450" t="str">
        <f>IF(O70="","",IF(M70="W","L",M70))</f>
        <v/>
      </c>
      <c r="M72" s="1202"/>
      <c r="N72" s="1202"/>
      <c r="O72" s="1202"/>
      <c r="P72" s="443"/>
      <c r="Q72" s="444" t="str">
        <f>IF(P71="","",":")</f>
        <v/>
      </c>
      <c r="R72" s="445"/>
      <c r="S72" s="443"/>
      <c r="T72" s="444" t="str">
        <f>IF(S71="","",":")</f>
        <v/>
      </c>
      <c r="U72" s="445"/>
      <c r="V72" s="443"/>
      <c r="W72" s="444" t="str">
        <f>IF(V71="","",":")</f>
        <v/>
      </c>
      <c r="X72" s="445"/>
      <c r="Y72" s="443"/>
      <c r="Z72" s="444" t="str">
        <f>IF(Y72="","",":")</f>
        <v/>
      </c>
      <c r="AA72" s="445"/>
      <c r="AB72" s="443"/>
      <c r="AC72" s="444" t="str">
        <f>IF(AB72="","",":")</f>
        <v/>
      </c>
      <c r="AD72" s="445"/>
      <c r="AE72" s="1198"/>
      <c r="AF72" s="1199"/>
      <c r="AG72" s="1201"/>
      <c r="AH72" s="1186"/>
    </row>
    <row r="73" spans="1:34" ht="12" customHeight="1" x14ac:dyDescent="0.2">
      <c r="A73" s="1175">
        <v>5</v>
      </c>
      <c r="B73" s="1177"/>
      <c r="C73" s="441" t="str">
        <f>IF(B73="","",VLOOKUP(B73,'Списки участников'!A:H,3,FALSE))</f>
        <v/>
      </c>
      <c r="D73" s="1183" t="str">
        <f>IF(P65="","",IF(P66="W",0,IF(P65=2,1,IF(P65=1,2,IF(P65=0,2)))))</f>
        <v/>
      </c>
      <c r="E73" s="1184"/>
      <c r="F73" s="1185"/>
      <c r="G73" s="1183" t="str">
        <f>IF(P67="","",IF(P68="W",0,IF(P67=2,1,IF(P67=1,2,IF(P67=0,2)))))</f>
        <v/>
      </c>
      <c r="H73" s="1184"/>
      <c r="I73" s="1185"/>
      <c r="J73" s="1183" t="str">
        <f>IF(P69="","",IF(P70="W",0,IF(P69=2,1,IF(P69=1,2,IF(P69=0,2)))))</f>
        <v/>
      </c>
      <c r="K73" s="1184"/>
      <c r="L73" s="1185"/>
      <c r="M73" s="1183" t="str">
        <f>IF(P71="","",IF(P72="W",0,IF(P71=2,1,IF(P71=1,2,IF(P71=0,2)))))</f>
        <v/>
      </c>
      <c r="N73" s="1184"/>
      <c r="O73" s="1185"/>
      <c r="P73" s="1192"/>
      <c r="Q73" s="1193"/>
      <c r="R73" s="1194"/>
      <c r="S73" s="1183"/>
      <c r="T73" s="1184"/>
      <c r="U73" s="1185"/>
      <c r="V73" s="1183"/>
      <c r="W73" s="1184"/>
      <c r="X73" s="1185"/>
      <c r="Y73" s="1183"/>
      <c r="Z73" s="1184"/>
      <c r="AA73" s="1185"/>
      <c r="AB73" s="1183"/>
      <c r="AC73" s="1184"/>
      <c r="AD73" s="1185"/>
      <c r="AE73" s="1196" t="str">
        <f>IF(B73="","",SUM(G73,J73,M73,D73,S73,V73,Y73,AB73,))</f>
        <v/>
      </c>
      <c r="AF73" s="1197"/>
      <c r="AG73" s="1200"/>
      <c r="AH73" s="1186" t="str">
        <f>IF(B73="","",RANK(AE73,ГР8О))</f>
        <v/>
      </c>
    </row>
    <row r="74" spans="1:34" ht="12" customHeight="1" x14ac:dyDescent="0.2">
      <c r="A74" s="1176"/>
      <c r="B74" s="1178"/>
      <c r="C74" s="442" t="str">
        <f>IF(B73="","",VLOOKUP(B73,'Списки участников'!A:H,6,FALSE))</f>
        <v/>
      </c>
      <c r="D74" s="449" t="str">
        <f>IF(P66="","",IF(R66="l","W",R66))</f>
        <v/>
      </c>
      <c r="E74" s="444" t="str">
        <f>IF(Q66="","",":")</f>
        <v/>
      </c>
      <c r="F74" s="450" t="str">
        <f>IF(R66="","",IF(P66="W","L",P66))</f>
        <v/>
      </c>
      <c r="G74" s="449" t="str">
        <f>IF(P68="","",IF(R68="l","W",R68))</f>
        <v/>
      </c>
      <c r="H74" s="444" t="str">
        <f>IF(Q68="","",":")</f>
        <v/>
      </c>
      <c r="I74" s="450" t="str">
        <f>IF(R68="","",IF(P68="W","L",P68))</f>
        <v/>
      </c>
      <c r="J74" s="449" t="str">
        <f>IF(P70="","",IF(R70="l","W",R70))</f>
        <v/>
      </c>
      <c r="K74" s="444" t="str">
        <f>IF(Q70="","",":")</f>
        <v/>
      </c>
      <c r="L74" s="450" t="str">
        <f>IF(R70="","",IF(P70="W","L",P70))</f>
        <v/>
      </c>
      <c r="M74" s="449" t="str">
        <f>IF(P72="","",IF(R72="l","W",R72))</f>
        <v/>
      </c>
      <c r="N74" s="444" t="str">
        <f>IF(Q72="","",":")</f>
        <v/>
      </c>
      <c r="O74" s="450" t="str">
        <f>IF(R72="","",IF(P72="W","L",P72))</f>
        <v/>
      </c>
      <c r="P74" s="1195"/>
      <c r="Q74" s="1181"/>
      <c r="R74" s="1182"/>
      <c r="S74" s="443"/>
      <c r="T74" s="444" t="str">
        <f>IF(S73="","",":")</f>
        <v/>
      </c>
      <c r="U74" s="445"/>
      <c r="V74" s="443"/>
      <c r="W74" s="444" t="str">
        <f>IF(V73="","",":")</f>
        <v/>
      </c>
      <c r="X74" s="445"/>
      <c r="Y74" s="443"/>
      <c r="Z74" s="444" t="str">
        <f>IF(Y73="","",":")</f>
        <v/>
      </c>
      <c r="AA74" s="445"/>
      <c r="AB74" s="443"/>
      <c r="AC74" s="444" t="str">
        <f>IF(AB74="","",":")</f>
        <v/>
      </c>
      <c r="AD74" s="445"/>
      <c r="AE74" s="1198"/>
      <c r="AF74" s="1199"/>
      <c r="AG74" s="1201"/>
      <c r="AH74" s="1186"/>
    </row>
    <row r="75" spans="1:34" ht="12" hidden="1" customHeight="1" x14ac:dyDescent="0.2">
      <c r="A75" s="1175">
        <v>6</v>
      </c>
      <c r="B75" s="1177"/>
      <c r="C75" s="441" t="str">
        <f>IF(B75="","",VLOOKUP(B75,'Списки участников'!A:H,3,FALSE))</f>
        <v/>
      </c>
      <c r="D75" s="1183" t="str">
        <f>IF(S65="","",IF(S66="W",0,IF(S65=2,1,IF(S65=1,2,IF(S65=0,2)))))</f>
        <v/>
      </c>
      <c r="E75" s="1184"/>
      <c r="F75" s="1185"/>
      <c r="G75" s="1183" t="str">
        <f>IF(S67="","",IF(S68="W",0,IF(S67=2,1,IF(S67=1,2,IF(S67=0,2)))))</f>
        <v/>
      </c>
      <c r="H75" s="1184"/>
      <c r="I75" s="1185"/>
      <c r="J75" s="1183" t="str">
        <f>IF(S69="","",IF(S70="W",0,IF(S69=2,1,IF(S69=1,2,IF(S69=0,2)))))</f>
        <v/>
      </c>
      <c r="K75" s="1184"/>
      <c r="L75" s="1185"/>
      <c r="M75" s="1183" t="str">
        <f>IF(S71="","",IF(S72="W",0,IF(S71=2,1,IF(S71=1,2,IF(S71=0,2)))))</f>
        <v/>
      </c>
      <c r="N75" s="1184"/>
      <c r="O75" s="1185"/>
      <c r="P75" s="1183" t="str">
        <f>IF(S73="","",IF(S74="W",0,IF(S73=2,1,IF(S73=1,2,IF(S73=0,2)))))</f>
        <v/>
      </c>
      <c r="Q75" s="1184"/>
      <c r="R75" s="1185"/>
      <c r="S75" s="1192"/>
      <c r="T75" s="1193"/>
      <c r="U75" s="1194"/>
      <c r="V75" s="1183"/>
      <c r="W75" s="1184"/>
      <c r="X75" s="1185"/>
      <c r="Y75" s="1183"/>
      <c r="Z75" s="1184"/>
      <c r="AA75" s="1185"/>
      <c r="AB75" s="1183"/>
      <c r="AC75" s="1184"/>
      <c r="AD75" s="1185"/>
      <c r="AE75" s="1196" t="str">
        <f>IF(B75="","",SUM(G75,J75,M75,P75,D75,V75,Y75,AB75,))</f>
        <v/>
      </c>
      <c r="AF75" s="1197"/>
      <c r="AG75" s="1200"/>
      <c r="AH75" s="1186" t="str">
        <f>IF(B75="","",RANK(AE75,ГР8О))</f>
        <v/>
      </c>
    </row>
    <row r="76" spans="1:34" ht="12" hidden="1" customHeight="1" x14ac:dyDescent="0.2">
      <c r="A76" s="1176"/>
      <c r="B76" s="1178"/>
      <c r="C76" s="442" t="str">
        <f>IF(B75="","",VLOOKUP(B75,'Списки участников'!A:H,6,FALSE))</f>
        <v/>
      </c>
      <c r="D76" s="449" t="str">
        <f>IF(S66="","",IF(U66="l","W",U66))</f>
        <v/>
      </c>
      <c r="E76" s="444" t="str">
        <f>IF(T66="","",":")</f>
        <v/>
      </c>
      <c r="F76" s="450" t="str">
        <f>IF(U66="","",IF(S66="W","L",S66))</f>
        <v/>
      </c>
      <c r="G76" s="449" t="str">
        <f>IF(S68="","",IF(U68="l","W",U68))</f>
        <v/>
      </c>
      <c r="H76" s="444" t="str">
        <f>IF(T68="","",":")</f>
        <v/>
      </c>
      <c r="I76" s="450" t="str">
        <f>IF(U68="","",IF(S68="W","L",S68))</f>
        <v/>
      </c>
      <c r="J76" s="449" t="str">
        <f>IF(S70="","",IF(U70="l","W",U70))</f>
        <v/>
      </c>
      <c r="K76" s="444" t="str">
        <f>IF(T70="","",":")</f>
        <v/>
      </c>
      <c r="L76" s="450" t="str">
        <f>IF(U70="","",IF(S70="W","L",S70))</f>
        <v/>
      </c>
      <c r="M76" s="449" t="str">
        <f>IF(S72="","",IF(U72="l","W",U72))</f>
        <v/>
      </c>
      <c r="N76" s="444" t="str">
        <f>IF(T72="","",":")</f>
        <v/>
      </c>
      <c r="O76" s="450" t="str">
        <f>IF(U72="","",IF(S72="W","L",S72))</f>
        <v/>
      </c>
      <c r="P76" s="449" t="str">
        <f>IF(S74="","",IF(U74="l","W",U74))</f>
        <v/>
      </c>
      <c r="Q76" s="444" t="str">
        <f>IF(T74="","",":")</f>
        <v/>
      </c>
      <c r="R76" s="450" t="str">
        <f>IF(U74="","",IF(S74="W","L",S74))</f>
        <v/>
      </c>
      <c r="S76" s="1195"/>
      <c r="T76" s="1181"/>
      <c r="U76" s="1182"/>
      <c r="V76" s="443"/>
      <c r="W76" s="444" t="str">
        <f>IF(V75="","",":")</f>
        <v/>
      </c>
      <c r="X76" s="445"/>
      <c r="Y76" s="443"/>
      <c r="Z76" s="444" t="str">
        <f>IF(Y75="","",":")</f>
        <v/>
      </c>
      <c r="AA76" s="445"/>
      <c r="AB76" s="443"/>
      <c r="AC76" s="444" t="str">
        <f>IF(AB75="","",":")</f>
        <v/>
      </c>
      <c r="AD76" s="445"/>
      <c r="AE76" s="1198"/>
      <c r="AF76" s="1199"/>
      <c r="AG76" s="1201"/>
      <c r="AH76" s="1186"/>
    </row>
    <row r="77" spans="1:34" ht="12" hidden="1" customHeight="1" x14ac:dyDescent="0.2">
      <c r="A77" s="1175">
        <v>7</v>
      </c>
      <c r="B77" s="1177"/>
      <c r="C77" s="441" t="str">
        <f>IF(B77="","",VLOOKUP(B77,'Списки участников'!A:H,3,FALSE))</f>
        <v/>
      </c>
      <c r="D77" s="1183" t="str">
        <f>IF(V65="","",IF(V66="W",0,IF(V65=2,1,IF(V65=1,2,IF(V65=0,2)))))</f>
        <v/>
      </c>
      <c r="E77" s="1184"/>
      <c r="F77" s="1185"/>
      <c r="G77" s="1183" t="str">
        <f>IF(V67="","",IF(V68="W",0,IF(V67=2,1,IF(V67=1,2,IF(V67=0,2)))))</f>
        <v/>
      </c>
      <c r="H77" s="1184"/>
      <c r="I77" s="1185"/>
      <c r="J77" s="1183" t="str">
        <f>IF(V69="","",IF(V70="W",0,IF(V69=2,1,IF(V69=1,2,IF(V69=0,2)))))</f>
        <v/>
      </c>
      <c r="K77" s="1184"/>
      <c r="L77" s="1185"/>
      <c r="M77" s="1183" t="str">
        <f>IF(V71="","",IF(V72="W",0,IF(V71=2,1,IF(V71=1,2,IF(V71=0,2)))))</f>
        <v/>
      </c>
      <c r="N77" s="1184"/>
      <c r="O77" s="1185"/>
      <c r="P77" s="1183" t="str">
        <f>IF(V73="","",IF(V74="W",0,IF(V73=2,1,IF(V73=1,2,IF(V73=0,2)))))</f>
        <v/>
      </c>
      <c r="Q77" s="1184"/>
      <c r="R77" s="1185"/>
      <c r="S77" s="1183" t="str">
        <f>IF(V75="","",IF(V76="W",0,IF(V75=2,1,IF(V75=1,2,IF(V75=0,2)))))</f>
        <v/>
      </c>
      <c r="T77" s="1184"/>
      <c r="U77" s="1185"/>
      <c r="V77" s="1203"/>
      <c r="W77" s="1179"/>
      <c r="X77" s="1180"/>
      <c r="Y77" s="1183"/>
      <c r="Z77" s="1184"/>
      <c r="AA77" s="1185"/>
      <c r="AB77" s="1183"/>
      <c r="AC77" s="1184"/>
      <c r="AD77" s="1185"/>
      <c r="AE77" s="1196" t="str">
        <f>IF(B77="","",SUM(G77,J77,M77,P77,S77,D77,Y77,AB77,))</f>
        <v/>
      </c>
      <c r="AF77" s="1197"/>
      <c r="AG77" s="1200"/>
      <c r="AH77" s="1186" t="str">
        <f>IF(B77="","",RANK(AE77,ГР8О))</f>
        <v/>
      </c>
    </row>
    <row r="78" spans="1:34" ht="12" hidden="1" customHeight="1" x14ac:dyDescent="0.2">
      <c r="A78" s="1176"/>
      <c r="B78" s="1178"/>
      <c r="C78" s="442" t="str">
        <f>IF(B77="","",VLOOKUP(B77,'Списки участников'!A:H,6,FALSE))</f>
        <v/>
      </c>
      <c r="D78" s="449" t="str">
        <f>IF(V66="","",IF(X66="l","W",X66))</f>
        <v/>
      </c>
      <c r="E78" s="444" t="str">
        <f>IF(W66="","",":")</f>
        <v/>
      </c>
      <c r="F78" s="450" t="str">
        <f>IF(X66="","",IF(V66="W","L",V66))</f>
        <v/>
      </c>
      <c r="G78" s="449" t="str">
        <f>IF(V68="","",IF(X68="l","W",X68))</f>
        <v/>
      </c>
      <c r="H78" s="444" t="str">
        <f>IF(W68="","",":")</f>
        <v/>
      </c>
      <c r="I78" s="450" t="str">
        <f>IF(X68="","",IF(V68="W","L",V68))</f>
        <v/>
      </c>
      <c r="J78" s="449" t="str">
        <f>IF(V70="","",IF(X70="l","W",X70))</f>
        <v/>
      </c>
      <c r="K78" s="444" t="str">
        <f>IF(W70="","",":")</f>
        <v/>
      </c>
      <c r="L78" s="450" t="str">
        <f>IF(X70="","",IF(V70="W","L",V70))</f>
        <v/>
      </c>
      <c r="M78" s="449" t="str">
        <f>IF(V72="","",IF(X72="l","W",X72))</f>
        <v/>
      </c>
      <c r="N78" s="444" t="str">
        <f>IF(W72="","",":")</f>
        <v/>
      </c>
      <c r="O78" s="450" t="str">
        <f>IF(X72="","",IF(V72="W","L",V72))</f>
        <v/>
      </c>
      <c r="P78" s="449" t="str">
        <f>IF(V74="","",IF(X74="l","W",X74))</f>
        <v/>
      </c>
      <c r="Q78" s="444" t="str">
        <f>IF(W74="","",":")</f>
        <v/>
      </c>
      <c r="R78" s="450" t="str">
        <f>IF(X74="","",IF(V74="W","L",V74))</f>
        <v/>
      </c>
      <c r="S78" s="449" t="str">
        <f>IF(V76="","",IF(X76="l","W",X76))</f>
        <v/>
      </c>
      <c r="T78" s="444" t="str">
        <f>IF(W76="","",":")</f>
        <v/>
      </c>
      <c r="U78" s="450" t="str">
        <f>IF(X76="","",IF(V76="W","L",V76))</f>
        <v/>
      </c>
      <c r="V78" s="1195"/>
      <c r="W78" s="1181"/>
      <c r="X78" s="1182"/>
      <c r="Y78" s="443"/>
      <c r="Z78" s="444" t="str">
        <f>IF(Y77="","",":")</f>
        <v/>
      </c>
      <c r="AA78" s="445"/>
      <c r="AB78" s="443"/>
      <c r="AC78" s="444" t="str">
        <f>IF(AB77="","",":")</f>
        <v/>
      </c>
      <c r="AD78" s="445"/>
      <c r="AE78" s="1198"/>
      <c r="AF78" s="1199"/>
      <c r="AG78" s="1201"/>
      <c r="AH78" s="1186"/>
    </row>
    <row r="79" spans="1:34" ht="12" hidden="1" customHeight="1" x14ac:dyDescent="0.2">
      <c r="A79" s="1175">
        <v>8</v>
      </c>
      <c r="B79" s="1177"/>
      <c r="C79" s="441" t="str">
        <f>IF(B79="","",VLOOKUP(B79,'Списки участников'!A:H,3,FALSE))</f>
        <v/>
      </c>
      <c r="D79" s="1183" t="str">
        <f>IF(Y65="","",IF(Y66="W",0,IF(Y65=2,1,IF(Y65=1,2,IF(Y65=0,2)))))</f>
        <v/>
      </c>
      <c r="E79" s="1184"/>
      <c r="F79" s="1185"/>
      <c r="G79" s="1183" t="str">
        <f>IF(Y67="","",IF(Y68="W",0,IF(Y67=2,1,IF(Y67=1,2,IF(Y67=0,2)))))</f>
        <v/>
      </c>
      <c r="H79" s="1184"/>
      <c r="I79" s="1185"/>
      <c r="J79" s="1183" t="str">
        <f>IF(Y69="","",IF(Y70="W",0,IF(Y69=2,1,IF(Y69=1,2,IF(Y69=0,2)))))</f>
        <v/>
      </c>
      <c r="K79" s="1184"/>
      <c r="L79" s="1185"/>
      <c r="M79" s="1183" t="str">
        <f>IF(Y71="","",IF(Y72="W",0,IF(Y71=2,1,IF(Y71=1,2,IF(Y71=0,2)))))</f>
        <v/>
      </c>
      <c r="N79" s="1184"/>
      <c r="O79" s="1185"/>
      <c r="P79" s="1183" t="str">
        <f>IF(Y73="","",IF(Y74="W",0,IF(Y73=2,1,IF(Y73=1,2,IF(Y73=0,2)))))</f>
        <v/>
      </c>
      <c r="Q79" s="1184"/>
      <c r="R79" s="1185"/>
      <c r="S79" s="1183" t="str">
        <f>IF(Y75="","",IF(Y76="W",0,IF(Y75=2,1,IF(Y75=1,2,IF(Y75=0,2)))))</f>
        <v/>
      </c>
      <c r="T79" s="1184"/>
      <c r="U79" s="1185"/>
      <c r="V79" s="1183" t="str">
        <f>IF(Y77="","",IF(Y78="W",0,IF(Y77=2,1,IF(Y77=1,2,IF(Y77=0,2)))))</f>
        <v/>
      </c>
      <c r="W79" s="1184"/>
      <c r="X79" s="1185"/>
      <c r="Y79" s="1192"/>
      <c r="Z79" s="1193"/>
      <c r="AA79" s="1194"/>
      <c r="AB79" s="1183"/>
      <c r="AC79" s="1184"/>
      <c r="AD79" s="1185"/>
      <c r="AE79" s="1196" t="str">
        <f>IF(B79="","",SUM(G79,J79,M79,P79,S79,V79,D79,AB79,))</f>
        <v/>
      </c>
      <c r="AF79" s="1197"/>
      <c r="AG79" s="1200"/>
      <c r="AH79" s="1186" t="str">
        <f>IF(B79="","",RANK(AE79,ГР8О))</f>
        <v/>
      </c>
    </row>
    <row r="80" spans="1:34" ht="12" hidden="1" customHeight="1" x14ac:dyDescent="0.2">
      <c r="A80" s="1176"/>
      <c r="B80" s="1178"/>
      <c r="C80" s="442" t="str">
        <f>IF(B79="","",VLOOKUP(B79,'Списки участников'!A:H,6,FALSE))</f>
        <v/>
      </c>
      <c r="D80" s="449" t="str">
        <f>IF(Y66="","",IF(AA66="l","W",AA66))</f>
        <v/>
      </c>
      <c r="E80" s="444" t="str">
        <f>IF(Z66="","",":")</f>
        <v/>
      </c>
      <c r="F80" s="450" t="str">
        <f>IF(AA66="","",IF(Y66="W","L",Y66))</f>
        <v/>
      </c>
      <c r="G80" s="449" t="str">
        <f>IF(Y68="","",IF(AA68="l","W",AA68))</f>
        <v/>
      </c>
      <c r="H80" s="444" t="str">
        <f>IF(Z68="","",":")</f>
        <v/>
      </c>
      <c r="I80" s="450" t="str">
        <f>IF(AA68="","",IF(Y68="W","L",Y68))</f>
        <v/>
      </c>
      <c r="J80" s="449" t="str">
        <f>IF(Y70="","",IF(AA70="l","W",AA70))</f>
        <v/>
      </c>
      <c r="K80" s="444" t="str">
        <f>IF(Z70="","",":")</f>
        <v/>
      </c>
      <c r="L80" s="450" t="str">
        <f>IF(AA70="","",IF(Y70="W","L",Y70))</f>
        <v/>
      </c>
      <c r="M80" s="449" t="str">
        <f>IF(Y72="","",IF(AA72="l","W",AA72))</f>
        <v/>
      </c>
      <c r="N80" s="444" t="str">
        <f>IF(Z72="","",":")</f>
        <v/>
      </c>
      <c r="O80" s="450" t="str">
        <f>IF(AA72="","",IF(Y72="W","L",Y72))</f>
        <v/>
      </c>
      <c r="P80" s="449" t="str">
        <f>IF(Y74="","",IF(AA74="l","W",AA74))</f>
        <v/>
      </c>
      <c r="Q80" s="444" t="str">
        <f>IF(Z74="","",":")</f>
        <v/>
      </c>
      <c r="R80" s="450" t="str">
        <f>IF(AA74="","",IF(Y74="W","L",Y74))</f>
        <v/>
      </c>
      <c r="S80" s="449" t="str">
        <f>IF(Y76="","",IF(AA76="l","W",AA76))</f>
        <v/>
      </c>
      <c r="T80" s="444" t="str">
        <f>IF(Z76="","",":")</f>
        <v/>
      </c>
      <c r="U80" s="450" t="str">
        <f>IF(AA76="","",IF(Y76="W","L",Y76))</f>
        <v/>
      </c>
      <c r="V80" s="449" t="str">
        <f>IF(Y78="","",IF(AA78="l","W",AA78))</f>
        <v/>
      </c>
      <c r="W80" s="444" t="str">
        <f>IF(Z78="","",":")</f>
        <v/>
      </c>
      <c r="X80" s="450" t="str">
        <f>IF(AA78="","",IF(Y78="W","L",Y78))</f>
        <v/>
      </c>
      <c r="Y80" s="1195"/>
      <c r="Z80" s="1181"/>
      <c r="AA80" s="1182"/>
      <c r="AB80" s="443"/>
      <c r="AC80" s="444" t="str">
        <f>IF(AB79="","",":")</f>
        <v/>
      </c>
      <c r="AD80" s="445"/>
      <c r="AE80" s="1198"/>
      <c r="AF80" s="1199"/>
      <c r="AG80" s="1201"/>
      <c r="AH80" s="1186"/>
    </row>
    <row r="81" spans="1:34" ht="12" hidden="1" customHeight="1" x14ac:dyDescent="0.2">
      <c r="A81" s="1175">
        <v>9</v>
      </c>
      <c r="B81" s="1177"/>
      <c r="C81" s="441" t="str">
        <f>IF(B81="","",VLOOKUP(B81,'Списки участников'!A:H,3,FALSE))</f>
        <v/>
      </c>
      <c r="D81" s="1183" t="str">
        <f>IF(AB65="","",IF(AB66="W",0,IF(AB65=2,1,IF(AB65=1,2,IF(AB65=0,2)))))</f>
        <v/>
      </c>
      <c r="E81" s="1184"/>
      <c r="F81" s="1185"/>
      <c r="G81" s="1183" t="str">
        <f>IF(AB67="","",IF(AB68="W",0,IF(AB67=2,1,IF(AB67=1,2,IF(AB67=0,2)))))</f>
        <v/>
      </c>
      <c r="H81" s="1184"/>
      <c r="I81" s="1185"/>
      <c r="J81" s="1183" t="str">
        <f>IF(AB69="","",IF(AB70="W",0,IF(AB69=2,1,IF(AB69=1,2,IF(AB69=0,2)))))</f>
        <v/>
      </c>
      <c r="K81" s="1184"/>
      <c r="L81" s="1185"/>
      <c r="M81" s="1183" t="str">
        <f>IF(AB71="","",IF(AB72="W",0,IF(AB71=2,1,IF(AB71=1,2,IF(AB71=0,2)))))</f>
        <v/>
      </c>
      <c r="N81" s="1184"/>
      <c r="O81" s="1185"/>
      <c r="P81" s="1183" t="str">
        <f>IF(AB73="","",IF(AB74="W",0,IF(AB73=2,1,IF(AB73=1,2,IF(AB73=0,2)))))</f>
        <v/>
      </c>
      <c r="Q81" s="1184"/>
      <c r="R81" s="1185"/>
      <c r="S81" s="1183" t="str">
        <f>IF(AB75="","",IF(AB76="W",0,IF(AB75=2,1,IF(AB75=1,2,IF(AB75=0,2)))))</f>
        <v/>
      </c>
      <c r="T81" s="1184"/>
      <c r="U81" s="1185"/>
      <c r="V81" s="1183" t="str">
        <f>IF(AB77="","",IF(AB78="W",0,IF(AB77=2,1,IF(AB77=1,2,IF(AB77=0,2)))))</f>
        <v/>
      </c>
      <c r="W81" s="1184"/>
      <c r="X81" s="1185"/>
      <c r="Y81" s="1183" t="str">
        <f>IF(AB79="","",IF(AB80="W",0,IF(AB79=2,1,IF(AB79=1,2,IF(AB79=0,2)))))</f>
        <v/>
      </c>
      <c r="Z81" s="1184"/>
      <c r="AA81" s="1185"/>
      <c r="AB81" s="1203"/>
      <c r="AC81" s="1179"/>
      <c r="AD81" s="1180"/>
      <c r="AE81" s="1196" t="str">
        <f>IF(B81="","",SUM(G81,J81,M81,P81,S81,V81,Y81,D81,))</f>
        <v/>
      </c>
      <c r="AF81" s="1197"/>
      <c r="AG81" s="1200"/>
      <c r="AH81" s="1186" t="str">
        <f>IF(B81="","",RANK(AE81,ГР8О))</f>
        <v/>
      </c>
    </row>
    <row r="82" spans="1:34" ht="12" hidden="1" customHeight="1" x14ac:dyDescent="0.2">
      <c r="A82" s="1176"/>
      <c r="B82" s="1178"/>
      <c r="C82" s="442" t="str">
        <f>IF(B81="","",VLOOKUP(B81,'Списки участников'!A:H,6,FALSE))</f>
        <v/>
      </c>
      <c r="D82" s="449" t="str">
        <f>IF(AB66="","",IF(AD66="l","W",AD66))</f>
        <v/>
      </c>
      <c r="E82" s="444" t="str">
        <f>IF(AC66="","",":")</f>
        <v/>
      </c>
      <c r="F82" s="450" t="str">
        <f>IF(AD66="","",IF(AB66="W","L",AB66))</f>
        <v/>
      </c>
      <c r="G82" s="449" t="str">
        <f>IF(AB68="","",IF(AD68="l","W",AD68))</f>
        <v/>
      </c>
      <c r="H82" s="444" t="str">
        <f>IF(AC68="","",":")</f>
        <v/>
      </c>
      <c r="I82" s="450" t="str">
        <f>IF(AD68="","",IF(AB68="W","L",AB68))</f>
        <v/>
      </c>
      <c r="J82" s="449" t="str">
        <f>IF(AB70="","",IF(AD70="l","W",AD70))</f>
        <v/>
      </c>
      <c r="K82" s="444" t="str">
        <f>IF(AC70="","",":")</f>
        <v/>
      </c>
      <c r="L82" s="450" t="str">
        <f>IF(AD70="","",IF(AB70="W","L",AB70))</f>
        <v/>
      </c>
      <c r="M82" s="449" t="str">
        <f>IF(AB72="","",IF(AD72="l","W",AD72))</f>
        <v/>
      </c>
      <c r="N82" s="444" t="str">
        <f>IF(AC72="","",":")</f>
        <v/>
      </c>
      <c r="O82" s="450" t="str">
        <f>IF(AD72="","",IF(AB72="W","L",AB72))</f>
        <v/>
      </c>
      <c r="P82" s="449" t="str">
        <f>IF(AB74="","",IF(AD74="l","W",AD74))</f>
        <v/>
      </c>
      <c r="Q82" s="444" t="str">
        <f>IF(AC74="","",":")</f>
        <v/>
      </c>
      <c r="R82" s="450" t="str">
        <f>IF(AD74="","",IF(AB74="W","L",AB74))</f>
        <v/>
      </c>
      <c r="S82" s="449" t="str">
        <f>IF(AB76="","",IF(AD76="l","W",AD76))</f>
        <v/>
      </c>
      <c r="T82" s="444" t="str">
        <f>IF(AC76="","",":")</f>
        <v/>
      </c>
      <c r="U82" s="450" t="str">
        <f>IF(AD76="","",IF(AB76="W","L",AB76))</f>
        <v/>
      </c>
      <c r="V82" s="449" t="str">
        <f>IF(AB78="","",IF(AD78="l","W",AD78))</f>
        <v/>
      </c>
      <c r="W82" s="444" t="str">
        <f>IF(AC78="","",":")</f>
        <v/>
      </c>
      <c r="X82" s="450" t="str">
        <f>IF(AD78="","",IF(AB78="W","L",AB78))</f>
        <v/>
      </c>
      <c r="Y82" s="449" t="str">
        <f>IF(AB80="","",IF(AD80="l","W",AD80))</f>
        <v/>
      </c>
      <c r="Z82" s="444" t="str">
        <f>IF(AC80="","",":")</f>
        <v/>
      </c>
      <c r="AA82" s="450" t="str">
        <f>IF(AD80="","",IF(AB80="W","L",AB80))</f>
        <v/>
      </c>
      <c r="AB82" s="1195"/>
      <c r="AC82" s="1181"/>
      <c r="AD82" s="1182"/>
      <c r="AE82" s="1198"/>
      <c r="AF82" s="1199"/>
      <c r="AG82" s="1201"/>
      <c r="AH82" s="1186"/>
    </row>
    <row r="84" spans="1:34" ht="15.75" x14ac:dyDescent="0.25">
      <c r="C84" s="453" t="s">
        <v>760</v>
      </c>
      <c r="D84" s="1210"/>
      <c r="E84" s="1210"/>
      <c r="F84" s="1210"/>
      <c r="G84" s="1210"/>
      <c r="H84" s="1210"/>
      <c r="I84" s="1210"/>
      <c r="J84" s="1210"/>
      <c r="K84" s="1210"/>
      <c r="L84" s="453"/>
      <c r="M84" s="453"/>
      <c r="N84" s="453"/>
      <c r="O84" s="453"/>
      <c r="P84" s="453"/>
      <c r="Q84" s="1210" t="s">
        <v>761</v>
      </c>
      <c r="R84" s="1210"/>
      <c r="S84" s="1210"/>
      <c r="T84" s="1210"/>
      <c r="U84" s="1210"/>
      <c r="V84" s="1210"/>
      <c r="W84" s="1210"/>
      <c r="X84" s="1210"/>
      <c r="Y84" s="453"/>
      <c r="Z84" s="453"/>
      <c r="AA84" s="453"/>
      <c r="AB84" s="453"/>
      <c r="AC84" s="1210"/>
      <c r="AD84" s="1210"/>
      <c r="AE84" s="1210"/>
      <c r="AF84" s="1210"/>
      <c r="AG84" s="1210"/>
    </row>
  </sheetData>
  <mergeCells count="554">
    <mergeCell ref="A81:A82"/>
    <mergeCell ref="B81:B82"/>
    <mergeCell ref="D81:F81"/>
    <mergeCell ref="G81:I81"/>
    <mergeCell ref="J81:L81"/>
    <mergeCell ref="AE81:AF82"/>
    <mergeCell ref="AG81:AG82"/>
    <mergeCell ref="AH81:AH82"/>
    <mergeCell ref="D84:K84"/>
    <mergeCell ref="Q84:X84"/>
    <mergeCell ref="AC84:AG84"/>
    <mergeCell ref="M81:O81"/>
    <mergeCell ref="P81:R81"/>
    <mergeCell ref="S81:U81"/>
    <mergeCell ref="V81:X81"/>
    <mergeCell ref="Y81:AA81"/>
    <mergeCell ref="AB81:AD82"/>
    <mergeCell ref="Y77:AA77"/>
    <mergeCell ref="AB77:AD77"/>
    <mergeCell ref="AE77:AF78"/>
    <mergeCell ref="AG77:AG78"/>
    <mergeCell ref="Y79:AA80"/>
    <mergeCell ref="AB79:AD79"/>
    <mergeCell ref="AE79:AF80"/>
    <mergeCell ref="AG79:AG80"/>
    <mergeCell ref="AH79:AH80"/>
    <mergeCell ref="A79:A80"/>
    <mergeCell ref="B79:B80"/>
    <mergeCell ref="D79:F79"/>
    <mergeCell ref="G79:I79"/>
    <mergeCell ref="J79:L79"/>
    <mergeCell ref="M79:O79"/>
    <mergeCell ref="P79:R79"/>
    <mergeCell ref="S79:U79"/>
    <mergeCell ref="V79:X79"/>
    <mergeCell ref="A75:A76"/>
    <mergeCell ref="B75:B76"/>
    <mergeCell ref="D75:F75"/>
    <mergeCell ref="G75:I75"/>
    <mergeCell ref="J75:L75"/>
    <mergeCell ref="AE75:AF76"/>
    <mergeCell ref="AG75:AG76"/>
    <mergeCell ref="AH75:AH76"/>
    <mergeCell ref="A77:A78"/>
    <mergeCell ref="B77:B78"/>
    <mergeCell ref="D77:F77"/>
    <mergeCell ref="G77:I77"/>
    <mergeCell ref="J77:L77"/>
    <mergeCell ref="M77:O77"/>
    <mergeCell ref="P77:R77"/>
    <mergeCell ref="M75:O75"/>
    <mergeCell ref="P75:R75"/>
    <mergeCell ref="S75:U76"/>
    <mergeCell ref="V75:X75"/>
    <mergeCell ref="Y75:AA75"/>
    <mergeCell ref="AB75:AD75"/>
    <mergeCell ref="AH77:AH78"/>
    <mergeCell ref="S77:U77"/>
    <mergeCell ref="V77:X78"/>
    <mergeCell ref="AH71:AH72"/>
    <mergeCell ref="A73:A74"/>
    <mergeCell ref="B73:B74"/>
    <mergeCell ref="D73:F73"/>
    <mergeCell ref="G73:I73"/>
    <mergeCell ref="J73:L73"/>
    <mergeCell ref="M73:O73"/>
    <mergeCell ref="P73:R74"/>
    <mergeCell ref="S73:U73"/>
    <mergeCell ref="V73:X73"/>
    <mergeCell ref="S71:U71"/>
    <mergeCell ref="V71:X71"/>
    <mergeCell ref="Y71:AA71"/>
    <mergeCell ref="AB71:AD71"/>
    <mergeCell ref="AE71:AF72"/>
    <mergeCell ref="AG71:AG72"/>
    <mergeCell ref="Y73:AA73"/>
    <mergeCell ref="AB73:AD73"/>
    <mergeCell ref="AE73:AF74"/>
    <mergeCell ref="AG73:AG74"/>
    <mergeCell ref="AH73:AH74"/>
    <mergeCell ref="A71:A72"/>
    <mergeCell ref="B71:B72"/>
    <mergeCell ref="D71:F71"/>
    <mergeCell ref="G71:I71"/>
    <mergeCell ref="J71:L71"/>
    <mergeCell ref="M71:O72"/>
    <mergeCell ref="P71:R71"/>
    <mergeCell ref="M69:O69"/>
    <mergeCell ref="P69:R69"/>
    <mergeCell ref="AB67:AD67"/>
    <mergeCell ref="AE67:AF68"/>
    <mergeCell ref="AG67:AG68"/>
    <mergeCell ref="AH67:AH68"/>
    <mergeCell ref="A69:A70"/>
    <mergeCell ref="B69:B70"/>
    <mergeCell ref="D69:F69"/>
    <mergeCell ref="G69:I69"/>
    <mergeCell ref="J69:L70"/>
    <mergeCell ref="AE69:AF70"/>
    <mergeCell ref="AG69:AG70"/>
    <mergeCell ref="AH69:AH70"/>
    <mergeCell ref="S69:U69"/>
    <mergeCell ref="V69:X69"/>
    <mergeCell ref="Y69:AA69"/>
    <mergeCell ref="AB69:AD69"/>
    <mergeCell ref="A65:A66"/>
    <mergeCell ref="B65:B66"/>
    <mergeCell ref="D65:F66"/>
    <mergeCell ref="G65:I65"/>
    <mergeCell ref="J65:L65"/>
    <mergeCell ref="M65:O65"/>
    <mergeCell ref="P65:R65"/>
    <mergeCell ref="AH65:AH66"/>
    <mergeCell ref="A67:A68"/>
    <mergeCell ref="B67:B68"/>
    <mergeCell ref="D67:F67"/>
    <mergeCell ref="G67:I68"/>
    <mergeCell ref="J67:L67"/>
    <mergeCell ref="M67:O67"/>
    <mergeCell ref="P67:R67"/>
    <mergeCell ref="S67:U67"/>
    <mergeCell ref="V67:X67"/>
    <mergeCell ref="S65:U65"/>
    <mergeCell ref="V65:X65"/>
    <mergeCell ref="Y65:AA65"/>
    <mergeCell ref="AB65:AD65"/>
    <mergeCell ref="AE65:AF66"/>
    <mergeCell ref="AG65:AG66"/>
    <mergeCell ref="Y67:AA67"/>
    <mergeCell ref="AG61:AG62"/>
    <mergeCell ref="AH61:AH62"/>
    <mergeCell ref="G63:AA63"/>
    <mergeCell ref="D64:F64"/>
    <mergeCell ref="G64:I64"/>
    <mergeCell ref="J64:L64"/>
    <mergeCell ref="M64:O64"/>
    <mergeCell ref="P64:R64"/>
    <mergeCell ref="S64:U64"/>
    <mergeCell ref="V64:X64"/>
    <mergeCell ref="P61:R61"/>
    <mergeCell ref="S61:U61"/>
    <mergeCell ref="V61:X61"/>
    <mergeCell ref="Y61:AA61"/>
    <mergeCell ref="AB61:AD62"/>
    <mergeCell ref="AE61:AF62"/>
    <mergeCell ref="Y64:AA64"/>
    <mergeCell ref="AB64:AD64"/>
    <mergeCell ref="AE64:AF64"/>
    <mergeCell ref="A61:A62"/>
    <mergeCell ref="B61:B62"/>
    <mergeCell ref="D61:F61"/>
    <mergeCell ref="G61:I61"/>
    <mergeCell ref="J61:L61"/>
    <mergeCell ref="M61:O61"/>
    <mergeCell ref="V59:X59"/>
    <mergeCell ref="Y59:AA60"/>
    <mergeCell ref="AB59:AD59"/>
    <mergeCell ref="AE59:AF60"/>
    <mergeCell ref="AG59:AG60"/>
    <mergeCell ref="AH59:AH60"/>
    <mergeCell ref="AG57:AG58"/>
    <mergeCell ref="AH57:AH58"/>
    <mergeCell ref="A59:A60"/>
    <mergeCell ref="B59:B60"/>
    <mergeCell ref="D59:F59"/>
    <mergeCell ref="G59:I59"/>
    <mergeCell ref="J59:L59"/>
    <mergeCell ref="M59:O59"/>
    <mergeCell ref="P59:R59"/>
    <mergeCell ref="S59:U59"/>
    <mergeCell ref="P57:R57"/>
    <mergeCell ref="S57:U57"/>
    <mergeCell ref="V57:X58"/>
    <mergeCell ref="Y57:AA57"/>
    <mergeCell ref="AB57:AD57"/>
    <mergeCell ref="AE57:AF58"/>
    <mergeCell ref="A57:A58"/>
    <mergeCell ref="B57:B58"/>
    <mergeCell ref="D57:F57"/>
    <mergeCell ref="G57:I57"/>
    <mergeCell ref="J57:L57"/>
    <mergeCell ref="M57:O57"/>
    <mergeCell ref="V55:X55"/>
    <mergeCell ref="Y55:AA55"/>
    <mergeCell ref="AB55:AD55"/>
    <mergeCell ref="AE55:AF56"/>
    <mergeCell ref="AG55:AG56"/>
    <mergeCell ref="AH55:AH56"/>
    <mergeCell ref="AG53:AG54"/>
    <mergeCell ref="AH53:AH54"/>
    <mergeCell ref="V53:X53"/>
    <mergeCell ref="Y53:AA53"/>
    <mergeCell ref="AB53:AD53"/>
    <mergeCell ref="AE53:AF54"/>
    <mergeCell ref="A55:A56"/>
    <mergeCell ref="B55:B56"/>
    <mergeCell ref="D55:F55"/>
    <mergeCell ref="G55:I55"/>
    <mergeCell ref="J55:L55"/>
    <mergeCell ref="M55:O55"/>
    <mergeCell ref="P55:R55"/>
    <mergeCell ref="S55:U56"/>
    <mergeCell ref="P53:R54"/>
    <mergeCell ref="S53:U53"/>
    <mergeCell ref="A53:A54"/>
    <mergeCell ref="B53:B54"/>
    <mergeCell ref="D53:F53"/>
    <mergeCell ref="G53:I53"/>
    <mergeCell ref="J53:L53"/>
    <mergeCell ref="M53:O53"/>
    <mergeCell ref="V51:X51"/>
    <mergeCell ref="Y51:AA51"/>
    <mergeCell ref="AB51:AD51"/>
    <mergeCell ref="AE51:AF52"/>
    <mergeCell ref="AG51:AG52"/>
    <mergeCell ref="AH51:AH52"/>
    <mergeCell ref="AG49:AG50"/>
    <mergeCell ref="AH49:AH50"/>
    <mergeCell ref="A51:A52"/>
    <mergeCell ref="B51:B52"/>
    <mergeCell ref="D51:F51"/>
    <mergeCell ref="G51:I51"/>
    <mergeCell ref="J51:L51"/>
    <mergeCell ref="M51:O52"/>
    <mergeCell ref="P51:R51"/>
    <mergeCell ref="S51:U51"/>
    <mergeCell ref="P49:R49"/>
    <mergeCell ref="S49:U49"/>
    <mergeCell ref="V49:X49"/>
    <mergeCell ref="Y49:AA49"/>
    <mergeCell ref="AB49:AD49"/>
    <mergeCell ref="AE49:AF50"/>
    <mergeCell ref="A49:A50"/>
    <mergeCell ref="B49:B50"/>
    <mergeCell ref="D49:F49"/>
    <mergeCell ref="G49:I49"/>
    <mergeCell ref="J49:L50"/>
    <mergeCell ref="M49:O49"/>
    <mergeCell ref="V47:X47"/>
    <mergeCell ref="Y47:AA47"/>
    <mergeCell ref="AB47:AD47"/>
    <mergeCell ref="AE47:AF48"/>
    <mergeCell ref="AG47:AG48"/>
    <mergeCell ref="AH47:AH48"/>
    <mergeCell ref="AG45:AG46"/>
    <mergeCell ref="AH45:AH46"/>
    <mergeCell ref="A47:A48"/>
    <mergeCell ref="B47:B48"/>
    <mergeCell ref="D47:F47"/>
    <mergeCell ref="G47:I48"/>
    <mergeCell ref="J47:L47"/>
    <mergeCell ref="M47:O47"/>
    <mergeCell ref="P47:R47"/>
    <mergeCell ref="S47:U47"/>
    <mergeCell ref="P45:R45"/>
    <mergeCell ref="S45:U45"/>
    <mergeCell ref="V45:X45"/>
    <mergeCell ref="Y45:AA45"/>
    <mergeCell ref="AB45:AD45"/>
    <mergeCell ref="AE45:AF46"/>
    <mergeCell ref="A45:A46"/>
    <mergeCell ref="B45:B46"/>
    <mergeCell ref="D45:F46"/>
    <mergeCell ref="G45:I45"/>
    <mergeCell ref="J45:L45"/>
    <mergeCell ref="M45:O45"/>
    <mergeCell ref="D44:F44"/>
    <mergeCell ref="G44:I44"/>
    <mergeCell ref="J44:L44"/>
    <mergeCell ref="M44:O44"/>
    <mergeCell ref="A41:A42"/>
    <mergeCell ref="B41:B42"/>
    <mergeCell ref="D41:F41"/>
    <mergeCell ref="G41:I41"/>
    <mergeCell ref="J41:L41"/>
    <mergeCell ref="AE41:AF42"/>
    <mergeCell ref="V44:X44"/>
    <mergeCell ref="Y44:AA44"/>
    <mergeCell ref="AB44:AD44"/>
    <mergeCell ref="AE44:AF44"/>
    <mergeCell ref="P44:R44"/>
    <mergeCell ref="S44:U44"/>
    <mergeCell ref="AG41:AG42"/>
    <mergeCell ref="AH41:AH42"/>
    <mergeCell ref="G43:AA43"/>
    <mergeCell ref="V41:X41"/>
    <mergeCell ref="Y41:AA41"/>
    <mergeCell ref="AB41:AD42"/>
    <mergeCell ref="M41:O41"/>
    <mergeCell ref="P41:R41"/>
    <mergeCell ref="S41:U41"/>
    <mergeCell ref="Y37:AA37"/>
    <mergeCell ref="AB37:AD37"/>
    <mergeCell ref="AE37:AF38"/>
    <mergeCell ref="AG37:AG38"/>
    <mergeCell ref="Y39:AA40"/>
    <mergeCell ref="AB39:AD39"/>
    <mergeCell ref="AE39:AF40"/>
    <mergeCell ref="AG39:AG40"/>
    <mergeCell ref="AH39:AH40"/>
    <mergeCell ref="A39:A40"/>
    <mergeCell ref="B39:B40"/>
    <mergeCell ref="D39:F39"/>
    <mergeCell ref="G39:I39"/>
    <mergeCell ref="J39:L39"/>
    <mergeCell ref="M39:O39"/>
    <mergeCell ref="P39:R39"/>
    <mergeCell ref="S39:U39"/>
    <mergeCell ref="V39:X39"/>
    <mergeCell ref="A35:A36"/>
    <mergeCell ref="B35:B36"/>
    <mergeCell ref="D35:F35"/>
    <mergeCell ref="G35:I35"/>
    <mergeCell ref="J35:L35"/>
    <mergeCell ref="AE35:AF36"/>
    <mergeCell ref="AG35:AG36"/>
    <mergeCell ref="AH35:AH36"/>
    <mergeCell ref="A37:A38"/>
    <mergeCell ref="B37:B38"/>
    <mergeCell ref="D37:F37"/>
    <mergeCell ref="G37:I37"/>
    <mergeCell ref="J37:L37"/>
    <mergeCell ref="M37:O37"/>
    <mergeCell ref="P37:R37"/>
    <mergeCell ref="M35:O35"/>
    <mergeCell ref="P35:R35"/>
    <mergeCell ref="S35:U36"/>
    <mergeCell ref="V35:X35"/>
    <mergeCell ref="Y35:AA35"/>
    <mergeCell ref="AB35:AD35"/>
    <mergeCell ref="AH37:AH38"/>
    <mergeCell ref="S37:U37"/>
    <mergeCell ref="V37:X38"/>
    <mergeCell ref="AH31:AH32"/>
    <mergeCell ref="A33:A34"/>
    <mergeCell ref="B33:B34"/>
    <mergeCell ref="D33:F33"/>
    <mergeCell ref="G33:I33"/>
    <mergeCell ref="J33:L33"/>
    <mergeCell ref="M33:O33"/>
    <mergeCell ref="P33:R34"/>
    <mergeCell ref="S33:U33"/>
    <mergeCell ref="V33:X33"/>
    <mergeCell ref="S31:U31"/>
    <mergeCell ref="V31:X31"/>
    <mergeCell ref="Y31:AA31"/>
    <mergeCell ref="AB31:AD31"/>
    <mergeCell ref="AE31:AF32"/>
    <mergeCell ref="AG31:AG32"/>
    <mergeCell ref="Y33:AA33"/>
    <mergeCell ref="AB33:AD33"/>
    <mergeCell ref="AE33:AF34"/>
    <mergeCell ref="AG33:AG34"/>
    <mergeCell ref="AH33:AH34"/>
    <mergeCell ref="A31:A32"/>
    <mergeCell ref="B31:B32"/>
    <mergeCell ref="D31:F31"/>
    <mergeCell ref="G31:I31"/>
    <mergeCell ref="J31:L31"/>
    <mergeCell ref="M31:O32"/>
    <mergeCell ref="P31:R31"/>
    <mergeCell ref="M29:O29"/>
    <mergeCell ref="P29:R29"/>
    <mergeCell ref="AB27:AD27"/>
    <mergeCell ref="AE27:AF28"/>
    <mergeCell ref="AG27:AG28"/>
    <mergeCell ref="AH27:AH28"/>
    <mergeCell ref="A29:A30"/>
    <mergeCell ref="B29:B30"/>
    <mergeCell ref="D29:F29"/>
    <mergeCell ref="G29:I29"/>
    <mergeCell ref="J29:L30"/>
    <mergeCell ref="AE29:AF30"/>
    <mergeCell ref="AG29:AG30"/>
    <mergeCell ref="AH29:AH30"/>
    <mergeCell ref="S29:U29"/>
    <mergeCell ref="V29:X29"/>
    <mergeCell ref="Y29:AA29"/>
    <mergeCell ref="AB29:AD29"/>
    <mergeCell ref="A25:A26"/>
    <mergeCell ref="B25:B26"/>
    <mergeCell ref="D25:F26"/>
    <mergeCell ref="G25:I25"/>
    <mergeCell ref="J25:L25"/>
    <mergeCell ref="M25:O25"/>
    <mergeCell ref="P25:R25"/>
    <mergeCell ref="AH25:AH26"/>
    <mergeCell ref="A27:A28"/>
    <mergeCell ref="B27:B28"/>
    <mergeCell ref="D27:F27"/>
    <mergeCell ref="G27:I28"/>
    <mergeCell ref="J27:L27"/>
    <mergeCell ref="M27:O27"/>
    <mergeCell ref="P27:R27"/>
    <mergeCell ref="S27:U27"/>
    <mergeCell ref="V27:X27"/>
    <mergeCell ref="S25:U25"/>
    <mergeCell ref="V25:X25"/>
    <mergeCell ref="Y25:AA25"/>
    <mergeCell ref="AB25:AD25"/>
    <mergeCell ref="AE25:AF26"/>
    <mergeCell ref="AG25:AG26"/>
    <mergeCell ref="Y27:AA27"/>
    <mergeCell ref="AG21:AG22"/>
    <mergeCell ref="AH21:AH22"/>
    <mergeCell ref="G23:AA23"/>
    <mergeCell ref="D24:F24"/>
    <mergeCell ref="G24:I24"/>
    <mergeCell ref="J24:L24"/>
    <mergeCell ref="M24:O24"/>
    <mergeCell ref="P24:R24"/>
    <mergeCell ref="S24:U24"/>
    <mergeCell ref="V24:X24"/>
    <mergeCell ref="P21:R21"/>
    <mergeCell ref="S21:U21"/>
    <mergeCell ref="V21:X21"/>
    <mergeCell ref="Y21:AA21"/>
    <mergeCell ref="AB21:AD22"/>
    <mergeCell ref="AE21:AF22"/>
    <mergeCell ref="Y24:AA24"/>
    <mergeCell ref="AB24:AD24"/>
    <mergeCell ref="AE24:AF24"/>
    <mergeCell ref="A21:A22"/>
    <mergeCell ref="B21:B22"/>
    <mergeCell ref="D21:F21"/>
    <mergeCell ref="G21:I21"/>
    <mergeCell ref="J21:L21"/>
    <mergeCell ref="M21:O21"/>
    <mergeCell ref="V19:X19"/>
    <mergeCell ref="Y19:AA20"/>
    <mergeCell ref="AB19:AD19"/>
    <mergeCell ref="AE19:AF20"/>
    <mergeCell ref="AG19:AG20"/>
    <mergeCell ref="AH19:AH20"/>
    <mergeCell ref="AG17:AG18"/>
    <mergeCell ref="AH17:AH18"/>
    <mergeCell ref="A19:A20"/>
    <mergeCell ref="B19:B20"/>
    <mergeCell ref="D19:F19"/>
    <mergeCell ref="G19:I19"/>
    <mergeCell ref="J19:L19"/>
    <mergeCell ref="M19:O19"/>
    <mergeCell ref="P19:R19"/>
    <mergeCell ref="S19:U19"/>
    <mergeCell ref="P17:R17"/>
    <mergeCell ref="S17:U17"/>
    <mergeCell ref="V17:X18"/>
    <mergeCell ref="Y17:AA17"/>
    <mergeCell ref="AB17:AD17"/>
    <mergeCell ref="AE17:AF18"/>
    <mergeCell ref="A17:A18"/>
    <mergeCell ref="B17:B18"/>
    <mergeCell ref="D17:F17"/>
    <mergeCell ref="G17:I17"/>
    <mergeCell ref="J17:L17"/>
    <mergeCell ref="M17:O17"/>
    <mergeCell ref="V15:X15"/>
    <mergeCell ref="Y15:AA15"/>
    <mergeCell ref="AB15:AD15"/>
    <mergeCell ref="AE15:AF16"/>
    <mergeCell ref="AG15:AG16"/>
    <mergeCell ref="AH15:AH16"/>
    <mergeCell ref="AG13:AG14"/>
    <mergeCell ref="AH13:AH14"/>
    <mergeCell ref="V13:X13"/>
    <mergeCell ref="Y13:AA13"/>
    <mergeCell ref="AB13:AD13"/>
    <mergeCell ref="AE13:AF14"/>
    <mergeCell ref="A15:A16"/>
    <mergeCell ref="B15:B16"/>
    <mergeCell ref="D15:F15"/>
    <mergeCell ref="G15:I15"/>
    <mergeCell ref="J15:L15"/>
    <mergeCell ref="M15:O15"/>
    <mergeCell ref="P15:R15"/>
    <mergeCell ref="S15:U16"/>
    <mergeCell ref="P13:R14"/>
    <mergeCell ref="S13:U13"/>
    <mergeCell ref="A13:A14"/>
    <mergeCell ref="B13:B14"/>
    <mergeCell ref="D13:F13"/>
    <mergeCell ref="G13:I13"/>
    <mergeCell ref="J13:L13"/>
    <mergeCell ref="M13:O13"/>
    <mergeCell ref="V11:X11"/>
    <mergeCell ref="Y11:AA11"/>
    <mergeCell ref="AB11:AD11"/>
    <mergeCell ref="AE11:AF12"/>
    <mergeCell ref="AG11:AG12"/>
    <mergeCell ref="AH11:AH12"/>
    <mergeCell ref="AG9:AG10"/>
    <mergeCell ref="AH9:AH10"/>
    <mergeCell ref="A11:A12"/>
    <mergeCell ref="B11:B12"/>
    <mergeCell ref="D11:F11"/>
    <mergeCell ref="G11:I11"/>
    <mergeCell ref="J11:L11"/>
    <mergeCell ref="M11:O12"/>
    <mergeCell ref="P11:R11"/>
    <mergeCell ref="S11:U11"/>
    <mergeCell ref="P9:R9"/>
    <mergeCell ref="S9:U9"/>
    <mergeCell ref="V9:X9"/>
    <mergeCell ref="Y9:AA9"/>
    <mergeCell ref="AB9:AD9"/>
    <mergeCell ref="AE9:AF10"/>
    <mergeCell ref="A9:A10"/>
    <mergeCell ref="B9:B10"/>
    <mergeCell ref="D9:F9"/>
    <mergeCell ref="G9:I9"/>
    <mergeCell ref="J9:L10"/>
    <mergeCell ref="M9:O9"/>
    <mergeCell ref="V7:X7"/>
    <mergeCell ref="Y7:AA7"/>
    <mergeCell ref="AB7:AD7"/>
    <mergeCell ref="AE7:AF8"/>
    <mergeCell ref="AG7:AG8"/>
    <mergeCell ref="A5:A6"/>
    <mergeCell ref="B5:B6"/>
    <mergeCell ref="D5:F6"/>
    <mergeCell ref="G5:I5"/>
    <mergeCell ref="J5:L5"/>
    <mergeCell ref="M5:O5"/>
    <mergeCell ref="AH7:AH8"/>
    <mergeCell ref="AG5:AG6"/>
    <mergeCell ref="AH5:AH6"/>
    <mergeCell ref="A7:A8"/>
    <mergeCell ref="B7:B8"/>
    <mergeCell ref="D7:F7"/>
    <mergeCell ref="G7:I8"/>
    <mergeCell ref="J7:L7"/>
    <mergeCell ref="M7:O7"/>
    <mergeCell ref="P7:R7"/>
    <mergeCell ref="S7:U7"/>
    <mergeCell ref="P5:R5"/>
    <mergeCell ref="S5:U5"/>
    <mergeCell ref="V5:X5"/>
    <mergeCell ref="Y5:AA5"/>
    <mergeCell ref="AB5:AD5"/>
    <mergeCell ref="AE5:AF6"/>
    <mergeCell ref="C1:AG1"/>
    <mergeCell ref="D2:AA2"/>
    <mergeCell ref="AB2:AG2"/>
    <mergeCell ref="G3:AA3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F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118</vt:i4>
      </vt:variant>
    </vt:vector>
  </HeadingPairs>
  <TitlesOfParts>
    <vt:vector size="164" baseType="lpstr">
      <vt:lpstr>Списки участников</vt:lpstr>
      <vt:lpstr>гр (1-8)</vt:lpstr>
      <vt:lpstr>гр (9-16)</vt:lpstr>
      <vt:lpstr>Ф(32)</vt:lpstr>
      <vt:lpstr>Ф(16)</vt:lpstr>
      <vt:lpstr>ПРФ(16)</vt:lpstr>
      <vt:lpstr>ПРФ(32)</vt:lpstr>
      <vt:lpstr>гр (1-4)</vt:lpstr>
      <vt:lpstr>гр (5-8)</vt:lpstr>
      <vt:lpstr>гр (9-12)</vt:lpstr>
      <vt:lpstr>1Ф КРУГ</vt:lpstr>
      <vt:lpstr>2Ф КРУГ</vt:lpstr>
      <vt:lpstr>3Ф КРУГ</vt:lpstr>
      <vt:lpstr>4Ф КРУГ</vt:lpstr>
      <vt:lpstr>2Ф(-32)</vt:lpstr>
      <vt:lpstr>2Ф(32)</vt:lpstr>
      <vt:lpstr>1Фм</vt:lpstr>
      <vt:lpstr>16 (-2)</vt:lpstr>
      <vt:lpstr>св.прот 1ф</vt:lpstr>
      <vt:lpstr>св.прот 2ф</vt:lpstr>
      <vt:lpstr>св.прот 3ф</vt:lpstr>
      <vt:lpstr>св.прот 4ф</vt:lpstr>
      <vt:lpstr>Протокол (32)</vt:lpstr>
      <vt:lpstr>Протокол (-32)</vt:lpstr>
      <vt:lpstr>Порядок встреч 1Ф</vt:lpstr>
      <vt:lpstr>Порядок встреч 2Ф</vt:lpstr>
      <vt:lpstr>Порядок встреч 3Ф</vt:lpstr>
      <vt:lpstr>Порядок встреч 4Ф</vt:lpstr>
      <vt:lpstr>Бегунки 1Ф</vt:lpstr>
      <vt:lpstr>Лист1</vt:lpstr>
      <vt:lpstr>Бегунки 2Ф</vt:lpstr>
      <vt:lpstr>Бегунки 3Ф</vt:lpstr>
      <vt:lpstr>Бегунки 4Ф</vt:lpstr>
      <vt:lpstr>Плейофф</vt:lpstr>
      <vt:lpstr>ОФП и СФП</vt:lpstr>
      <vt:lpstr>Места в группе</vt:lpstr>
      <vt:lpstr>2Фм</vt:lpstr>
      <vt:lpstr>1фмуж</vt:lpstr>
      <vt:lpstr>2фмуж</vt:lpstr>
      <vt:lpstr>3фмуж</vt:lpstr>
      <vt:lpstr>4фмуж</vt:lpstr>
      <vt:lpstr>5фмуж</vt:lpstr>
      <vt:lpstr>1фжен</vt:lpstr>
      <vt:lpstr>2Фжен</vt:lpstr>
      <vt:lpstr>R-Муж</vt:lpstr>
      <vt:lpstr>Расчет</vt:lpstr>
      <vt:lpstr>'гр (1-8)'!GR1O</vt:lpstr>
      <vt:lpstr>'гр (9-16)'!GR1O</vt:lpstr>
      <vt:lpstr>'гр (1-8)'!GR2O</vt:lpstr>
      <vt:lpstr>'гр (9-16)'!GR2O</vt:lpstr>
      <vt:lpstr>'гр (1-8)'!GR3O</vt:lpstr>
      <vt:lpstr>'гр (9-16)'!GR3O</vt:lpstr>
      <vt:lpstr>'гр (1-8)'!GR4O</vt:lpstr>
      <vt:lpstr>'гр (9-16)'!GR4O</vt:lpstr>
      <vt:lpstr>'гр (1-8)'!GR5O</vt:lpstr>
      <vt:lpstr>'гр (9-16)'!GR5O</vt:lpstr>
      <vt:lpstr>'гр (1-8)'!GR6O</vt:lpstr>
      <vt:lpstr>'гр (9-16)'!GR6O</vt:lpstr>
      <vt:lpstr>'гр (1-8)'!GR7O</vt:lpstr>
      <vt:lpstr>'гр (9-16)'!GR7O</vt:lpstr>
      <vt:lpstr>'гр (1-8)'!GR8O</vt:lpstr>
      <vt:lpstr>'гр (9-16)'!GR8O</vt:lpstr>
      <vt:lpstr>'гр (1-8)'!№ГР1</vt:lpstr>
      <vt:lpstr>'гр (9-16)'!№ГР1</vt:lpstr>
      <vt:lpstr>№ГР1</vt:lpstr>
      <vt:lpstr>'гр (1-8)'!№ГР2</vt:lpstr>
      <vt:lpstr>'гр (9-16)'!№ГР2</vt:lpstr>
      <vt:lpstr>№ГР2</vt:lpstr>
      <vt:lpstr>'гр (1-8)'!№ГР3</vt:lpstr>
      <vt:lpstr>'гр (9-16)'!№ГР3</vt:lpstr>
      <vt:lpstr>№ГР3</vt:lpstr>
      <vt:lpstr>'гр (1-8)'!№ГР4</vt:lpstr>
      <vt:lpstr>'гр (9-16)'!№ГР4</vt:lpstr>
      <vt:lpstr>№ГР4</vt:lpstr>
      <vt:lpstr>№ГР5</vt:lpstr>
      <vt:lpstr>№ГР6</vt:lpstr>
      <vt:lpstr>№ГР7</vt:lpstr>
      <vt:lpstr>№ГР8</vt:lpstr>
      <vt:lpstr>№ИГР</vt:lpstr>
      <vt:lpstr>№ИГР1</vt:lpstr>
      <vt:lpstr>№ИГР10</vt:lpstr>
      <vt:lpstr>№ИГР11</vt:lpstr>
      <vt:lpstr>№ИГР12</vt:lpstr>
      <vt:lpstr>№ИГР13</vt:lpstr>
      <vt:lpstr>№ИГР14</vt:lpstr>
      <vt:lpstr>№ИГР15</vt:lpstr>
      <vt:lpstr>№ИГР16</vt:lpstr>
      <vt:lpstr>№ИГР2</vt:lpstr>
      <vt:lpstr>№ИГР3</vt:lpstr>
      <vt:lpstr>№ИГР4</vt:lpstr>
      <vt:lpstr>№ИГР5</vt:lpstr>
      <vt:lpstr>№ИГР6</vt:lpstr>
      <vt:lpstr>№ИГР7</vt:lpstr>
      <vt:lpstr>№ИГР8</vt:lpstr>
      <vt:lpstr>№ИГР9</vt:lpstr>
      <vt:lpstr>'ОФП и СФП'!БЕГ</vt:lpstr>
      <vt:lpstr>ГР10М</vt:lpstr>
      <vt:lpstr>ГР10О</vt:lpstr>
      <vt:lpstr>ГР11М</vt:lpstr>
      <vt:lpstr>ГР11О</vt:lpstr>
      <vt:lpstr>ГР12М</vt:lpstr>
      <vt:lpstr>ГР12О</vt:lpstr>
      <vt:lpstr>ГР13М</vt:lpstr>
      <vt:lpstr>ГР13О</vt:lpstr>
      <vt:lpstr>ГР14М</vt:lpstr>
      <vt:lpstr>ГР14О</vt:lpstr>
      <vt:lpstr>ГР15М</vt:lpstr>
      <vt:lpstr>ГР15О</vt:lpstr>
      <vt:lpstr>ГР16М</vt:lpstr>
      <vt:lpstr>ГР16О</vt:lpstr>
      <vt:lpstr>'2Фжен'!ГР1М</vt:lpstr>
      <vt:lpstr>'гр (9-12)'!ГР1М</vt:lpstr>
      <vt:lpstr>ГР1М</vt:lpstr>
      <vt:lpstr>'гр (1-4)'!ГР1О</vt:lpstr>
      <vt:lpstr>ГР2М</vt:lpstr>
      <vt:lpstr>'гр (1-4)'!ГР2О</vt:lpstr>
      <vt:lpstr>'гр (1-8)'!ГР2О</vt:lpstr>
      <vt:lpstr>'гр (9-16)'!ГР2О</vt:lpstr>
      <vt:lpstr>ГР3М</vt:lpstr>
      <vt:lpstr>'гр (1-4)'!ГР3О</vt:lpstr>
      <vt:lpstr>'гр (1-8)'!ГР3О</vt:lpstr>
      <vt:lpstr>'гр (9-16)'!ГР3О</vt:lpstr>
      <vt:lpstr>ГР4М</vt:lpstr>
      <vt:lpstr>'гр (1-4)'!ГР4О</vt:lpstr>
      <vt:lpstr>'гр (1-8)'!ГР4О</vt:lpstr>
      <vt:lpstr>'гр (9-16)'!ГР4О</vt:lpstr>
      <vt:lpstr>ГР5М</vt:lpstr>
      <vt:lpstr>ГР5О</vt:lpstr>
      <vt:lpstr>ГР6М</vt:lpstr>
      <vt:lpstr>ГР6О</vt:lpstr>
      <vt:lpstr>ГР7М</vt:lpstr>
      <vt:lpstr>ГР7О</vt:lpstr>
      <vt:lpstr>ГР8М</vt:lpstr>
      <vt:lpstr>ГР8О</vt:lpstr>
      <vt:lpstr>ГР9М</vt:lpstr>
      <vt:lpstr>ГР9О</vt:lpstr>
      <vt:lpstr>'ОФП и СФП'!ДЛИНА</vt:lpstr>
      <vt:lpstr>'ОФП и СФП'!КВАДР</vt:lpstr>
      <vt:lpstr>'1Ф КРУГ'!Область_печати</vt:lpstr>
      <vt:lpstr>'3Ф КРУГ'!Область_печати</vt:lpstr>
      <vt:lpstr>'Бегунки 1Ф'!Область_печати</vt:lpstr>
      <vt:lpstr>'Бегунки 2Ф'!Область_печати</vt:lpstr>
      <vt:lpstr>'Бегунки 3Ф'!Область_печати</vt:lpstr>
      <vt:lpstr>'Бегунки 4Ф'!Область_печати</vt:lpstr>
      <vt:lpstr>'гр (1-8)'!Область_печати</vt:lpstr>
      <vt:lpstr>'гр (9-16)'!Область_печати</vt:lpstr>
      <vt:lpstr>'Места в группе'!Область_печати</vt:lpstr>
      <vt:lpstr>'Порядок встреч 1Ф'!Область_печати</vt:lpstr>
      <vt:lpstr>'Порядок встреч 2Ф'!Область_печати</vt:lpstr>
      <vt:lpstr>'Порядок встреч 3Ф'!Область_печати</vt:lpstr>
      <vt:lpstr>'Порядок встреч 4Ф'!Область_печати</vt:lpstr>
      <vt:lpstr>'св.прот 1ф'!Область_печати</vt:lpstr>
      <vt:lpstr>'св.прот 2ф'!Область_печати</vt:lpstr>
      <vt:lpstr>'св.прот 3ф'!Область_печати</vt:lpstr>
      <vt:lpstr>'св.прот 4ф'!Область_печати</vt:lpstr>
      <vt:lpstr>'Списки участников'!Область_печати</vt:lpstr>
      <vt:lpstr>'ОФП и СФП'!ОТЖИМ</vt:lpstr>
      <vt:lpstr>'ОФП и СФП'!ПРЕСС</vt:lpstr>
      <vt:lpstr>СКАК</vt:lpstr>
      <vt:lpstr>Сумма_мест</vt:lpstr>
      <vt:lpstr>Ф1Оч</vt:lpstr>
      <vt:lpstr>'2Ф КРУГ'!Ф2Оч</vt:lpstr>
      <vt:lpstr>'3Ф КРУГ'!Ф3Оч</vt:lpstr>
      <vt:lpstr>'4Ф КРУГ'!Ф4Оч</vt:lpstr>
    </vt:vector>
  </TitlesOfParts>
  <Company>Учереждение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Пользователь</cp:lastModifiedBy>
  <cp:lastPrinted>2016-10-25T16:44:49Z</cp:lastPrinted>
  <dcterms:created xsi:type="dcterms:W3CDTF">2006-02-03T19:32:29Z</dcterms:created>
  <dcterms:modified xsi:type="dcterms:W3CDTF">2016-10-25T16:49:44Z</dcterms:modified>
</cp:coreProperties>
</file>